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19425" windowHeight="10425" tabRatio="610" firstSheet="3" activeTab="3"/>
  </bookViews>
  <sheets>
    <sheet name="2PO 2.1 (e)" sheetId="24" state="hidden" r:id="rId1"/>
    <sheet name="2PO 2.1 (eng)" sheetId="19" state="hidden" r:id="rId2"/>
    <sheet name="2PO 2.2 (eng)" sheetId="20" state="hidden" r:id="rId3"/>
    <sheet name="2PO 2.3" sheetId="23" r:id="rId4"/>
    <sheet name="2PO 2.3 (eng)" sheetId="17" state="hidden" r:id="rId5"/>
    <sheet name="F 2.3.1 Specific result" sheetId="25" r:id="rId6"/>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23" l="1"/>
  <c r="A17" i="23" l="1"/>
  <c r="A16" i="23"/>
  <c r="B15" i="23"/>
  <c r="A15" i="23"/>
  <c r="C14" i="23"/>
  <c r="B14" i="23"/>
  <c r="A14" i="23"/>
  <c r="D17" i="23" l="1"/>
  <c r="C17" i="23"/>
  <c r="B17" i="23"/>
  <c r="D16" i="23"/>
  <c r="C16" i="23"/>
  <c r="B16" i="23"/>
  <c r="A5" i="25"/>
  <c r="A6" i="25" s="1"/>
  <c r="A7" i="25" s="1"/>
  <c r="A8" i="25" s="1"/>
  <c r="A9" i="25" s="1"/>
  <c r="A10" i="25" s="1"/>
  <c r="A11" i="25" s="1"/>
  <c r="A12" i="25" s="1"/>
  <c r="A13" i="25" s="1"/>
  <c r="A14" i="25" s="1"/>
  <c r="A15" i="25" s="1"/>
  <c r="A16" i="25" s="1"/>
  <c r="A17" i="25" s="1"/>
  <c r="A18" i="25" s="1"/>
  <c r="A19" i="25" s="1"/>
  <c r="A20" i="25" s="1"/>
  <c r="A21" i="25" s="1"/>
  <c r="E8" i="23" l="1"/>
  <c r="E6" i="23"/>
  <c r="I17" i="23" l="1"/>
  <c r="I16" i="23"/>
  <c r="I15" i="23"/>
  <c r="H15" i="23"/>
  <c r="I14" i="23"/>
  <c r="H14" i="23"/>
  <c r="H18" i="23" l="1"/>
  <c r="I18" i="23"/>
  <c r="O10" i="23"/>
  <c r="P10" i="23"/>
  <c r="J18" i="23" l="1"/>
  <c r="C11" i="23"/>
  <c r="C10" i="23"/>
  <c r="I38" i="24" l="1"/>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E5" i="24" s="1"/>
  <c r="F5" i="24" l="1"/>
  <c r="F8" i="24"/>
  <c r="F8" i="23"/>
  <c r="E11" i="23"/>
  <c r="F6" i="23"/>
  <c r="G6" i="23" s="1"/>
  <c r="E10" i="23"/>
  <c r="D18" i="17"/>
  <c r="D17" i="17"/>
  <c r="I18" i="17"/>
  <c r="I17" i="17"/>
  <c r="I42" i="19"/>
  <c r="I41" i="19"/>
  <c r="D7" i="19"/>
  <c r="D5" i="19"/>
  <c r="D15" i="20"/>
  <c r="D11" i="20"/>
  <c r="D8" i="20"/>
  <c r="D5" i="20"/>
  <c r="I15" i="17"/>
  <c r="G10" i="23" l="1"/>
  <c r="F10" i="23"/>
  <c r="B6" i="23"/>
  <c r="G8" i="23"/>
  <c r="G11" i="23" s="1"/>
  <c r="F11" i="23"/>
  <c r="B8" i="23"/>
  <c r="I38" i="20"/>
  <c r="H45" i="20"/>
  <c r="H44" i="20"/>
  <c r="D39" i="20"/>
  <c r="D38" i="20"/>
  <c r="I40" i="20"/>
  <c r="H40" i="20"/>
  <c r="I41" i="20"/>
  <c r="H41" i="20"/>
  <c r="I45" i="20"/>
  <c r="I44" i="20"/>
  <c r="I43" i="20"/>
  <c r="H43" i="20"/>
  <c r="I42" i="20"/>
  <c r="H42" i="20"/>
  <c r="I39" i="20"/>
  <c r="D31" i="20"/>
  <c r="E31" i="20" s="1"/>
  <c r="F31" i="20" s="1"/>
  <c r="D27" i="20"/>
  <c r="E27" i="20" s="1"/>
  <c r="F27" i="20" s="1"/>
  <c r="D23" i="20"/>
  <c r="E23" i="20" s="1"/>
  <c r="F23" i="20" s="1"/>
  <c r="D19" i="20"/>
  <c r="E19" i="20" s="1"/>
  <c r="F19" i="20" s="1"/>
  <c r="E15" i="20"/>
  <c r="F15" i="20" s="1"/>
  <c r="E11" i="20"/>
  <c r="F11" i="20" s="1"/>
  <c r="E8" i="20"/>
  <c r="F8" i="20" s="1"/>
  <c r="E5" i="20"/>
  <c r="F5" i="20" s="1"/>
  <c r="I48" i="19"/>
  <c r="H48" i="19"/>
  <c r="I47" i="19"/>
  <c r="H47" i="19"/>
  <c r="I46" i="19"/>
  <c r="H46" i="19"/>
  <c r="I45" i="19"/>
  <c r="H45" i="19"/>
  <c r="I44" i="19"/>
  <c r="D44" i="19"/>
  <c r="I43" i="19"/>
  <c r="D43" i="19"/>
  <c r="J43" i="19" s="1"/>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38" i="20" l="1"/>
  <c r="J44" i="19"/>
  <c r="J39" i="20"/>
</calcChain>
</file>

<file path=xl/comments1.xml><?xml version="1.0" encoding="utf-8"?>
<comments xmlns="http://schemas.openxmlformats.org/spreadsheetml/2006/main">
  <authors>
    <author>Autorius</author>
  </authors>
  <commentList>
    <comment ref="D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authors>
    <author>Autorius</author>
  </authors>
  <commentList>
    <comment ref="D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comments3.xml><?xml version="1.0" encoding="utf-8"?>
<comments xmlns="http://schemas.openxmlformats.org/spreadsheetml/2006/main">
  <authors>
    <author>Autorius</author>
  </authors>
  <commentList>
    <comment ref="D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are not included in the calculation of co-financing rate.</t>
        </r>
      </text>
    </comment>
    <comment ref="D8"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of 4,11 percent are excluded</t>
        </r>
      </text>
    </comment>
  </commentList>
</comments>
</file>

<file path=xl/comments4.xml><?xml version="1.0" encoding="utf-8"?>
<comments xmlns="http://schemas.openxmlformats.org/spreadsheetml/2006/main">
  <authors>
    <author>Autorius</author>
  </authors>
  <commentList>
    <comment ref="C8" authorId="0">
      <text>
        <r>
          <rPr>
            <b/>
            <sz val="9"/>
            <color indexed="81"/>
            <rFont val="Tahoma"/>
            <family val="2"/>
            <charset val="186"/>
          </rPr>
          <t>Autorius:</t>
        </r>
        <r>
          <rPr>
            <sz val="9"/>
            <color indexed="81"/>
            <rFont val="Tahoma"/>
            <family val="2"/>
            <charset val="186"/>
          </rPr>
          <t xml:space="preserve">
2.500.000 BJR</t>
        </r>
      </text>
    </comment>
  </commentList>
</comments>
</file>

<file path=xl/sharedStrings.xml><?xml version="1.0" encoding="utf-8"?>
<sst xmlns="http://schemas.openxmlformats.org/spreadsheetml/2006/main" count="1099" uniqueCount="299">
  <si>
    <t>Action Veiksmas</t>
  </si>
  <si>
    <t>Total allocation of action level (indicated) Bendras veiksmų lygio paskirstymas</t>
  </si>
  <si>
    <t>Intervention field</t>
  </si>
  <si>
    <t>Rodiklis</t>
  </si>
  <si>
    <t>Rodiklio matavimo vienetas</t>
  </si>
  <si>
    <t xml:space="preserve">Rodiklio pradinė </t>
  </si>
  <si>
    <t>Rodiklio tarpinė 2024 m. reikšmė</t>
  </si>
  <si>
    <t>Rodiklio siektina 2029 m. reikšmė</t>
  </si>
  <si>
    <t>Duomenų šaltinis</t>
  </si>
  <si>
    <t>Rodiklio siektinų reikšmų apskaičiavimo metodika</t>
  </si>
  <si>
    <t>code and name</t>
  </si>
  <si>
    <t>co-financing rate (Eur.)</t>
  </si>
  <si>
    <t>Rodiklio kodas</t>
  </si>
  <si>
    <t>Rodiklio pavadinimas</t>
  </si>
  <si>
    <t>reikšmė</t>
  </si>
  <si>
    <t>metai</t>
  </si>
  <si>
    <t>ERPF</t>
  </si>
  <si>
    <t>Vidurio ir Vakarų Lietuvos regionas</t>
  </si>
  <si>
    <r>
      <t>allocation 2021-</t>
    </r>
    <r>
      <rPr>
        <b/>
        <sz val="11"/>
        <color theme="1"/>
        <rFont val="Calibri"/>
        <family val="2"/>
        <charset val="186"/>
        <scheme val="minor"/>
      </rPr>
      <t xml:space="preserve"> 2027 used for calculation of 2029 target </t>
    </r>
  </si>
  <si>
    <t>Konkretus uždavinys – 2.1. Skatinti naudoti energijos vartojimo efektyvumą didinančias priemones ir mažinti šiltnamio dujų išmetimus</t>
  </si>
  <si>
    <t xml:space="preserve">allocation 2021- 2027 used for calculation of 2029 target </t>
  </si>
  <si>
    <t>Regiono kategorija veiklai</t>
  </si>
  <si>
    <t>Fondas  veiklai</t>
  </si>
  <si>
    <t>RCR 26</t>
  </si>
  <si>
    <t>SaF</t>
  </si>
  <si>
    <t>RCO 18</t>
  </si>
  <si>
    <t>RCO 19</t>
  </si>
  <si>
    <t>RCO 20</t>
  </si>
  <si>
    <t>RCR 33</t>
  </si>
  <si>
    <t>MWh</t>
  </si>
  <si>
    <t>Konkretus uždavinys – 2.2. Skatinti naudoti atsinaujinančiąją energiją</t>
  </si>
  <si>
    <t>RCO 22</t>
  </si>
  <si>
    <t>km</t>
  </si>
  <si>
    <t>m2</t>
  </si>
  <si>
    <t>vnt.</t>
  </si>
  <si>
    <t xml:space="preserve"> m2</t>
  </si>
  <si>
    <t>RCR 29</t>
  </si>
  <si>
    <t>-</t>
  </si>
  <si>
    <t>RCR29</t>
  </si>
  <si>
    <t>RCR33</t>
  </si>
  <si>
    <t>RCO19</t>
  </si>
  <si>
    <t xml:space="preserve">RCR 29 </t>
  </si>
  <si>
    <t>Konkretus uždavinys - 2.3. Kurti pažangiąsias elektros energijos sistemas ir tinklus, taip pat energijos kaupimo sprendimus už TEN-E ribų</t>
  </si>
  <si>
    <t>Finansinė proporcija (EU+ nacionalinis), Eur</t>
  </si>
  <si>
    <t xml:space="preserve">Finansinė proporcija (EU+ nacionalinis)(Eur.) </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</si>
  <si>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</si>
  <si>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</si>
  <si>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n/a</t>
  </si>
  <si>
    <t xml:space="preserve">Total allocation of action level (indicated)  </t>
  </si>
  <si>
    <t xml:space="preserve">co-financing rate (Eur.) </t>
  </si>
  <si>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</si>
  <si>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</si>
  <si>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</si>
  <si>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</si>
  <si>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</si>
  <si>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</si>
  <si>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</si>
  <si>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</si>
  <si>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</si>
  <si>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</si>
  <si>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</si>
  <si>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t>Indicators' calculation method</t>
  </si>
  <si>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</si>
  <si>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</si>
  <si>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</si>
  <si>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</si>
  <si>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</si>
  <si>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</si>
  <si>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</si>
  <si>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</si>
  <si>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</si>
  <si>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</si>
  <si>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</si>
  <si>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</si>
  <si>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</si>
  <si>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</si>
  <si>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</si>
  <si>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</si>
  <si>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</si>
  <si>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</si>
  <si>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</si>
  <si>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</si>
  <si>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</si>
  <si>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</si>
  <si>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</si>
  <si>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</si>
  <si>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</si>
  <si>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</si>
  <si>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</si>
  <si>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</si>
  <si>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</si>
  <si>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</si>
  <si>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</si>
  <si>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                                                                                                                                 70 proc. (15,75 MEUR)  kategorijos lėšų investuojama į nedidelės galios biokuro kogeneracines elektrines;  25 proc. (5,625 MEUR) - į didelio efektyvumo biokuro katilus; 5 proc. (1,125 MEUR) - į šilumos saugyklas.  1 MWel.+5 MWš. nedidelės galios CHP kainuoja 5 MEUR, tad už numatytas lėšas  sukurtume 15,75 MEUR/5 = 3 MWe ir 15 MWš galios CHP pajėgumų; didelio efektyvumo katilo 1 MW kainuoja 0,5 MEUR. Už 5,6 MEUR įdiegtume  5,6/0,5=11MWš   (high efficiency biomass boiler).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3 MWe ir 26 MWš</t>
    </r>
    <r>
      <rPr>
        <sz val="10"/>
        <color theme="1"/>
        <rFont val="Calibri"/>
        <family val="2"/>
        <scheme val="minor"/>
      </rPr>
      <t xml:space="preserve"> (15MW+11MW). Daroma prielaida, kad iki 2024 m. bus investuota 20 proc. , tad tarpinė reikšmė bus ~ </t>
    </r>
    <r>
      <rPr>
        <b/>
        <sz val="10"/>
        <color theme="1"/>
        <rFont val="Calibri"/>
        <family val="2"/>
        <scheme val="minor"/>
      </rPr>
      <t>0,6 MWe  ir  5 MWš</t>
    </r>
    <r>
      <rPr>
        <sz val="10"/>
        <color theme="1"/>
        <rFont val="Calibri"/>
        <family val="2"/>
        <scheme val="minor"/>
      </rPr>
      <t xml:space="preserve"> papildomų pajėgumų.  Rinkos kainomis vidut. CŠT tinkančios 1m3 šilumos talpyklos  kainuotų  200 eurų. Už 1,125 MEUR sukurtume 1,125/0,0002= 5625 m3, kas sudaro apie 260 MWh talpos (LŠTA duomenimis , 1 MWh  atitinka apie 21,6 m3). Daroma prielaida, kad iki 2024 m. bus investuota apie 20 proc. lėšų, tad tarpinė reikšmė 260x0,2=</t>
    </r>
    <r>
      <rPr>
        <b/>
        <sz val="10"/>
        <color theme="1"/>
        <rFont val="Calibri"/>
        <family val="2"/>
        <scheme val="minor"/>
      </rPr>
      <t>52 MWh</t>
    </r>
    <r>
      <rPr>
        <sz val="10"/>
        <color theme="1"/>
        <rFont val="Calibri"/>
        <family val="2"/>
        <scheme val="minor"/>
      </rPr>
      <t>.</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</si>
  <si>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t xml:space="preserve">37,5 MW: pagal LŠTA studiją 1 MW šilumos siurblio galios pagamintų 600 MWh energijos, tai 37,5 MW pagamins 22500 MWh energijos. Pradinė reikšmė: 22500x0,1 (faktorius pagal STR šilumai iš CŠT tinklo)= </t>
    </r>
    <r>
      <rPr>
        <b/>
        <sz val="10"/>
        <color theme="1"/>
        <rFont val="Calibri"/>
        <family val="2"/>
        <scheme val="minor"/>
      </rPr>
      <t>2250 tCO2ekv./metus</t>
    </r>
    <r>
      <rPr>
        <sz val="10"/>
        <color theme="1"/>
        <rFont val="Calibri"/>
        <family val="2"/>
        <scheme val="minor"/>
      </rPr>
      <t xml:space="preserve">,  2029 reikšmė:  22500x0,04 (biokuro taršos faktorius pagal STR)= </t>
    </r>
    <r>
      <rPr>
        <b/>
        <sz val="10"/>
        <color theme="1"/>
        <rFont val="Calibri"/>
        <family val="2"/>
        <scheme val="minor"/>
      </rPr>
      <t>900 tCO2ekv./metus.</t>
    </r>
  </si>
  <si>
    <r>
      <t>CO2 skaičiuojamas  iš saulės elektrinių ir kolektorių diegimo. Pradinės reikšmės skaičiavimas: 1 kW saulės elektrinės pagamina apie 1000 kWh (1 MW - 1000 MWh), tai 4,7 MW pagamins 4700 MWh. CO2 kiekis būtų 4700MWh x0,42 tCO2/MWh (elektros energijos taršos faktorius)=</t>
    </r>
    <r>
      <rPr>
        <b/>
        <sz val="10"/>
        <color theme="1"/>
        <rFont val="Calibri"/>
        <family val="2"/>
        <scheme val="minor"/>
      </rPr>
      <t xml:space="preserve">1974 tCO2 ekv./metus.                                                                                                                                                                     </t>
    </r>
    <r>
      <rPr>
        <sz val="10"/>
        <color theme="1"/>
        <rFont val="Calibri"/>
        <family val="2"/>
        <scheme val="minor"/>
      </rPr>
      <t xml:space="preserve">Saulės kolektoriaus 1m2 gamina 400 kWh, tai 131250 m2 gamins 52500MWh.Skaičiuojant pradinę CO2 reikšmę: </t>
    </r>
    <r>
      <rPr>
        <b/>
        <sz val="10"/>
        <color theme="1"/>
        <rFont val="Calibri"/>
        <family val="2"/>
        <scheme val="minor"/>
      </rPr>
      <t xml:space="preserve">  </t>
    </r>
    <r>
      <rPr>
        <sz val="10"/>
        <color theme="1"/>
        <rFont val="Calibri"/>
        <family val="2"/>
        <scheme val="minor"/>
      </rPr>
      <t>52500MWh x 0,1 (faktorius pagal STR šilumai iš CŠT tinklo)= 5250  tCO2/metus.Pradinė reikšmė bendra: 1974+ 5250=</t>
    </r>
    <r>
      <rPr>
        <b/>
        <sz val="10"/>
        <color theme="1"/>
        <rFont val="Calibri"/>
        <family val="2"/>
        <scheme val="minor"/>
      </rPr>
      <t>7224 tCO2ekv./ metus</t>
    </r>
    <r>
      <rPr>
        <sz val="10"/>
        <color theme="1"/>
        <rFont val="Calibri"/>
        <family val="2"/>
        <scheme val="minor"/>
      </rPr>
      <t>.</t>
    </r>
    <r>
      <rPr>
        <b/>
        <sz val="10"/>
        <color theme="1"/>
        <rFont val="Calibri"/>
        <family val="2"/>
        <scheme val="minor"/>
      </rPr>
      <t xml:space="preserve"> </t>
    </r>
    <r>
      <rPr>
        <sz val="10"/>
        <color theme="1"/>
        <rFont val="Calibri"/>
        <family val="2"/>
        <scheme val="minor"/>
      </rPr>
      <t>Siekiama reikšmė 2029 m. būtų 0 (pagal STR saulės taršos faktorius lygus 0).</t>
    </r>
  </si>
  <si>
    <r>
      <t>Pradinė CO2 reikšmė: 3 MWelx8000 h/metus (CHP veikimo laikas per metus) x 0,42 tCO2/MWh (taršos faktorius elektrai) =10080 tCO2 ekvivalentu/metus; 26MWšx6000 h/metus (katilų veikimo laikas per metus) x 0,1 (taršos faktorius pagal STR CŠT šilumai)=15600 tCO2 ekvivalentu/metus. Viso pradinis CO2 kiekis: 10080+ 15600=</t>
    </r>
    <r>
      <rPr>
        <b/>
        <sz val="10"/>
        <color theme="1"/>
        <rFont val="Calibri"/>
        <family val="2"/>
        <scheme val="minor"/>
      </rPr>
      <t>25680 tCO2 ekv./metus</t>
    </r>
    <r>
      <rPr>
        <sz val="10"/>
        <color theme="1"/>
        <rFont val="Calibri"/>
        <family val="2"/>
        <scheme val="minor"/>
      </rPr>
      <t>. Galutinė CO2 reikšmė: 3 MWelx8000 h/metus (CHP veikimo laikas per metus) x 0,04 tCO2/MWh (taršos faktorius biokurui) =960 tCO2 ekvivalentu/metus; 26MWšx6000 h/metus (katilų veikimo laikas per metus) x 0,04 (taršos faktorius pagal STR biokurui)=6240 tCO2 ekvivalentu/metus. Galutinė bendra reikšmė CO2: 960+ 6240=</t>
    </r>
    <r>
      <rPr>
        <b/>
        <sz val="10"/>
        <color theme="1"/>
        <rFont val="Calibri"/>
        <family val="2"/>
        <scheme val="minor"/>
      </rPr>
      <t>7200 tCO2 ekv./metus.</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</si>
  <si>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70 proc. (36,75 MEUR)  kategorijos lėšų investuojama į nedidelės galios biokuro kogeneracines elektrines;  25 proc. (13,125 MEUR) - į didelio efektyvumo biokuro katilus; 5 proc. (2,625 MEUR) - į šilumos saugyklas.   1 MWel.+5 MWš. nedidelės galios CHP kainuoja 5 MEUR, tad už numatytas lėšas  sukurtume 36,75 MEUR/5 MEUR= 7 MWe ir 35MWš pajėgumų. Už 13,125 MEUR įdiegtume  13,125/0,5=26 MWš galios didelio efektyvumo katilų, kurių 1 MW kainuoja 0,5 MEUR.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 xml:space="preserve">7 MWe ir  61 MWš </t>
    </r>
    <r>
      <rPr>
        <sz val="10"/>
        <color theme="1"/>
        <rFont val="Calibri"/>
        <family val="2"/>
        <scheme val="minor"/>
      </rPr>
      <t xml:space="preserve">(35MWš+ 26MWš) AEI pajėgumų. Daroma prielaida, kad iki 2024 m. bus investuota 20 proc. , tad tarpinė reikšmė bus </t>
    </r>
    <r>
      <rPr>
        <b/>
        <sz val="10"/>
        <color theme="1"/>
        <rFont val="Calibri"/>
        <family val="2"/>
        <scheme val="minor"/>
      </rPr>
      <t>~ 1,4 MWe  ir  ~12 MWš</t>
    </r>
    <r>
      <rPr>
        <sz val="10"/>
        <color theme="1"/>
        <rFont val="Calibri"/>
        <family val="2"/>
        <scheme val="minor"/>
      </rPr>
      <t xml:space="preserve"> papildomų AEI pajėgumų.   Rinkos kainomis vidut. CŠT tinkančios 1m3 šilumos talpyklos  kainuotų  200 eurų. Už 2,625 MEUR sukurtume 2,625/0,0002 = 13125 m3, t.y. ~607 MWh talpos. Daroma prielaida, kad iki 2024 m. bus investuota apie 20 proc. lėšų, tad tarpinė reikšmė 607x0,2=~121 MWh.</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</si>
  <si>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rPr>
        <u/>
        <sz val="10"/>
        <color theme="1"/>
        <rFont val="Calibri"/>
        <family val="2"/>
        <scheme val="minor"/>
      </rPr>
      <t>Pradinė CO2 reikšmė:</t>
    </r>
    <r>
      <rPr>
        <sz val="10"/>
        <color theme="1"/>
        <rFont val="Calibri"/>
        <family val="2"/>
        <scheme val="minor"/>
      </rPr>
      <t xml:space="preserve"> 1 iškastinio kuro katilas (vidut. apie 20 kW katilas namų ūkiui) sunaudoja 5,7 TNE/metus (1 TNE = 11,628 MWh konversijos koeficientas), tai sudaro 66,28  MWh energijos. 12122 įrenginiai suvartoja 12122x66,28 =~ 803 446 MWh/metus. CO2 kiekis skaičiuojamas 803 446 MWh/metus x 0,36 tCO2/MWh (iškastinio kuro taršos faktorius pagal Aplinkos ministro patvirtintą Statybos techninį reglamentą(STR))= </t>
    </r>
    <r>
      <rPr>
        <b/>
        <sz val="10"/>
        <color theme="1"/>
        <rFont val="Calibri"/>
        <family val="2"/>
        <scheme val="minor"/>
      </rPr>
      <t>289241 tCO2 ekv. /metus</t>
    </r>
    <r>
      <rPr>
        <sz val="10"/>
        <color theme="1"/>
        <rFont val="Calibri"/>
        <family val="2"/>
        <scheme val="minor"/>
      </rPr>
      <t xml:space="preserve">. </t>
    </r>
    <r>
      <rPr>
        <u/>
        <sz val="10"/>
        <color theme="1"/>
        <rFont val="Calibri"/>
        <family val="2"/>
        <scheme val="minor"/>
      </rPr>
      <t>Galutinė CO2 reikšmė:</t>
    </r>
    <r>
      <rPr>
        <sz val="10"/>
        <color theme="1"/>
        <rFont val="Calibri"/>
        <family val="2"/>
        <scheme val="minor"/>
      </rPr>
      <t xml:space="preserve">  1 efektyvus naujas biokuro katilas sunaudoja  dvigubai mažiau 2,85 TNE/metus, t.y.  2,85x11,628=33,14  MWh energijos, todėl 12122 nauji įrenginiai suvartotų apie 401723 MWh/metus.  CO2 kiekis  401723 MWh/metus x 0,04 tCO2/MWh (taršos faktorius biokurui pagal STR)  = </t>
    </r>
    <r>
      <rPr>
        <b/>
        <sz val="10"/>
        <color theme="1"/>
        <rFont val="Calibri"/>
        <family val="2"/>
        <scheme val="minor"/>
      </rPr>
      <t>16069 tCO2 ekv. /metus</t>
    </r>
    <r>
      <rPr>
        <sz val="10"/>
        <color theme="1"/>
        <rFont val="Calibri"/>
        <family val="2"/>
        <scheme val="minor"/>
      </rPr>
      <t xml:space="preserve">. </t>
    </r>
  </si>
  <si>
    <r>
      <rPr>
        <u/>
        <sz val="10"/>
        <color theme="1"/>
        <rFont val="Calibri"/>
        <family val="2"/>
        <scheme val="minor"/>
      </rPr>
      <t xml:space="preserve">Pradinė CO2 reikšmė: </t>
    </r>
    <r>
      <rPr>
        <sz val="10"/>
        <color theme="1"/>
        <rFont val="Calibri"/>
        <family val="2"/>
        <scheme val="minor"/>
      </rPr>
      <t xml:space="preserve">1 iškastinio kuro katilas (vidut. apie 20 kW katilas namų ūkiui) sunaudoja 5,7 TNE/metus (1 TNE = 11,628 MWh konversijos koeficientas), tai sudaro 66,28  MWh energijos. Seni 6061 katilai  suvartoja 6061x66,28 =~ 401723 MWh/metus. CO2 kiekis skaičiuojamas 401723 MWh/metus x 0,36 tCO2/MWh (iškastinio kuro taršos faktorius pagal AM patvirtintą STR)= </t>
    </r>
    <r>
      <rPr>
        <b/>
        <sz val="10"/>
        <color theme="1"/>
        <rFont val="Calibri"/>
        <family val="2"/>
        <scheme val="minor"/>
      </rPr>
      <t xml:space="preserve">144620 tCO2 ekv. /metus. </t>
    </r>
    <r>
      <rPr>
        <u/>
        <sz val="10"/>
        <color theme="1"/>
        <rFont val="Calibri"/>
        <family val="2"/>
        <scheme val="minor"/>
      </rPr>
      <t>Galutinė CO2 reikšmė:</t>
    </r>
    <r>
      <rPr>
        <sz val="10"/>
        <color theme="1"/>
        <rFont val="Calibri"/>
        <family val="2"/>
        <scheme val="minor"/>
      </rPr>
      <t>1 šilumos siurblys  sunaudoja 0,7 TNE/metus, t.y.  8,13  MWh energijos, tai 6061 nauji šilumos siurbliai suvartos  6061x8,13= 49276 MWh/metus. CO2 kiekis bus 49276x 0,42 tCO2/MWh (taršos faktorius elektrai pagal STR)=</t>
    </r>
    <r>
      <rPr>
        <b/>
        <sz val="10"/>
        <color theme="1"/>
        <rFont val="Calibri"/>
        <family val="2"/>
        <scheme val="minor"/>
      </rPr>
      <t>20696 tCO2 ekv./metus</t>
    </r>
    <r>
      <rPr>
        <sz val="10"/>
        <color theme="1"/>
        <rFont val="Calibri"/>
        <family val="2"/>
        <scheme val="minor"/>
      </rPr>
      <t xml:space="preserve">.                   </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</si>
  <si>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12122  boilers consume 12122x66,28=803446 MWh/year primary energy and CO2 will be 803 446 MWh/year x 0,36 tCO2/MWh= 289241 tCO2 ekv. /year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biomass boiler consumes 2 times less energy 2,8 toe or  33,14  MWh.  12122 biomass boilers consume  12122x33,14=401723 MWh/year. CO2 will be 401723 MWh/year x 0,04 tCO2/MWh (pollution factor for biomass according to TRC, MInistry of Environment)  = 16069 tCO2 ekv. /year.</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</si>
  <si>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6061  fossil fuel boilers consume 6061x66,28 =~ 401723 MWh/year  of primary energy and CO2 will be 401723 MWh/year x 0,36 tCO2/MWh = 144620 tCO2 ekv./year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heat pump consumes 0,7 toe or  8,13  MWh (data from 2014-2020 OP).  6061 heat pumps consume  6061x8,13= 49276 MWh/year. CO2 will be 49276x 0,42 tCO2/MWh (pollution factor for electricity according to TRC, MInistry of Environment)  = 20696 tCO2 ekv./year.</t>
    </r>
  </si>
  <si>
    <r>
      <rPr>
        <i/>
        <sz val="10"/>
        <color rgb="FF7030A0"/>
        <rFont val="Calibri"/>
        <family val="2"/>
        <scheme val="minor"/>
      </rPr>
      <t xml:space="preserve">Skaičiavimams taikomas paramos intensyvumas vidut.50 proc., siekiant išlaikyti tokį patį finansavimo modelį kaip ir 2014-2020m.  </t>
    </r>
    <r>
      <rPr>
        <sz val="10"/>
        <color theme="1"/>
        <rFont val="Calibri"/>
        <family val="2"/>
        <scheme val="minor"/>
      </rPr>
      <t>10 proc. (~3,750 MEUR)  lėšų investuojama į saulės elektrines, 70 proc. ~26,25 MEUR  - į saulės kolektorius ir 20 proc.  - ~ 7,5 MEUR į energijos saugojimo sprendimus (šilumos talpyklas) CŠT tinkle. Saulės elektrinės 1 kW kaina rinkoje-~ 800 eur, saulės kolektorių 1 m2 kaina rinkoje - ~ 200 eur, vidut. 1 m3 šiluminės energijos talpyklos kainuoja rinkoje -~ 200 eurų. Už numatytas lėšas saulės elektrinių būtų įdiegta 3,75MEUR/800 eurų/kW= 4687,5 kW (</t>
    </r>
    <r>
      <rPr>
        <b/>
        <sz val="10"/>
        <color theme="1"/>
        <rFont val="Calibri"/>
        <family val="2"/>
        <scheme val="minor"/>
      </rPr>
      <t>~4,7 MWe</t>
    </r>
    <r>
      <rPr>
        <sz val="10"/>
        <color theme="1"/>
        <rFont val="Calibri"/>
        <family val="2"/>
        <scheme val="minor"/>
      </rPr>
      <t xml:space="preserve">) galios; saulės kolektorių būtų įdiegta 26,25MEUR/200 eurų/m2=131250 m2, tai sudaro </t>
    </r>
    <r>
      <rPr>
        <b/>
        <sz val="10"/>
        <color theme="1"/>
        <rFont val="Calibri"/>
        <family val="2"/>
        <scheme val="minor"/>
      </rPr>
      <t>91,8 MWš</t>
    </r>
    <r>
      <rPr>
        <sz val="10"/>
        <color theme="1"/>
        <rFont val="Calibri"/>
        <family val="2"/>
        <scheme val="minor"/>
      </rPr>
      <t xml:space="preserve"> galios ( skaičiuojama, kad 1000m2 sukuria 0,7 MW galios, tuomet 131250m2 sukurs – 91,8 MW); šilumos talpyklų būtų įrengta 7,5MEUR/ 200 eurų/m3=37500 m3, t.y.~1961 MWh talpos. Viso AEI pajėgumų iki 2029 m:  </t>
    </r>
    <r>
      <rPr>
        <b/>
        <sz val="10"/>
        <color theme="1"/>
        <rFont val="Calibri"/>
        <family val="2"/>
        <scheme val="minor"/>
      </rPr>
      <t xml:space="preserve">4,7 MWe ir 91,8 MWš </t>
    </r>
    <r>
      <rPr>
        <sz val="10"/>
        <color theme="1"/>
        <rFont val="Calibri"/>
        <family val="2"/>
        <scheme val="minor"/>
      </rPr>
      <t xml:space="preserve">ir šilumos talpyklos – </t>
    </r>
    <r>
      <rPr>
        <b/>
        <sz val="10"/>
        <color theme="1"/>
        <rFont val="Calibri"/>
        <family val="2"/>
        <scheme val="minor"/>
      </rPr>
      <t>1961 MWh</t>
    </r>
    <r>
      <rPr>
        <sz val="10"/>
        <color theme="1"/>
        <rFont val="Calibri"/>
        <family val="2"/>
        <scheme val="minor"/>
      </rPr>
      <t>. Daroma prielaida, kad iki 2024 m. bus investuota iki 20 proc. lėšų, tad tarpinė reikšmė būtų 4,7MWe x0,2=~</t>
    </r>
    <r>
      <rPr>
        <b/>
        <sz val="10"/>
        <color theme="1"/>
        <rFont val="Calibri"/>
        <family val="2"/>
        <scheme val="minor"/>
      </rPr>
      <t>0,9 MWe</t>
    </r>
    <r>
      <rPr>
        <sz val="10"/>
        <color theme="1"/>
        <rFont val="Calibri"/>
        <family val="2"/>
        <scheme val="minor"/>
      </rPr>
      <t>,  91,8 MWšx0,2=~</t>
    </r>
    <r>
      <rPr>
        <b/>
        <sz val="10"/>
        <color theme="1"/>
        <rFont val="Calibri"/>
        <family val="2"/>
        <scheme val="minor"/>
      </rPr>
      <t>18 MWš</t>
    </r>
    <r>
      <rPr>
        <sz val="10"/>
        <color theme="1"/>
        <rFont val="Calibri"/>
        <family val="2"/>
        <scheme val="minor"/>
      </rPr>
      <t xml:space="preserve"> ir 1961x0,2=~392 MWh.                                                                                               </t>
    </r>
    <r>
      <rPr>
        <i/>
        <sz val="10"/>
        <color rgb="FF7030A0"/>
        <rFont val="Calibri"/>
        <family val="2"/>
        <scheme val="minor"/>
      </rPr>
      <t>Įvestas nac. produkto rodiklis energijos saugojimui skaičiuoti, kadangi RCO105 reglamentinis rodiklis, kuris tiktų,  negali būti taikomas kituose uždaviniuose nei 2.3.</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</si>
  <si>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10 percent (3,75 MEUR) funds are invested in solar power plants, 70 percent. (26,25 MEUR) - to solar collectors and 20 percent. - (7,5 MEUR) for energy storage solutions (heat tanks) in the DH network. The price of a 1 kW solar power plant in the market is ~ 800 euros, the price of 1 m2 of solar collectors in the market is ~ 200 euros, the average price of 1 m3 of thermal energy tanks in the market is ~ 200 euros.
With the planned funds, solar power plants would be installed: 3,75 MEUR/800 EUR/kW = 4687,5 kW (~ 4.7 MWe) power plants. For the planned funds 26,25 MEUR/200 euros/m2 = 131250 m2 of solar collectors would be installed , which provide for 91,8 MWt capacity (it is estimated that 1000m2 will generate 0,7 MW capacity of power), then 131250m2 will generate 91,8 MWe. For the planned funds 7,5 MEUR/200 eur/m3 = 37500 m3, i.e. ~ 1961 MWh capacity of heat tanks would be installed. Total RES capacity until 2029: 4,7 MWe and 91,8 MWt and heat storage - 1961 MWh. It is assumed that up to 20%  of funds will be invested by 2024, so Milestone 2024 would be 4,7MWe x0,2 = ~ 0,9 MWe, 91,8 MWtx0,2 = ~ 18 MWt and heat tanks: 1961x0,2 = ~ 392 MWh.  A </t>
    </r>
    <r>
      <rPr>
        <i/>
        <sz val="10"/>
        <color theme="1"/>
        <rFont val="Calibri"/>
        <family val="2"/>
        <charset val="186"/>
        <scheme val="minor"/>
      </rPr>
      <t>national product indicator has been introduced to calculate energy storage, as RCO105 is a regulatory indicator that would be appropriate. It cannot be applied to tasks other than 2.3.</t>
    </r>
  </si>
  <si>
    <r>
      <t xml:space="preserve">According to Lithuanian District Heating Association study, 1 MW of heat pump capacity would produce 600 MWh of energy, so 37,5 MW will generate 22500 MWh of energy. </t>
    </r>
    <r>
      <rPr>
        <u/>
        <sz val="10"/>
        <color theme="1"/>
        <rFont val="Calibri"/>
        <family val="2"/>
        <charset val="186"/>
        <scheme val="minor"/>
      </rPr>
      <t>Baseline:</t>
    </r>
    <r>
      <rPr>
        <sz val="10"/>
        <color theme="1"/>
        <rFont val="Calibri"/>
        <family val="2"/>
        <scheme val="minor"/>
      </rPr>
      <t xml:space="preserve"> 22500x0,1= 2250 tCO2eq/year (where 0,1 tCO2/MWh - pollution factor for heat from DH according to Technical Regulation of Construction, Ministry of Environment). </t>
    </r>
    <r>
      <rPr>
        <u/>
        <sz val="10"/>
        <color theme="1"/>
        <rFont val="Calibri"/>
        <family val="2"/>
        <charset val="186"/>
        <scheme val="minor"/>
      </rPr>
      <t>Target 2029:</t>
    </r>
    <r>
      <rPr>
        <sz val="10"/>
        <color theme="1"/>
        <rFont val="Calibri"/>
        <family val="2"/>
        <scheme val="minor"/>
      </rPr>
      <t xml:space="preserve">  22500x0,04=900 tCO2eq/year (where 0,04 tCO2/MWh-  pollution factor for natural gas).</t>
    </r>
  </si>
  <si>
    <t>Category funds 100 percent invested in heat pumps with a cost of 1 MW ~ 1 MEUR (according to Danish Technology Data). Heat pumps with a total capacity of 37,5 MWt can be installed for 37,5 MEUR (applying an average support intensity of 50 percent, similarly to the applicants in the heat sector in 2014-2020). It is assumed that up to 30 percent of funds will be invested by 2024, so the intermediate value will be 37,5x0,3 = ~ 11 MWt</t>
  </si>
  <si>
    <r>
      <rPr>
        <u/>
        <sz val="10"/>
        <color theme="1"/>
        <rFont val="Calibri"/>
        <family val="2"/>
        <charset val="186"/>
        <scheme val="minor"/>
      </rPr>
      <t xml:space="preserve">Baseline: </t>
    </r>
    <r>
      <rPr>
        <sz val="10"/>
        <color theme="1"/>
        <rFont val="Calibri"/>
        <family val="2"/>
        <scheme val="minor"/>
      </rPr>
      <t xml:space="preserve">1 kW solar power plants produce about 1000 kWh (1 MW - 1000 MWh), so 4,7 MW will produce 4700 MWh of energy polluting 4700MWh x0,42 tCO2/MWh=1974 tCO2 eq./year (where 0,42 - electricity pollution factor). 1 m2 of solar collectors produce 400 kWh, then 131250 m2 would produce 52500MWh polluting  52500MWh x 0,1 = 5250  tCO2eq /year ((where 0,1 - pollution factor for heat from DH). Total CO2 would be 1974+ 5250=7224 tCO2eq./year. </t>
    </r>
    <r>
      <rPr>
        <u/>
        <sz val="10"/>
        <color theme="1"/>
        <rFont val="Calibri"/>
        <family val="2"/>
        <charset val="186"/>
        <scheme val="minor"/>
      </rPr>
      <t>Target 2029:</t>
    </r>
    <r>
      <rPr>
        <sz val="10"/>
        <color theme="1"/>
        <rFont val="Calibri"/>
        <family val="2"/>
        <scheme val="minor"/>
      </rPr>
      <t xml:space="preserve"> since polution factor of solar energy is 0, then target value is 0.</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</si>
  <si>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(15,75 MEUR) will be invested in low-capacity biofuel cogeneration plants; 25 percent (5,625 MEUR) - to high efficiency biofuel boilers; 5 percent (1,125 MEUR) - to heat storage facilities (heat tanks). </t>
    </r>
    <r>
      <rPr>
        <u/>
        <sz val="10"/>
        <color theme="1"/>
        <rFont val="Calibri"/>
        <family val="2"/>
        <charset val="186"/>
        <scheme val="minor"/>
      </rPr>
      <t>Target 2029</t>
    </r>
    <r>
      <rPr>
        <sz val="10"/>
        <color theme="1"/>
        <rFont val="Calibri"/>
        <family val="2"/>
        <scheme val="minor"/>
      </rPr>
      <t xml:space="preserve"> Installation of  small scale CHP (1 MWe + 5 MWt) costs </t>
    </r>
    <r>
      <rPr>
        <sz val="10"/>
        <color theme="1"/>
        <rFont val="Calibri"/>
        <family val="2"/>
        <charset val="186"/>
      </rPr>
      <t>~</t>
    </r>
    <r>
      <rPr>
        <sz val="10"/>
        <color theme="1"/>
        <rFont val="Calibri"/>
        <family val="2"/>
        <scheme val="minor"/>
      </rPr>
      <t xml:space="preserve">5 MEUR (data from 2014-2020 OP projects), so with 15,75 MEUR  we could develop  15,75/5 = 3 MWe and 15 MWt CHP capacity; 1 MW of a high-efficiency biomass boiler costs 0,5 MEUR. For 5,6 MEUR we would install 5,6/0,5=11MWt of high efficiency boilers. By 2029 a total RES capacity  of </t>
    </r>
    <r>
      <rPr>
        <b/>
        <sz val="10"/>
        <color theme="1"/>
        <rFont val="Calibri"/>
        <family val="2"/>
        <charset val="186"/>
        <scheme val="minor"/>
      </rPr>
      <t>3 MWe and 26 MWt</t>
    </r>
    <r>
      <rPr>
        <sz val="10"/>
        <color theme="1"/>
        <rFont val="Calibri"/>
        <family val="2"/>
        <scheme val="minor"/>
      </rPr>
      <t xml:space="preserve"> (15MW + 11MW)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will be ~ </t>
    </r>
    <r>
      <rPr>
        <b/>
        <sz val="10"/>
        <color theme="1"/>
        <rFont val="Calibri"/>
        <family val="2"/>
        <charset val="186"/>
        <scheme val="minor"/>
      </rPr>
      <t>0,6 MWe and 5 MWt</t>
    </r>
    <r>
      <rPr>
        <sz val="10"/>
        <color theme="1"/>
        <rFont val="Calibri"/>
        <family val="2"/>
        <scheme val="minor"/>
      </rPr>
      <t xml:space="preserve"> of RES capacity installed. 
</t>
    </r>
    <r>
      <rPr>
        <u/>
        <sz val="10"/>
        <color theme="1"/>
        <rFont val="Calibri"/>
        <family val="2"/>
        <charset val="186"/>
        <scheme val="minor"/>
      </rPr>
      <t>Target 2029:</t>
    </r>
    <r>
      <rPr>
        <sz val="10"/>
        <color theme="1"/>
        <rFont val="Calibri"/>
        <family val="2"/>
        <scheme val="minor"/>
      </rPr>
      <t xml:space="preserve"> Average market price of 1 m3 heat tanks suitable for DH would cost 200 euros. For 1,125 MEUR we would create 1,125 /0,0002 = 5625 m3, which is about </t>
    </r>
    <r>
      <rPr>
        <b/>
        <sz val="10"/>
        <color theme="1"/>
        <rFont val="Calibri"/>
        <family val="2"/>
        <charset val="186"/>
        <scheme val="minor"/>
      </rPr>
      <t xml:space="preserve">260 MWh </t>
    </r>
    <r>
      <rPr>
        <sz val="10"/>
        <color theme="1"/>
        <rFont val="Calibri"/>
        <family val="2"/>
        <scheme val="minor"/>
      </rPr>
      <t xml:space="preserve">capacity (according to  Lithuanian District Heating Association data, 1 MWh corresponds to about 21,6 m3 of heat tank capacity). It is assumed that by 2024 about 20 % of funds will be invested, so the </t>
    </r>
    <r>
      <rPr>
        <u/>
        <sz val="10"/>
        <color theme="1"/>
        <rFont val="Calibri"/>
        <family val="2"/>
        <charset val="186"/>
        <scheme val="minor"/>
      </rPr>
      <t>Milestone 2024</t>
    </r>
    <r>
      <rPr>
        <sz val="10"/>
        <color theme="1"/>
        <rFont val="Calibri"/>
        <family val="2"/>
        <scheme val="minor"/>
      </rPr>
      <t xml:space="preserve"> is 260x0,2 = </t>
    </r>
    <r>
      <rPr>
        <b/>
        <sz val="10"/>
        <color theme="1"/>
        <rFont val="Calibri"/>
        <family val="2"/>
        <charset val="186"/>
        <scheme val="minor"/>
      </rPr>
      <t>52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</si>
  <si>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r>
      <rPr>
        <u/>
        <sz val="10"/>
        <color theme="1"/>
        <rFont val="Calibri"/>
        <family val="2"/>
        <charset val="186"/>
        <scheme val="minor"/>
      </rPr>
      <t>Baseline:</t>
    </r>
    <r>
      <rPr>
        <sz val="10"/>
        <color theme="1"/>
        <rFont val="Calibri"/>
        <family val="2"/>
        <scheme val="minor"/>
      </rPr>
      <t xml:space="preserve"> CO2 is calculated from CHP and biofuel boilers: 3 MWe x8000 h/year (CHP operation time per year) x 0,42 tCO2/MWh (pollution factor for electricity)=10080 tCO2 eq/ year; 26MWt x 6000 h/year (boiler operation time per year) x 0,1 (pollution factor for heat from DH)=15600 tCO2 eq/year. Total CO2: 10080+ 15600=</t>
    </r>
    <r>
      <rPr>
        <b/>
        <sz val="10"/>
        <color theme="1"/>
        <rFont val="Calibri"/>
        <family val="2"/>
        <charset val="186"/>
        <scheme val="minor"/>
      </rPr>
      <t>25680 tCO2 eq/year.</t>
    </r>
    <r>
      <rPr>
        <sz val="10"/>
        <color theme="1"/>
        <rFont val="Calibri"/>
        <family val="2"/>
        <scheme val="minor"/>
      </rPr>
      <t xml:space="preserve"> </t>
    </r>
    <r>
      <rPr>
        <u/>
        <sz val="10"/>
        <color theme="1"/>
        <rFont val="Calibri"/>
        <family val="2"/>
        <charset val="186"/>
        <scheme val="minor"/>
      </rPr>
      <t>Target 2029:</t>
    </r>
    <r>
      <rPr>
        <sz val="10"/>
        <color theme="1"/>
        <rFont val="Calibri"/>
        <family val="2"/>
        <scheme val="minor"/>
      </rPr>
      <t xml:space="preserve"> </t>
    </r>
    <r>
      <rPr>
        <sz val="10"/>
        <color theme="1"/>
        <rFont val="Calibri"/>
        <family val="2"/>
        <charset val="186"/>
        <scheme val="minor"/>
      </rPr>
      <t>3MWex8000 h/year x 0,04 tCO2/MWh (pollution factor for biofuel) =960 tCO2 eq/year; 26MWšx6000 h/year x 0,04 =6240 tCO2 eq/year. Total CO2 value: 960+ 6240=</t>
    </r>
    <r>
      <rPr>
        <b/>
        <sz val="10"/>
        <color theme="1"/>
        <rFont val="Calibri"/>
        <family val="2"/>
        <charset val="186"/>
        <scheme val="minor"/>
      </rPr>
      <t>7200 tCO2 eq/yea</t>
    </r>
    <r>
      <rPr>
        <sz val="10"/>
        <color theme="1"/>
        <rFont val="Calibri"/>
        <family val="2"/>
        <charset val="186"/>
        <scheme val="minor"/>
      </rPr>
      <t>r.</t>
    </r>
  </si>
  <si>
    <r>
      <t>CO2 skaičiuojamas nuo CHP ir biokuro katilų: 7 MWelx8000 h/metus (CHP veikimo laikas per metus) x 0,42 tCO2/MWh (taršos faktorius elektrai) =</t>
    </r>
    <r>
      <rPr>
        <b/>
        <sz val="10"/>
        <color theme="1"/>
        <rFont val="Calibri"/>
        <family val="2"/>
        <scheme val="minor"/>
      </rPr>
      <t>23520 tCO2 ekv./metus</t>
    </r>
    <r>
      <rPr>
        <sz val="10"/>
        <color theme="1"/>
        <rFont val="Calibri"/>
        <family val="2"/>
        <scheme val="minor"/>
      </rPr>
      <t>; 61MWšx6000 h/metus (katilų veikimo laikas per metus) x 0,1 (faktorius pagal STR šilumai iš CŠT tinklo)=36600</t>
    </r>
    <r>
      <rPr>
        <b/>
        <sz val="10"/>
        <color theme="1"/>
        <rFont val="Calibri"/>
        <family val="2"/>
        <scheme val="minor"/>
      </rPr>
      <t xml:space="preserve"> tCO2 </t>
    </r>
    <r>
      <rPr>
        <sz val="10"/>
        <color theme="1"/>
        <rFont val="Calibri"/>
        <family val="2"/>
        <scheme val="minor"/>
      </rPr>
      <t>ekv./metus. Viso CO2 kiekis: 23520+ 36600=</t>
    </r>
    <r>
      <rPr>
        <b/>
        <sz val="10"/>
        <color theme="1"/>
        <rFont val="Calibri"/>
        <family val="2"/>
        <scheme val="minor"/>
      </rPr>
      <t>60120tCO2 ekv./metus</t>
    </r>
    <r>
      <rPr>
        <sz val="10"/>
        <color theme="1"/>
        <rFont val="Calibri"/>
        <family val="2"/>
        <scheme val="minor"/>
      </rPr>
      <t xml:space="preserve"> Galutinė reikšmė: 7 MWelx8000 h/metus (CHP veikimo laikas per metus) x 0,04 tCO2/MWh (taršos faktorius biokurui) =2240 tCO2 ekv./metus; 61MWšx6000 h/metus (katilų veikimo laikas per metus) x 0,04 (faktorius pagal STR biokurui)=14640 tCO2 ekv./metus. Viso CO2 kiekis: 2240+ 14640=16880 tCO2 ekv./metus</t>
    </r>
  </si>
  <si>
    <r>
      <rPr>
        <u/>
        <sz val="10"/>
        <color theme="1"/>
        <rFont val="Calibri"/>
        <family val="2"/>
        <charset val="186"/>
        <scheme val="minor"/>
      </rPr>
      <t>Baseline</t>
    </r>
    <r>
      <rPr>
        <sz val="10"/>
        <color theme="1"/>
        <rFont val="Calibri"/>
        <family val="2"/>
        <scheme val="minor"/>
      </rPr>
      <t>: CO2 is calculated from CHP and biofuel boilers: 7 MWe x 8000 h/year (CHP operation time per year) x 0,42 tCO2 /MWh (pollution factor for electricity) = 23520 tCO2 eq/ year; 61MWt x 6000h/year (boiler operation time per year) x 0,1 pollution factor for electricity)= 36600 tCO2 eq/year. Total CO2 value: 23520 + 36600 = 60120 tCO2 eq/year.</t>
    </r>
    <r>
      <rPr>
        <u/>
        <sz val="10"/>
        <color theme="1"/>
        <rFont val="Calibri"/>
        <family val="2"/>
        <charset val="186"/>
        <scheme val="minor"/>
      </rPr>
      <t xml:space="preserve">Target 2029: </t>
    </r>
    <r>
      <rPr>
        <sz val="10"/>
        <color theme="1"/>
        <rFont val="Calibri"/>
        <family val="2"/>
        <scheme val="minor"/>
      </rPr>
      <t>7 MWe x 8000 h/year x 0,04 tCO2/MWh (pollution factor for biofuel) =2240 tCO2 eq/year; 61MWt x 6000 h/year x 0,04 tCO2/MWh (pollution factor for biofuel)=14640 tCO2 eq/year. Total CO2: 2240+ 14640=16880 tCO2 eq/year.</t>
    </r>
  </si>
  <si>
    <t>Indicator</t>
  </si>
  <si>
    <t>Region Category</t>
  </si>
  <si>
    <t>Code</t>
  </si>
  <si>
    <t>Name</t>
  </si>
  <si>
    <t>Fund</t>
  </si>
  <si>
    <t>Measurement unit</t>
  </si>
  <si>
    <r>
      <rPr>
        <u/>
        <sz val="10"/>
        <color theme="1"/>
        <rFont val="Calibri"/>
        <family val="2"/>
        <scheme val="minor"/>
      </rPr>
      <t>Target 2029:</t>
    </r>
    <r>
      <rPr>
        <sz val="10"/>
        <color theme="1"/>
        <rFont val="Calibri"/>
        <family val="2"/>
        <scheme val="minor"/>
      </rPr>
      <t xml:space="preserve"> 70 percent funds  (4750046,36x0,7=3325032,45 eur) will be allocated to energy storage.   Installation of 1 kW small scale wind power plant (wind PP)  costs an average about 2000 eur (publicly available information on internet).We assume that administrative costs will be same (4,11 percent, (1045010 eur x 0,7x 0,0411)=~30065 eur) as for solar energy during 2014-2020. Then with 3325032,45-30065=3294967,45 eur  would be possible to install 3294967,4/2000/1000 =~</t>
    </r>
    <r>
      <rPr>
        <b/>
        <sz val="10"/>
        <color theme="1"/>
        <rFont val="Calibri"/>
        <family val="2"/>
        <charset val="186"/>
        <scheme val="minor"/>
      </rPr>
      <t>1,65MW</t>
    </r>
    <r>
      <rPr>
        <sz val="10"/>
        <color theme="1"/>
        <rFont val="Calibri"/>
        <family val="2"/>
        <scheme val="minor"/>
      </rPr>
      <t>e of wind PP.</t>
    </r>
    <r>
      <rPr>
        <u/>
        <sz val="10"/>
        <color theme="1"/>
        <rFont val="Calibri"/>
        <family val="2"/>
        <scheme val="minor"/>
      </rPr>
      <t>Milestone 2024</t>
    </r>
    <r>
      <rPr>
        <sz val="10"/>
        <color theme="1"/>
        <rFont val="Calibri"/>
        <family val="2"/>
        <scheme val="minor"/>
      </rPr>
      <t>: we assume that 30 percent funds will be invested by 2024, then 1,65x0,3=</t>
    </r>
    <r>
      <rPr>
        <b/>
        <sz val="10"/>
        <color theme="1"/>
        <rFont val="Calibri"/>
        <family val="2"/>
        <charset val="186"/>
        <scheme val="minor"/>
      </rPr>
      <t>0,49 MWe</t>
    </r>
    <r>
      <rPr>
        <sz val="10"/>
        <color theme="1"/>
        <rFont val="Calibri"/>
        <family val="2"/>
        <scheme val="minor"/>
      </rPr>
      <t xml:space="preserve"> of wind PP could be installed.</t>
    </r>
  </si>
  <si>
    <t>special output</t>
  </si>
  <si>
    <t>Whole Lithuania</t>
  </si>
  <si>
    <t>CF</t>
  </si>
  <si>
    <t>Supported projects</t>
  </si>
  <si>
    <t>Data source</t>
  </si>
  <si>
    <t>Target 2029</t>
  </si>
  <si>
    <t>Milestone 2024</t>
  </si>
  <si>
    <t>year</t>
  </si>
  <si>
    <t>value</t>
  </si>
  <si>
    <t>Region category</t>
  </si>
  <si>
    <t>Energy storage solutions</t>
  </si>
  <si>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(36,75 MEUR) will be invested in small scale biofuel cogeneration plants; 25 percent (13,125 MEUR) -  high efficiency biofuel boilers; 5 percent (2,625 MEUR) - heat storage facilities (heat tanks). </t>
    </r>
    <r>
      <rPr>
        <u/>
        <sz val="10"/>
        <color theme="1"/>
        <rFont val="Calibri"/>
        <family val="2"/>
        <charset val="186"/>
        <scheme val="minor"/>
      </rPr>
      <t>Target 2029:</t>
    </r>
    <r>
      <rPr>
        <sz val="10"/>
        <color theme="1"/>
        <rFont val="Calibri"/>
        <family val="2"/>
        <scheme val="minor"/>
      </rPr>
      <t xml:space="preserve"> Installation of small scale biomass CHP (1 MWe + 5 MWt ) costs 5 MEUR, so we would create 36,75 MEUR/5 = 7 MWe and 35 MWt CHP capacity for the planned funds; 1 MW of a high-efficiency biomass boiler costs 0,5 MEUR. For 13,125 MEUR we would install 13,125 /0,5 = 26MWt. Until 2029 a total of </t>
    </r>
    <r>
      <rPr>
        <b/>
        <sz val="10"/>
        <color theme="1"/>
        <rFont val="Calibri"/>
        <family val="2"/>
        <charset val="186"/>
        <scheme val="minor"/>
      </rPr>
      <t xml:space="preserve">7 MWe and 61 MWt </t>
    </r>
    <r>
      <rPr>
        <sz val="10"/>
        <color theme="1"/>
        <rFont val="Calibri"/>
        <family val="2"/>
        <scheme val="minor"/>
      </rPr>
      <t xml:space="preserve">(35MWt + 26MWt) RES capacities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 </t>
    </r>
    <r>
      <rPr>
        <b/>
        <sz val="10"/>
        <color theme="1"/>
        <rFont val="Calibri"/>
        <family val="2"/>
        <charset val="186"/>
        <scheme val="minor"/>
      </rPr>
      <t>1,4 MWe</t>
    </r>
    <r>
      <rPr>
        <sz val="10"/>
        <color theme="1"/>
        <rFont val="Calibri"/>
        <family val="2"/>
        <scheme val="minor"/>
      </rPr>
      <t xml:space="preserve"> ( 7x0,2) and </t>
    </r>
    <r>
      <rPr>
        <b/>
        <sz val="10"/>
        <color theme="1"/>
        <rFont val="Calibri"/>
        <family val="2"/>
        <charset val="186"/>
        <scheme val="minor"/>
      </rPr>
      <t xml:space="preserve">12 MWt </t>
    </r>
    <r>
      <rPr>
        <sz val="10"/>
        <color theme="1"/>
        <rFont val="Calibri"/>
        <family val="2"/>
        <scheme val="minor"/>
      </rPr>
      <t xml:space="preserve"> (61x0,2) of additional RES capacity would be installed. 
Average market prices 1 m3 heat tanks suitable for DH would cost 200 euros. For 2,625 MEUR we would create 2,625/0,0002 = 13125 m3, which is about </t>
    </r>
    <r>
      <rPr>
        <b/>
        <sz val="10"/>
        <color theme="1"/>
        <rFont val="Calibri"/>
        <family val="2"/>
        <charset val="186"/>
        <scheme val="minor"/>
      </rPr>
      <t>607 MWh</t>
    </r>
    <r>
      <rPr>
        <sz val="10"/>
        <color theme="1"/>
        <rFont val="Calibri"/>
        <family val="2"/>
        <scheme val="minor"/>
      </rPr>
      <t xml:space="preserve"> capacity (according to Lithuanian District Heating Association data 1 MWh corresponds to about 21,6 m3 of heat tank capacity). It is assumed that by 2024 about 20 % of funds will be invested, so Milestone 2024: 607x0,2 = </t>
    </r>
    <r>
      <rPr>
        <b/>
        <sz val="10"/>
        <color theme="1"/>
        <rFont val="Calibri"/>
        <family val="2"/>
        <charset val="186"/>
        <scheme val="minor"/>
      </rPr>
      <t>121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</si>
  <si>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t>MW thermal</t>
  </si>
  <si>
    <t>tons of CO2 eq/year</t>
  </si>
  <si>
    <t>028 - Renewable energy - wind</t>
  </si>
  <si>
    <t>029 - Renewable energy - solar</t>
  </si>
  <si>
    <t>030 - Renewable energy - biomass</t>
  </si>
  <si>
    <t>032 - Other renewable energy (including geothermal)</t>
  </si>
  <si>
    <t>Action</t>
  </si>
  <si>
    <t xml:space="preserve">Total allocation of action level (indicated)               </t>
  </si>
  <si>
    <t>MW electricity</t>
  </si>
  <si>
    <t>energy storage solutions</t>
  </si>
  <si>
    <t>Baseline</t>
  </si>
  <si>
    <t>Baseline year</t>
  </si>
  <si>
    <t>Indicator's name</t>
  </si>
  <si>
    <t>Indicator's code</t>
  </si>
  <si>
    <t>ERDF</t>
  </si>
  <si>
    <t>Dwellings with improved energy performance</t>
  </si>
  <si>
    <t>dwellings</t>
  </si>
  <si>
    <t>Public buildings with improved energy performance</t>
  </si>
  <si>
    <t>square metres</t>
  </si>
  <si>
    <t>District heating and cooling network lines newly constructed and improved</t>
  </si>
  <si>
    <t>MWh/year</t>
  </si>
  <si>
    <t>Annual primary energy consumption (of which: dwellings, public buildings, enterprises, other)</t>
  </si>
  <si>
    <t>enterprises</t>
  </si>
  <si>
    <t>Enterprises with improved energy performance</t>
  </si>
  <si>
    <t>Estimated greenhouse emissions</t>
  </si>
  <si>
    <t>Additional production capacity for renewable energy (of which: electricity, thermal)</t>
  </si>
  <si>
    <r>
      <t xml:space="preserve"> Kategorijos lėšos 100 proc. investuojamos į šilumos siurblius, kurių 1 MW kaina ~1 MEUR (informacija pateikta LŠTA pagal</t>
    </r>
    <r>
      <rPr>
        <i/>
        <sz val="10"/>
        <color theme="1"/>
        <rFont val="Calibri"/>
        <family val="2"/>
        <scheme val="minor"/>
      </rPr>
      <t xml:space="preserve"> </t>
    </r>
    <r>
      <rPr>
        <sz val="10"/>
        <color theme="1"/>
        <rFont val="Calibri"/>
        <family val="2"/>
        <scheme val="minor"/>
      </rPr>
      <t>leidinį</t>
    </r>
    <r>
      <rPr>
        <i/>
        <sz val="10"/>
        <color theme="1"/>
        <rFont val="Calibri"/>
        <family val="2"/>
        <scheme val="minor"/>
      </rPr>
      <t xml:space="preserve"> Danish Technology Data</t>
    </r>
    <r>
      <rPr>
        <sz val="10"/>
        <color theme="1"/>
        <rFont val="Calibri"/>
        <family val="2"/>
        <scheme val="minor"/>
      </rPr>
      <t xml:space="preserve">). Už 37,5 MEUR </t>
    </r>
    <r>
      <rPr>
        <i/>
        <sz val="10"/>
        <color rgb="FF7030A0"/>
        <rFont val="Calibri"/>
        <family val="2"/>
        <scheme val="minor"/>
      </rPr>
      <t>(taikant vidut. 50 proc. paramos intensyvumą, panašiai kaip 2014-2020 m. perspektyvoje buvo šilumos sektoriaus pareiškėjams</t>
    </r>
    <r>
      <rPr>
        <sz val="10"/>
        <color theme="1"/>
        <rFont val="Calibri"/>
        <family val="2"/>
        <scheme val="minor"/>
      </rPr>
      <t>) galima įrengti šilumos siurblių, kurių suminė galia 37,5 MWš.Daroma prielaida, kad iki 2024 m. bus investuota iki 30 proc. lėšų, tai tarpinė reikšmė bus 37,5x0,3=~11 MWš</t>
    </r>
  </si>
  <si>
    <t>2.2.3. Increase RES usage for heat and cool generation in district heating sector.                                      (75.000.000 eur)</t>
  </si>
  <si>
    <t xml:space="preserve">2.2.2. To promote heat generation from RES in households                        (37.128.568,1 eur) </t>
  </si>
  <si>
    <t>2.2.1. To promote  electricity generation from RES and energy storage solutions in households                                (104.501.024,2 eur)</t>
  </si>
  <si>
    <t>Midle-West Lithuania region</t>
  </si>
  <si>
    <t>System components</t>
  </si>
  <si>
    <t>end users/year</t>
  </si>
  <si>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</si>
  <si>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</si>
  <si>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</si>
  <si>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 xml:space="preserve">2.3.2.                    Improvement of  reliability and resilience of electricity distribution networks (25.000.000 eur)  </t>
  </si>
  <si>
    <t xml:space="preserve">2.3.1. Smart solutions  for  electricity distribution networks to integrate and manage  decentralised RES  generation and energy storage (25.000.000 eur) </t>
  </si>
  <si>
    <t>033 - Smart Energy Systems (including smart grids and ICT systems) and related storage</t>
  </si>
  <si>
    <t>Users connected to smart energy systems</t>
  </si>
  <si>
    <t>Digital management systems for smart energy systems</t>
  </si>
  <si>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</si>
  <si>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 xml:space="preserve">Data source </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</si>
  <si>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</si>
  <si>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</si>
  <si>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t xml:space="preserve">Iki 2029 m. už 32,5 MEUR bus modernizuotos 29 TP, įdiegta 727 TR+ĮR. Vidut. prie vienos 35 kV TP prijungta 1275 vartotojų, prie vienos TR  prijungta apie 19 vartotojų. Viso prijungta (29x1275)+(727x19)=~ 50800 galutinių naudotojų/metus </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</si>
  <si>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</si>
  <si>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</si>
  <si>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</si>
  <si>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</si>
  <si>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</si>
  <si>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t>Category of region</t>
  </si>
  <si>
    <t>M.U.</t>
  </si>
  <si>
    <r>
      <t>co-financing rate (Eur.)</t>
    </r>
    <r>
      <rPr>
        <b/>
        <sz val="10"/>
        <color rgb="FFFF0000"/>
        <rFont val="Calibri"/>
        <family val="2"/>
        <scheme val="minor"/>
      </rPr>
      <t xml:space="preserve"> </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</si>
  <si>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</si>
  <si>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</si>
  <si>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</si>
  <si>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</si>
  <si>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</si>
  <si>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Enterprises </t>
  </si>
  <si>
    <t>units</t>
  </si>
  <si>
    <t>034- High efficiency co-generation, district heating and cooling</t>
  </si>
  <si>
    <t>024b- Energy efficiency and demonstration projects in large enterprises and supporting measures</t>
  </si>
  <si>
    <t xml:space="preserve">024- Energy efficiency and demonstration projects in SMEs and supporting measures </t>
  </si>
  <si>
    <t xml:space="preserve">2.1.3. To improve energy efficiency in enterprises                                               (24930585,7 eur)     </t>
  </si>
  <si>
    <t>2.1.2. To renovate public buildings improving energy efficiency   (62.000.000 eur)</t>
  </si>
  <si>
    <t>025- Energy efficiency renovation of existing housing stock, demonstration projects and supporting measures</t>
  </si>
  <si>
    <t>026- Energy efficiency renovation of public infrastructure, demonstration projects and supporting measures</t>
  </si>
  <si>
    <t>tons of  CO2 eq/year</t>
  </si>
  <si>
    <t>whole Lithuania</t>
  </si>
  <si>
    <t xml:space="preserve">Installed meters with remote data reading for heat, cool, hot water </t>
  </si>
  <si>
    <r>
      <rPr>
        <i/>
        <sz val="10"/>
        <color rgb="FF7030A0"/>
        <rFont val="Calibri"/>
        <family val="2"/>
        <scheme val="minor"/>
      </rPr>
      <t xml:space="preserve">Veiklai rodiklių skaičiavimai atlikti su 22 proc. paramos intensyvumu, siekiant išlaikyti tą pačią pasiteisinusią finansavimo schemą kaip ir 2014-2020 m. perspektyvoje saulės elektrinėms.    </t>
    </r>
    <r>
      <rPr>
        <sz val="10"/>
        <rFont val="Calibri"/>
        <family val="2"/>
        <charset val="186"/>
        <scheme val="minor"/>
      </rPr>
      <t xml:space="preserve"> Darom prielaidą, kad administravimo išlaidos sudarys 4,11 proc. t.y.  tiek pat, kiek 2014-2020 VP  saulės elektrinėms ir jos išeliminuojamos iš rodiklių skaičiavimo.Nuo likusių kategorijai skirtų lėšų 30 proc.   numatoma skirti    energijos, pagamintos vėjo elektrinėse, saugojimui:</t>
    </r>
    <r>
      <rPr>
        <sz val="10"/>
        <rFont val="Calibri"/>
        <family val="2"/>
        <scheme val="minor"/>
      </rPr>
      <t xml:space="preserve"> 4597769,38x0,3=1379330,8 eur. Vidut. kaina kWh saugojimo apie 330 eur (330000 eur/MWh  </t>
    </r>
    <r>
      <rPr>
        <i/>
        <sz val="10"/>
        <rFont val="Calibri"/>
        <family val="2"/>
        <scheme val="minor"/>
      </rPr>
      <t xml:space="preserve">https://www.irena.org/-/media/Files/IRENA/Agency/Publication/2017/Oct/IRENA_Electricity_Storage_Costs_2017_Summary.pdf </t>
    </r>
    <r>
      <rPr>
        <sz val="10"/>
        <rFont val="Calibri"/>
        <family val="2"/>
        <scheme val="minor"/>
      </rPr>
      <t xml:space="preserve">  Už  1379330,8 eur bus galima saugoti 1,3793308 MEUR/0,33eur/MWh=~4</t>
    </r>
    <r>
      <rPr>
        <b/>
        <sz val="10"/>
        <rFont val="Calibri"/>
        <family val="2"/>
        <scheme val="minor"/>
      </rPr>
      <t xml:space="preserve">,2 MWh. </t>
    </r>
    <r>
      <rPr>
        <sz val="10"/>
        <rFont val="Calibri"/>
        <family val="2"/>
        <scheme val="minor"/>
      </rPr>
      <t>Darom prielaidą, kad iki 2024 m.bus investuota 30 proc., tuomet 4,2x0,3</t>
    </r>
    <r>
      <rPr>
        <b/>
        <sz val="10"/>
        <rFont val="Calibri"/>
        <family val="2"/>
        <scheme val="minor"/>
      </rPr>
      <t xml:space="preserve"> =1,26 MWh                                                                                                                                                                  </t>
    </r>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t>
    </r>
  </si>
  <si>
    <r>
      <t>Darom prielaidą, kad administravimo išlaidos sudarys 4,11 proc. t.y.  tiek pat, kiek 2014-2020 VP  saulės elektrinėms ir jos išeliminuojamos iš rodiklių skaičiavimo. Bus investuojama 70 proc. (4.597.769,38x0,7=3218438,6 eur) kategorijai skirtų lėšų vėjo jėgainių įrengimui namų ūkių poreikiams.  Remiantis viešai prieinamomis ataskaitomis apie vėjo elektrinių kainas, nustatyta, kad vidutinė mažų pajėgumų kaina sudaro apie 2000/kW. Už 3218438,6 eur  bus galima  įrengti apie 3218438,6 eur /2000/1000 =~</t>
    </r>
    <r>
      <rPr>
        <b/>
        <sz val="10"/>
        <rFont val="Calibri"/>
        <family val="2"/>
        <scheme val="minor"/>
      </rPr>
      <t>1,6MW</t>
    </r>
    <r>
      <rPr>
        <sz val="10"/>
        <rFont val="Calibri"/>
        <family val="2"/>
        <scheme val="minor"/>
      </rPr>
      <t xml:space="preserve">e. Darant prielaidą, kad iki 2024 metų pab. bus skirta apie 30 proc. lėšų, tad būtų įrengta apie </t>
    </r>
    <r>
      <rPr>
        <b/>
        <sz val="10"/>
        <rFont val="Calibri"/>
        <family val="2"/>
        <scheme val="minor"/>
      </rPr>
      <t>0,48 MWe</t>
    </r>
    <r>
      <rPr>
        <sz val="1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</si>
  <si>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Vadovaujantis laisvai prieinama tech. informacija internete, 10 kW vėjo elektrinė (namų ūkių poreikiams) per metus pagamina 12800 kWh arba 1 MW - 1280 MWh/metus, tad 1,6 MW vėjo pagamins 1,6 MW x 1280 MWh/per metus =~2048 MWh/metus. CO2 bus 2048 x0,42 tCO2/MWh (elektros energijos taršos faktorius)  = </t>
    </r>
    <r>
      <rPr>
        <sz val="10"/>
        <color theme="1"/>
        <rFont val="Calibri"/>
        <family val="2"/>
        <charset val="186"/>
      </rPr>
      <t>~</t>
    </r>
    <r>
      <rPr>
        <sz val="10"/>
        <color theme="1"/>
        <rFont val="Calibri"/>
        <family val="2"/>
        <scheme val="minor"/>
      </rPr>
      <t>860 tCO2ekv./metus. Galutinė reikšmė: 0</t>
    </r>
  </si>
  <si>
    <r>
      <rPr>
        <u/>
        <sz val="10"/>
        <color theme="1"/>
        <rFont val="Calibri"/>
        <family val="2"/>
        <scheme val="minor"/>
      </rPr>
      <t>Baseline:</t>
    </r>
    <r>
      <rPr>
        <sz val="10"/>
        <color theme="1"/>
        <rFont val="Calibri"/>
        <family val="2"/>
        <scheme val="minor"/>
      </rPr>
      <t xml:space="preserve"> 1MW small scale wind power plant generates 1280MWh/year, then 1,6 MW wind PP would generate 1,6 MWx1280 MWh/year. = ~2048 MWh/year.  CO2 will be 2048 x0,42 tCO2/MWh (</t>
    </r>
    <r>
      <rPr>
        <i/>
        <sz val="10"/>
        <color theme="1"/>
        <rFont val="Calibri"/>
        <family val="2"/>
        <scheme val="minor"/>
      </rPr>
      <t>electricity pollution factor according to Technical Regulation of Construction, MInistry of Environment)</t>
    </r>
    <r>
      <rPr>
        <sz val="10"/>
        <color theme="1"/>
        <rFont val="Calibri"/>
        <family val="2"/>
        <scheme val="minor"/>
      </rPr>
      <t xml:space="preserve">  = ~</t>
    </r>
    <r>
      <rPr>
        <b/>
        <sz val="10"/>
        <color theme="1"/>
        <rFont val="Calibri"/>
        <family val="2"/>
        <charset val="186"/>
        <scheme val="minor"/>
      </rPr>
      <t>860 tCO2 eq/year</t>
    </r>
    <r>
      <rPr>
        <sz val="10"/>
        <color theme="1"/>
        <rFont val="Calibri"/>
        <family val="2"/>
        <scheme val="minor"/>
      </rPr>
      <t xml:space="preserve">. </t>
    </r>
    <r>
      <rPr>
        <u/>
        <sz val="10"/>
        <color theme="1"/>
        <rFont val="Calibri"/>
        <family val="2"/>
        <scheme val="minor"/>
      </rPr>
      <t>Target 2029:</t>
    </r>
    <r>
      <rPr>
        <sz val="10"/>
        <color theme="1"/>
        <rFont val="Calibri"/>
        <family val="2"/>
        <scheme val="minor"/>
      </rPr>
      <t xml:space="preserve"> 2048 x 0 tCO2/MWh ( wind energy  pollution factor according to Technical Regulation of Construction, MInistry of Environment)  = 0.</t>
    </r>
  </si>
  <si>
    <r>
      <rPr>
        <i/>
        <sz val="10"/>
        <color theme="1"/>
        <rFont val="Calibri"/>
        <family val="2"/>
        <scheme val="minor"/>
      </rPr>
      <t xml:space="preserve">Calculation of indicators based on the 50 percent of funding intensity to maintain the same financial model as in 2014-2020. </t>
    </r>
    <r>
      <rPr>
        <sz val="10"/>
        <color theme="1"/>
        <rFont val="Calibri"/>
        <family val="2"/>
        <scheme val="minor"/>
      </rPr>
      <t xml:space="preserve">  We assume that administrative costs will be similar as for boilers' replacement projects administration  in 2014-2020 OP and those costs are not included in the calculation of indicators. According to 2014-2020 OP implementation results, an average installed capacity of biomass boiler  for one household  reaches 19 kW with the price of 3000 eur (1kW=150 eur according to flat rate study prepared by ESFA).  Then with the allocated investment 36365576,12/3000=~12122 efficient biomass boilers would be installed whose capacity will be 12122x19 kW/1000=~230 MWt. </t>
    </r>
    <r>
      <rPr>
        <i/>
        <sz val="10"/>
        <color theme="1"/>
        <rFont val="Calibri"/>
        <family val="2"/>
        <scheme val="minor"/>
      </rPr>
      <t>We assume that 30 percent of funds will be invested by 2024, then milestone will be 230x0,3=69 MWt</t>
    </r>
  </si>
  <si>
    <r>
      <t xml:space="preserve"> </t>
    </r>
    <r>
      <rPr>
        <i/>
        <sz val="10"/>
        <color rgb="FF7030A0"/>
        <rFont val="Calibri"/>
        <family val="2"/>
        <scheme val="minor"/>
      </rPr>
      <t xml:space="preserve">Skaičiavimuose taikomas paramos intensyvumas 50 proc., siekiant išlaikyti tokį patį finansavimo modelį kaip ir 2014-2020 m.   </t>
    </r>
    <r>
      <rPr>
        <sz val="10"/>
        <color theme="1"/>
        <rFont val="Calibri"/>
        <family val="2"/>
        <scheme val="minor"/>
      </rPr>
      <t xml:space="preserve">                                                                                                                                                       Pagal 2014–2020 metų VP priemonės „Katilų keitimas namų ūkiuose“ faktinius rezultatus, įrengiamų šilumos siurblių  vidut. galia  9 kW ir kaina apie 6000 EUR (1kW=670 eurų). Tad investavus 36365575,93 EUR, galima būtų įrengti apie 36365575,93/6000=~6061 šilumos siurblių, kurių bendras pajėgumas būtų 6061x9kW/1000=~</t>
    </r>
    <r>
      <rPr>
        <b/>
        <sz val="10"/>
        <color theme="1"/>
        <rFont val="Calibri"/>
        <family val="2"/>
        <scheme val="minor"/>
      </rPr>
      <t>55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16 MWš.</t>
    </r>
  </si>
  <si>
    <r>
      <rPr>
        <i/>
        <sz val="10"/>
        <color theme="1"/>
        <rFont val="Calibri"/>
        <family val="2"/>
        <scheme val="minor"/>
      </rPr>
      <t xml:space="preserve">Calculation of indicators based on the 50 percent of funding intensity to maintain the same financial model as in 2014-2020.  We assume that administrative costs will be  similar as for boilers' replacement projects administration  in 2014-2020 OP and those costs are not included in the calculation of indicators. </t>
    </r>
    <r>
      <rPr>
        <sz val="10"/>
        <color theme="1"/>
        <rFont val="Calibri"/>
        <family val="2"/>
        <scheme val="minor"/>
      </rPr>
      <t xml:space="preserve"> According to 2014-2020 OP implementation results, an average installed capacity of heat pump  for one household  reaches 9 kW with the price of 6000 eur (1kW=670 eur according to flat rate study prepared by ESFA). We assume that administrative costs will be 4,11 percent,Then with the allocated investment 36365575,93 /6000=~6061 heat pumps would be installed whose capacity will be 6061x9 kW/1000=~55 MWt. We assume that 30 percent of funds will be invested by 2024, then milestone will be 55x0,3=16 MWt</t>
    </r>
  </si>
  <si>
    <r>
      <rPr>
        <i/>
        <sz val="10"/>
        <color theme="1"/>
        <rFont val="Calibri"/>
        <family val="2"/>
        <scheme val="minor"/>
      </rPr>
      <t xml:space="preserve"> Calculation of indicators based on 22 percent of  funding intensity to maintain the same funding level as for solar energy during 2014-2020</t>
    </r>
    <r>
      <rPr>
        <sz val="10"/>
        <color theme="1"/>
        <rFont val="Calibri"/>
        <family val="2"/>
        <scheme val="minor"/>
      </rPr>
      <t xml:space="preserve">. We assume that administrative costs will be similar as for solar power plants projects administration  in 2014-2020 OP  (4,11 percent) and those costs are not included in the calculation of indicators (1045010,2-(1045010,2 x0,0411). </t>
    </r>
    <r>
      <rPr>
        <u/>
        <sz val="10"/>
        <color theme="1"/>
        <rFont val="Calibri"/>
        <family val="2"/>
        <scheme val="minor"/>
      </rPr>
      <t>Target 2029</t>
    </r>
    <r>
      <rPr>
        <sz val="10"/>
        <color theme="1"/>
        <rFont val="Calibri"/>
        <family val="2"/>
        <scheme val="minor"/>
      </rPr>
      <t>: 30 percent funds (4597769,38x0,3=1379330,8 eur) will be allocated to energy storage. An average  1 kWh storage capacity cost about 330 eur (1 MWh=330000 eur, https://www.irena.org/-/media/Files/IRENA/Agency/Publication/2017/Oct/IRENA_Electricity_Storage_Costs_2017_Summary.pdf ). Then with 1379330,8 eur  would be possible to store 1,3793308 MEUR/0,33eur/MWh=~</t>
    </r>
    <r>
      <rPr>
        <b/>
        <sz val="10"/>
        <color theme="1"/>
        <rFont val="Calibri"/>
        <family val="2"/>
        <charset val="186"/>
        <scheme val="minor"/>
      </rPr>
      <t>4,2</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t>
    </r>
    <r>
      <rPr>
        <u/>
        <sz val="10"/>
        <color theme="1"/>
        <rFont val="Calibri"/>
        <family val="2"/>
        <scheme val="minor"/>
      </rPr>
      <t>Milestone 2024</t>
    </r>
    <r>
      <rPr>
        <sz val="10"/>
        <color theme="1"/>
        <rFont val="Calibri"/>
        <family val="2"/>
        <scheme val="minor"/>
      </rPr>
      <t>: we assume that 30 percent funds will be invested by 2024, then 4,2x0,3 =</t>
    </r>
    <r>
      <rPr>
        <b/>
        <sz val="10"/>
        <color theme="1"/>
        <rFont val="Calibri"/>
        <family val="2"/>
        <charset val="186"/>
        <scheme val="minor"/>
      </rPr>
      <t>1,26</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could be stored by 2024.</t>
    </r>
    <r>
      <rPr>
        <i/>
        <sz val="10"/>
        <color theme="1"/>
        <rFont val="Calibri"/>
        <family val="2"/>
        <scheme val="minor"/>
      </rPr>
      <t xml:space="preserve"> 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</si>
  <si>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</si>
  <si>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</si>
  <si>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</si>
  <si>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</si>
  <si>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</si>
  <si>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 šiame uždavinyje.                                                                                                                                                                             Veiklai rodiklių skaičiavimai atlikti su 22 proc. paramos intensyvumu, siekiant išlaikyti tą pačią pasiteisinusią finansavimo schemą kaip ir 2014-2020 m. perspektyvoje bei siekiant paskatinti kuo daugiau gaminančių vartotojų.</t>
    </r>
    <r>
      <rPr>
        <i/>
        <sz val="10"/>
        <color rgb="FF00B050"/>
        <rFont val="Calibri"/>
        <family val="2"/>
        <scheme val="minor"/>
      </rPr>
      <t xml:space="preserve"> </t>
    </r>
    <r>
      <rPr>
        <sz val="10"/>
        <rFont val="Calibri"/>
        <family val="2"/>
        <scheme val="minor"/>
      </rPr>
      <t>Energijos, pagamintos saulės elektrinėse, saugojimui nu</t>
    </r>
    <r>
      <rPr>
        <sz val="10"/>
        <color theme="1"/>
        <rFont val="Calibri"/>
        <family val="2"/>
        <scheme val="minor"/>
      </rPr>
      <t xml:space="preserve">matoma skirti 10 proc. (455.179.185,07x0,1 =45.517.918,5 eur)  finansavimo nuo kategorijai skirtų lėšų.   Vidut. kaina kWh saugojimo apie 330 eur (330000 eur/MWh  https://www.irena.org/-/media/Files/IRENA/Agency/Publication/2017/Oct/IRENA_Electricity_Storage_Costs_2017_Summary.pdf  Darome prielaidą, kad administravimo išlaidos saulės energijos saugojimo projektams tokios pat kaip 2014-2020 VP  saulės elektrinių diegimui -  4,11 proc. ir jos išeliminuojamos iš rodiklių skaičiavimo. Už 45.517.918,5 eur  bus galima saugoti 45,5179185 MEUR/0,33 MEUR/MWh=~138 MWh. Darom prielaidą, kad iki 2024 m.bus investuota 30 proc., tuomet galima sukurti talpyklų, saugojančių 138,2x0,3 =~41,5 MWh </t>
    </r>
  </si>
  <si>
    <r>
      <rPr>
        <i/>
        <sz val="10"/>
        <color theme="1"/>
        <rFont val="Calibri"/>
        <family val="2"/>
        <scheme val="minor"/>
      </rPr>
      <t>Calculation of indicators based on 22 percent of  funding intensity to maintain the same funding model as for small scale solar power plants promotion in 2014-2020 OP.</t>
    </r>
    <r>
      <rPr>
        <sz val="10"/>
        <color theme="1"/>
        <rFont val="Calibri"/>
        <family val="2"/>
        <scheme val="minor"/>
      </rPr>
      <t xml:space="preserve"> </t>
    </r>
    <r>
      <rPr>
        <u/>
        <sz val="10"/>
        <color theme="1"/>
        <rFont val="Calibri"/>
        <family val="2"/>
        <scheme val="minor"/>
      </rPr>
      <t>Target 2029: 1</t>
    </r>
    <r>
      <rPr>
        <sz val="10"/>
        <color theme="1"/>
        <rFont val="Calibri"/>
        <family val="2"/>
        <scheme val="minor"/>
      </rPr>
      <t xml:space="preserve">0 percent funds (455.179.185,07x0,1 =45.517.918,5 eur)  will be allocated to storage of energy produced in solar power plants.An average  1 kWh storage capacity costs about 330 eur (1 MWh=330000 eur, https://www.irena.org/-/media/Files/IRENA/Agency/Publication/2017/Oct/IRENA_Electricity_Storage_Costs_2017_Summary.pdf ). </t>
    </r>
    <r>
      <rPr>
        <i/>
        <sz val="10"/>
        <color theme="1"/>
        <rFont val="Calibri"/>
        <family val="2"/>
        <charset val="186"/>
        <scheme val="minor"/>
      </rPr>
      <t xml:space="preserve">We assume that administrative costs will be the same  as in 2014-2020 OP for solar PP projects' administration 4,11 percent and those costs are not included int calculation of indicators. </t>
    </r>
    <r>
      <rPr>
        <sz val="10"/>
        <color theme="1"/>
        <rFont val="Calibri"/>
        <family val="2"/>
        <scheme val="minor"/>
      </rPr>
      <t xml:space="preserve">With 455179185 eur would be possible to store 45,5179185 MEUR/0,33 MEUR/MWh=~138 MWh energy produced by solar PP. </t>
    </r>
    <r>
      <rPr>
        <u/>
        <sz val="10"/>
        <color theme="1"/>
        <rFont val="Calibri"/>
        <family val="2"/>
        <scheme val="minor"/>
      </rPr>
      <t>Milestone 2024:</t>
    </r>
    <r>
      <rPr>
        <sz val="10"/>
        <color theme="1"/>
        <rFont val="Calibri"/>
        <family val="2"/>
        <scheme val="minor"/>
      </rPr>
      <t xml:space="preserve"> we assume that 30 percent funds will be invested by 2024, then  138,2x0,3 =~41,5 MWh  could be stored by 2024. </t>
    </r>
    <r>
      <rPr>
        <i/>
        <sz val="10"/>
        <color theme="1"/>
        <rFont val="Calibri"/>
        <family val="2"/>
        <scheme val="minor"/>
      </rPr>
      <t xml:space="preserve">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</si>
  <si>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rPr>
        <i/>
        <sz val="10"/>
        <color theme="1"/>
        <rFont val="Calibri"/>
        <family val="2"/>
        <scheme val="minor"/>
      </rPr>
      <t>Calculation of indicators based on 22 percent of  funding intensity to maintain the same funding model as in 2014-2020 OP</t>
    </r>
    <r>
      <rPr>
        <sz val="10"/>
        <color theme="1"/>
        <rFont val="Calibri"/>
        <family val="2"/>
        <scheme val="minor"/>
      </rPr>
      <t xml:space="preserve">.We assume that administrative costs will be the same  as in 2014-2020 OP for solar PP projects' administration 4,11 percent and those costs are not included int calculation of indicators. </t>
    </r>
    <r>
      <rPr>
        <u/>
        <sz val="10"/>
        <color theme="1"/>
        <rFont val="Calibri"/>
        <family val="2"/>
        <scheme val="minor"/>
      </rPr>
      <t>Target 2029:</t>
    </r>
    <r>
      <rPr>
        <sz val="10"/>
        <color theme="1"/>
        <rFont val="Calibri"/>
        <family val="2"/>
        <scheme val="minor"/>
      </rPr>
      <t xml:space="preserve"> 90 percent funds(455.179.185,07x0,9 =409.661.266,56 eur) will be allocated to installation of small scale solar power plants (solar PP).  An average  installation of 1 kW solar PP costs 1467,78 eur ( according to fixed rate study under 2014-2020 OP).With 409.661.266,56 eur  would be possible to install  409.661.266,56 eur  /1467,78/1000=~279 MWe of solar PP.</t>
    </r>
    <r>
      <rPr>
        <u/>
        <sz val="10"/>
        <color theme="1"/>
        <rFont val="Calibri"/>
        <family val="2"/>
        <scheme val="minor"/>
      </rPr>
      <t>Milestone 2024</t>
    </r>
    <r>
      <rPr>
        <sz val="10"/>
        <color theme="1"/>
        <rFont val="Calibri"/>
        <family val="2"/>
        <scheme val="minor"/>
      </rPr>
      <t>: we assume that 30 percent funds will be invested by 2024, then  279x0,3=  ~84 MWe. of solar PP could be installed.</t>
    </r>
  </si>
  <si>
    <r>
      <rPr>
        <i/>
        <sz val="10"/>
        <color rgb="FF7030A0"/>
        <rFont val="Calibri"/>
        <family val="2"/>
        <scheme val="minor"/>
      </rPr>
      <t>Skaičiavimuose taikomas paramos intensyvumas 50 proc., siekiant išlaikyti tokį patį finansavimo modelį kaip ir 2014-2020 m.</t>
    </r>
    <r>
      <rPr>
        <sz val="10"/>
        <color theme="1"/>
        <rFont val="Calibri"/>
        <family val="2"/>
        <scheme val="minor"/>
      </rPr>
      <t xml:space="preserve">  </t>
    </r>
    <r>
      <rPr>
        <i/>
        <sz val="10"/>
        <color theme="1"/>
        <rFont val="Calibri"/>
        <family val="2"/>
        <charset val="186"/>
        <scheme val="minor"/>
      </rPr>
      <t xml:space="preserve">Darom prielaidą, kad administravimo išlaidos sudarys 4,11 proc. t.y.  tiek pat, kiek 2014-2020 VP katilų keitimui  ir jos išeliminuojamos iš rodiklių skaičiavimo.  </t>
    </r>
    <r>
      <rPr>
        <sz val="10"/>
        <color theme="1"/>
        <rFont val="Calibri"/>
        <family val="2"/>
        <scheme val="minor"/>
      </rPr>
      <t>Pagal 2014–2020 metų VP priemonės „Katilų keitimas namų ūkiuose“ faktinius rezultatus, statomų biokuro katilų vidut. galia  19 kW ir kaina apie 3000 EUR (1kW=150 eurų, ESFA fiksuotų įkainių studija). Tad investavus 36365576,12 EUR,galima būtų įrengti apie 36365576,12/3000=</t>
    </r>
    <r>
      <rPr>
        <sz val="10"/>
        <color theme="1"/>
        <rFont val="Calibri"/>
        <family val="2"/>
        <charset val="186"/>
      </rPr>
      <t>~</t>
    </r>
    <r>
      <rPr>
        <sz val="10"/>
        <color theme="1"/>
        <rFont val="Calibri"/>
        <family val="2"/>
        <scheme val="minor"/>
      </rPr>
      <t>12122 įrenginių, kurių bendras pajėgumas būtų 12122x19kW/1000=~</t>
    </r>
    <r>
      <rPr>
        <b/>
        <sz val="10"/>
        <color theme="1"/>
        <rFont val="Calibri"/>
        <family val="2"/>
        <scheme val="minor"/>
      </rPr>
      <t>230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69 MWš.</t>
    </r>
  </si>
  <si>
    <r>
      <t xml:space="preserve">
</t>
    </r>
    <r>
      <rPr>
        <i/>
        <sz val="10"/>
        <color rgb="FF7030A0"/>
        <rFont val="Calibri"/>
        <family val="2"/>
        <scheme val="minor"/>
      </rPr>
      <t>Veiklai rodiklių skaičiavimai atlikti su 22 proc. paramos intensyvumu, siekiant išlaikyti tą pačią pasiteisinusią finansavimo schemą kaip ir 2014-2020 m. perspektyvoje bei siekiant paskatinti kuo daugiau gaminančių vartotojų.</t>
    </r>
    <r>
      <rPr>
        <sz val="10"/>
        <color theme="1"/>
        <rFont val="Calibri"/>
        <family val="2"/>
        <scheme val="minor"/>
      </rPr>
      <t xml:space="preserve"> Darom prielaidą, kad administravimo išlaidos sudarys 4,11 proc. t.y.  tiek pat, kiek 2014-2020 VP  saulės elektrinėms ir jos išeliminuojamos iš rodiklių skaičiavimo.Saulės elektrinių namų ūkiams įrengimui/įsigijimui bus skiriama 90 proc. kategorijos lėšų (455.179.185,07x0,9 =409.661.266,56 eur). Už  409.661.266,56 eur  bus galima įdiegti 409.661.266,56/1467,78/1000=~</t>
    </r>
    <r>
      <rPr>
        <b/>
        <sz val="10"/>
        <color theme="1"/>
        <rFont val="Calibri"/>
        <family val="2"/>
        <charset val="186"/>
        <scheme val="minor"/>
      </rPr>
      <t>279 MWe</t>
    </r>
    <r>
      <rPr>
        <sz val="10"/>
        <color theme="1"/>
        <rFont val="Calibri"/>
        <family val="2"/>
        <scheme val="minor"/>
      </rPr>
      <t xml:space="preserve">, kur 1 kW saulės jėgainės įrengimo kaina yra 1467,78 Eur (pagal 2014-2020 m. VP 114,115 priemonių įkainį, nustatytą VšĮ ESFA). Iki 2024 m., darant prielaidą, kad investuota 30 proc. lėšų, gali būti įrengta apie 279x0,3= </t>
    </r>
    <r>
      <rPr>
        <b/>
        <sz val="10"/>
        <color theme="1"/>
        <rFont val="Calibri"/>
        <family val="2"/>
        <charset val="186"/>
      </rPr>
      <t>~</t>
    </r>
    <r>
      <rPr>
        <b/>
        <sz val="10"/>
        <color theme="1"/>
        <rFont val="Calibri"/>
        <family val="2"/>
        <charset val="186"/>
        <scheme val="minor"/>
      </rPr>
      <t>84 MWe</t>
    </r>
    <r>
      <rPr>
        <b/>
        <i/>
        <sz val="10"/>
        <color rgb="FF7030A0"/>
        <rFont val="Calibri"/>
        <family val="2"/>
        <charset val="186"/>
        <scheme val="minor"/>
      </rPr>
      <t>.</t>
    </r>
    <r>
      <rPr>
        <i/>
        <sz val="10"/>
        <color rgb="FF7030A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</si>
  <si>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ESO duomenimis  vidut. 1 MW saulės elektrinės pagamina apie 1000 MWh/metus, tai iki 2029 m. su 279 MW bus pagaminta 279 x1000= 279000 MWh/metus, CO2 bus 279000 MWh/metus x0,42 tCO2/MWh (elektros energijos taršos faktorius)  = 117180 tCO2ekv./metus. </t>
    </r>
  </si>
  <si>
    <r>
      <rPr>
        <u/>
        <sz val="10"/>
        <color theme="1"/>
        <rFont val="Calibri"/>
        <family val="2"/>
        <scheme val="minor"/>
      </rPr>
      <t>Baseline</t>
    </r>
    <r>
      <rPr>
        <sz val="10"/>
        <color theme="1"/>
        <rFont val="Calibri"/>
        <family val="2"/>
        <scheme val="minor"/>
      </rPr>
      <t xml:space="preserve">: 1MW small scale solar PP generates 1000MWh/year, then 279 MW would generate 279000 MWh/year.  279000 MWh/year x0,42 tCO2/MWh (electricity polution factor according to Technical Regulation of Buildings)  = 117180 tCO2ekv./year. </t>
    </r>
    <r>
      <rPr>
        <u/>
        <sz val="10"/>
        <color theme="1"/>
        <rFont val="Calibri"/>
        <family val="2"/>
        <scheme val="minor"/>
      </rPr>
      <t>Target 2029: 279000x0</t>
    </r>
    <r>
      <rPr>
        <sz val="10"/>
        <color theme="1"/>
        <rFont val="Calibri"/>
        <family val="2"/>
        <scheme val="minor"/>
      </rPr>
      <t>=0, because solar energy pollution factor is 0.</t>
    </r>
  </si>
  <si>
    <t xml:space="preserve">2.1.1. To improve energy efficiency in households not connected to DH (83.000.000 eur) </t>
  </si>
  <si>
    <t>CO2 savings</t>
  </si>
  <si>
    <t xml:space="preserve">2.1.4. To improve energy efficiency of district heating, cooling and  hot water supply systems and develop systems    (26913232,1 eur) </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</si>
  <si>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</si>
  <si>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</si>
  <si>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</si>
  <si>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</si>
  <si>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</si>
  <si>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</si>
  <si>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</si>
  <si>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</si>
  <si>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</si>
  <si>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</si>
  <si>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 xml:space="preserve">Pradinė reikšmė: 1133300 MWh/metus x  0,1 tCO2/MWh (taršos koeficientas šilumai iš CŠT)  = 113330  tCO2ekvivalentu/metus ;   Galutinė reikšmė:  1121001 MWh/metus x  0,1 tCO2/MWh  = 112100  tCO2ekvivalentu/metus        </t>
  </si>
  <si>
    <t xml:space="preserve">Action </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</si>
  <si>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</si>
  <si>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</si>
  <si>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</si>
  <si>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</si>
  <si>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034 - High efficiency co-generation, district heating and cooling</t>
  </si>
  <si>
    <t>040 - Energy efficiency renovation of existing housing stock, demonstration projects and supporting measures</t>
  </si>
  <si>
    <t xml:space="preserve">2.1.3.To improve energy efficiency of district heating, cooling and  hot water supply systems and develop systems  (27.000.000 eur) </t>
  </si>
  <si>
    <t>Dwellings</t>
  </si>
  <si>
    <t>MWh/ year</t>
  </si>
  <si>
    <t>044- Energy efficiency renovation or energy efficiency measures regarding public infrastructure, demonstration projects and supporting measures compliant with energy efficiency criteria</t>
  </si>
  <si>
    <t>EU Amount (EUR)</t>
  </si>
  <si>
    <t xml:space="preserve">Milestone 2024 </t>
  </si>
  <si>
    <t>code</t>
  </si>
  <si>
    <t>name</t>
  </si>
  <si>
    <r>
      <t>Amount (EU+ national)(Eur.)</t>
    </r>
    <r>
      <rPr>
        <i/>
        <sz val="10"/>
        <color rgb="FFFF0000"/>
        <rFont val="Calibri"/>
        <family val="2"/>
        <scheme val="minor"/>
      </rPr>
      <t xml:space="preserve">                  </t>
    </r>
    <r>
      <rPr>
        <b/>
        <sz val="10"/>
        <rFont val="Calibri"/>
        <family val="2"/>
        <scheme val="minor"/>
      </rPr>
      <t xml:space="preserve"> </t>
    </r>
  </si>
  <si>
    <t>Ministry of energy</t>
  </si>
  <si>
    <t>Mid-West Region</t>
  </si>
  <si>
    <t>MWR</t>
  </si>
  <si>
    <t xml:space="preserve"> RCO23</t>
  </si>
  <si>
    <t>Digital management systems for smart energy systems (pažangiųjų energetikos sistemų skaitmeninio valdymo sistemos)</t>
  </si>
  <si>
    <t>end users/ year</t>
  </si>
  <si>
    <t>Indicator code</t>
  </si>
  <si>
    <t>Indicator name</t>
  </si>
  <si>
    <t>Indicator M.U.</t>
  </si>
  <si>
    <t>Indicator baseline value</t>
  </si>
  <si>
    <t>Indicator baseline year</t>
  </si>
  <si>
    <t>2.3.1. Smart solutions  for  electricity distribution networks to integrate and manage  decentralised RES  generation and energy storage (Diegti išmaniuosius sprendimus į elektros skirstomąjį tinklą paskirstytosios gamybos iš AEI ir energijos kaupimo integravimui ir valdymui)</t>
  </si>
  <si>
    <r>
      <rPr>
        <b/>
        <sz val="10"/>
        <color theme="1"/>
        <rFont val="Calibri"/>
        <family val="2"/>
        <charset val="186"/>
        <scheme val="minor"/>
      </rPr>
      <t>053</t>
    </r>
    <r>
      <rPr>
        <sz val="10"/>
        <color theme="1"/>
        <rFont val="Calibri"/>
        <family val="2"/>
        <scheme val="minor"/>
      </rPr>
      <t xml:space="preserve"> - Smart Energy Systems (including smart grids and ICT systems) and related storage (Pažangios energijos sistemos (įskaitant pažangiuosius tinklus ir informacinių komunikacinių technologijų sistemas) ir susijęs kaupimas)</t>
    </r>
  </si>
  <si>
    <t xml:space="preserve">Users benefiting  from higher quality electricity supply </t>
  </si>
  <si>
    <t>Users benefiting  from higher quality electricity supply (Vartotojai, kuriems pagerėjo tiekiamos elektros energijos kokybė)</t>
  </si>
  <si>
    <t>Row ID</t>
  </si>
  <si>
    <t>Field</t>
  </si>
  <si>
    <t>Indicator metadata</t>
  </si>
  <si>
    <t>R.S.</t>
  </si>
  <si>
    <t>Type of indicator</t>
  </si>
  <si>
    <t>result</t>
  </si>
  <si>
    <t>not required</t>
  </si>
  <si>
    <t>&gt;0</t>
  </si>
  <si>
    <t>Policy objective</t>
  </si>
  <si>
    <t>PO2 Greener Europe</t>
  </si>
  <si>
    <t>Specific objective</t>
  </si>
  <si>
    <t>SO2.3  Developing smart energy systems, grids and storage at outside TEN-E</t>
  </si>
  <si>
    <t>Definition and concepts</t>
  </si>
  <si>
    <t>Data collection</t>
  </si>
  <si>
    <t>Time measurement achieved</t>
  </si>
  <si>
    <t>One year after the completion of the output in the supported projects.</t>
  </si>
  <si>
    <t>Aggregation issues</t>
  </si>
  <si>
    <t>Reporting</t>
  </si>
  <si>
    <t>References</t>
  </si>
  <si>
    <t>Corresponding corporate indicator</t>
  </si>
  <si>
    <t>Notes</t>
  </si>
  <si>
    <t>Examples</t>
  </si>
  <si>
    <r>
      <t xml:space="preserve">
</t>
    </r>
    <r>
      <rPr>
        <u/>
        <sz val="10"/>
        <rFont val="Calibri"/>
        <family val="2"/>
        <charset val="186"/>
        <scheme val="minor"/>
      </rPr>
      <t xml:space="preserve">Target: </t>
    </r>
    <r>
      <rPr>
        <sz val="10"/>
        <rFont val="Calibri"/>
        <family val="2"/>
        <charset val="186"/>
        <scheme val="minor"/>
      </rPr>
      <t xml:space="preserve">13  primary substation (PS) (35 kV/10 kV), 7 PS (110/35/10 kV), 1.294 secondary substation (SS) (10/0,4 kV 10/0,4 kV) will be modernised and 1 information system will be installed with 48 MEUR.   
According to Distribution System Operator an average 1.275 users are connected to the one 35 kV/10 kV  PS, 4.859 users are connected  to one 110/35/10 kV PS and 19 users are connected to 10/0,4 kV 10/0,4 kV secondary substation (SS). 
Then total  amount of </t>
    </r>
    <r>
      <rPr>
        <b/>
        <sz val="10"/>
        <rFont val="Calibri"/>
        <family val="2"/>
        <charset val="186"/>
        <scheme val="minor"/>
      </rPr>
      <t>end</t>
    </r>
    <r>
      <rPr>
        <sz val="10"/>
        <rFont val="Calibri"/>
        <family val="2"/>
        <charset val="186"/>
        <scheme val="minor"/>
      </rPr>
      <t xml:space="preserve"> users </t>
    </r>
    <r>
      <rPr>
        <b/>
        <sz val="10"/>
        <rFont val="Calibri"/>
        <family val="2"/>
        <charset val="186"/>
        <scheme val="minor"/>
      </rPr>
      <t>annually</t>
    </r>
    <r>
      <rPr>
        <sz val="10"/>
        <rFont val="Calibri"/>
        <family val="2"/>
        <charset val="186"/>
        <scheme val="minor"/>
      </rPr>
      <t xml:space="preserve"> benefiting from higher quality of electricity supply  will be (13x1.275)+(7x4.859)+(19x1.294)=~75.174.  Baseline: equal 0 because only after modernisation of electricity distribution grids </t>
    </r>
    <r>
      <rPr>
        <b/>
        <sz val="10"/>
        <rFont val="Calibri"/>
        <family val="2"/>
        <charset val="186"/>
        <scheme val="minor"/>
      </rPr>
      <t xml:space="preserve">end </t>
    </r>
    <r>
      <rPr>
        <sz val="10"/>
        <rFont val="Calibri"/>
        <family val="2"/>
        <charset val="186"/>
        <scheme val="minor"/>
      </rPr>
      <t>users will benefit from better quality of electricity supply.</t>
    </r>
  </si>
  <si>
    <r>
      <t xml:space="preserve">Target: 32 primary substation (PS) (35 kV/10 kV), 18 PS (110/35/10 kV), 2.950 secondary substation (SS) (10/0,4 kV 10/0,4 kV) will be modernised and 1 information system will be installed with 48 MEUR.   According to Distribution System Operator an average 1.275 users are connected to the one 35 kV/10 kV  PS, 4.859 users are connected  to one 110/35/10 kV PS and 19 users are connected to 10/0,4 kV 10/0,4 kV secondary substation (SS). 
Then total  amount of </t>
    </r>
    <r>
      <rPr>
        <b/>
        <sz val="10"/>
        <rFont val="Calibri"/>
        <family val="2"/>
        <charset val="186"/>
        <scheme val="minor"/>
      </rPr>
      <t xml:space="preserve">end </t>
    </r>
    <r>
      <rPr>
        <sz val="10"/>
        <rFont val="Calibri"/>
        <family val="2"/>
        <charset val="186"/>
        <scheme val="minor"/>
      </rPr>
      <t xml:space="preserve">users </t>
    </r>
    <r>
      <rPr>
        <b/>
        <sz val="10"/>
        <rFont val="Calibri"/>
        <family val="2"/>
        <charset val="186"/>
        <scheme val="minor"/>
      </rPr>
      <t>annually</t>
    </r>
    <r>
      <rPr>
        <sz val="10"/>
        <rFont val="Calibri"/>
        <family val="2"/>
        <charset val="186"/>
        <scheme val="minor"/>
      </rPr>
      <t xml:space="preserve"> benefiting from higher quality of electricity supply  will be  (32x1275)+(18x4.859)+(19x2.900)= ~ 183.362 .
Baseline: equal 0 because only after modernisation of electricity distribution grids</t>
    </r>
    <r>
      <rPr>
        <b/>
        <sz val="10"/>
        <rFont val="Calibri"/>
        <family val="2"/>
        <charset val="186"/>
        <scheme val="minor"/>
      </rPr>
      <t xml:space="preserve"> end</t>
    </r>
    <r>
      <rPr>
        <sz val="10"/>
        <rFont val="Calibri"/>
        <family val="2"/>
        <charset val="186"/>
        <scheme val="minor"/>
      </rPr>
      <t xml:space="preserve"> users will benefit from better quality of electricity supply.</t>
    </r>
  </si>
  <si>
    <t xml:space="preserve">Annual end users benefiting  from higher quality electricity supply from smart electricity distribution grids supported by the projects. End users may include private and collective households, enterprises etc. For an existing electricity distribution grids  which are modernised, the baseline is 0. The achieved value is the number of annual users in the year following the completion of the physical investment.                                                                                                                                                                           </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</si>
  <si>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</si>
  <si>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specific result</t>
  </si>
  <si>
    <t xml:space="preserve">Calculation of indicators based on the 50 percent of funding intensity to maintain the same financial model as in 2014-2020 ( 04.4.1-LVPA-K-106 measure „Modernisation and development of electricity distribution network“) (EU amount- 24.000.000 Eur +  co-financing rate (Eur.) - 24.000.000 Total - 48.000.000 Eur.).
Target 2029:  According to DSO data modernization cost of one 35kV/10 kV PS  is about 0,55 MEUR, modernization cost of one 110/35/10 kV PS is 1,7 MEUR and modernization cost of one SS  would be around 0,022 MEUR. 
According to DSO market analysis an average  ~0,5 MEUR could be needed to develop and install an information system, the rest of funds  will be divided as follows: 
15 percent (7,125MEUR) will be invested into modernization of  35 kV/10 kV PS:  7,125/0,55 = 13 TP, 
25 percent of funds (11,9  MEUR) will be invested into modernisation of 110/35/10 kV PS: 11,9/1,7= 7 PS, 
60 percent of funds will be invested to modernization of  10/0,4 kV secondary substations (SS): 28,475/0,022= 1.294.   Total smart energy systems' components will be: (1+13+7+1.294)=1.315. The intermediate value for 2024 is set to 0, as it is assumed that  projects will start in 2023 and will not be completed in 2024 ( according to the implemented similar projects duration of such kind of projects is approx. 2-3 years) </t>
  </si>
  <si>
    <t>Calculation of indicators based on the 50 percent of funding intensity to maintain the same financial model as in 2014-2020 ( 04.4.1-LVPA-K-106 measure „Modernisation and development of electricity distribution network“) (EU amount- 56.000.000 Eur +  co-financing rate (Eur.) - 56.000.000 Total -112.000.000 Eur.).
Target:  According to DSO data modernization cost of one 35kV/10 kV PS  is about 0,55 MEUR, modernization cost of one 110/35/10 kV PS is about 1,7 MEUR and modernization cost of one SS  would be around 0,022 MEUR. Investments  will be divided as follows: 
16 percent (17,9 MEUR) will be invested into modernization of  35 kV/10 kV PS:  17,9/0,55= 32 PS, 
27 percent of funds (30,2  MEUR) will be invested into modernisation of 110/35/10 kV PS: 30,2/1,7= 18 PS, 
57 percent of funds (63,8MEUR) will be invested to modernization of  10/0,4 kV secondary substations (SS): 63,8/0,022= 2.900.   Total smart energy systems' components will be: 32+18+2.900= 2.950.  The intermediate value for 2024 is set to 0, as it is assumed that  projects will start in 2023 and will not be completed in 2024 ( according to the implemented similar projects duration of such kind of projects is approx. 2-3 years) 
The EU amount - 1.250.000+ co-financing rate (Eur.) - 187.500. Total 1.437.500 is not covered by indicator.</t>
  </si>
  <si>
    <t>end users/ year
(galutiniai vartotojai per metus)</t>
  </si>
  <si>
    <t>projects data</t>
  </si>
  <si>
    <t>System components (sistemos sudedamosios dalys)</t>
  </si>
  <si>
    <t>Specific objective - 2.3. Developing smart energy systems, grids and storage outside the Trans-European Energy Network (TEN-E) (Plėtoti pažangiąsias elektros energijos sistemas, tinklus ir energijos kaupimo ne transeuropiniame energetikos tinkle (TEN-E) sprendimus)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</si>
</sst>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sz val="11"/>
      <color theme="1"/>
      <name val="Calibri"/>
      <family val="2"/>
    </font>
    <font>
      <sz val="11"/>
      <name val="Calibri"/>
      <family val="2"/>
      <scheme val="minor"/>
    </font>
    <font>
      <b/>
      <sz val="16"/>
      <color rgb="FF00B050"/>
      <name val="Calibri"/>
      <family val="2"/>
      <charset val="186"/>
      <scheme val="minor"/>
    </font>
    <font>
      <b/>
      <sz val="14"/>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i/>
      <sz val="10"/>
      <color rgb="FF00B050"/>
      <name val="Calibri"/>
      <family val="2"/>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i/>
      <sz val="10"/>
      <color rgb="FF7030A0"/>
      <name val="Calibri"/>
      <family val="2"/>
      <charset val="186"/>
      <scheme val="minor"/>
    </font>
    <font>
      <i/>
      <sz val="11"/>
      <color theme="1"/>
      <name val="Calibri"/>
      <family val="2"/>
      <charset val="186"/>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b/>
      <u/>
      <sz val="10"/>
      <name val="Calibri"/>
      <family val="2"/>
      <charset val="186"/>
      <scheme val="minor"/>
    </font>
    <font>
      <b/>
      <sz val="12"/>
      <color rgb="FF00B050"/>
      <name val="Calibri"/>
      <family val="2"/>
      <charset val="186"/>
      <scheme val="minor"/>
    </font>
    <font>
      <i/>
      <sz val="10"/>
      <color rgb="FFFF0000"/>
      <name val="Calibri"/>
      <family val="2"/>
      <scheme val="minor"/>
    </font>
    <font>
      <sz val="11"/>
      <color rgb="FFFF0000"/>
      <name val="Calibri"/>
      <family val="2"/>
      <scheme val="minor"/>
    </font>
    <font>
      <sz val="12"/>
      <color theme="1"/>
      <name val="Calibri"/>
      <family val="2"/>
      <scheme val="minor"/>
    </font>
    <font>
      <sz val="12"/>
      <name val="Calibri"/>
      <family val="2"/>
      <scheme val="minor"/>
    </font>
    <font>
      <i/>
      <sz val="12"/>
      <color theme="1"/>
      <name val="Calibri"/>
      <family val="2"/>
      <scheme val="minor"/>
    </font>
    <font>
      <strike/>
      <sz val="11"/>
      <color rgb="FFFF0000"/>
      <name val="Calibri"/>
      <family val="2"/>
      <scheme val="minor"/>
    </font>
    <font>
      <sz val="9"/>
      <color indexed="81"/>
      <name val="Tahoma"/>
      <family val="2"/>
      <charset val="186"/>
    </font>
    <font>
      <b/>
      <sz val="9"/>
      <color indexed="81"/>
      <name val="Tahoma"/>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71">
    <xf numFmtId="0" fontId="0" fillId="0" borderId="0" xfId="0"/>
    <xf numFmtId="0" fontId="0" fillId="0" borderId="0" xfId="0" applyBorder="1"/>
    <xf numFmtId="0" fontId="0" fillId="0" borderId="0" xfId="0" applyBorder="1" applyAlignment="1">
      <alignment vertical="center" wrapText="1"/>
    </xf>
    <xf numFmtId="0" fontId="0" fillId="2" borderId="0" xfId="0" applyFill="1" applyBorder="1" applyAlignment="1">
      <alignment horizontal="center" vertical="center" wrapText="1"/>
    </xf>
    <xf numFmtId="0" fontId="0" fillId="0" borderId="0" xfId="0" applyBorder="1" applyAlignment="1">
      <alignment horizontal="center" vertical="top" wrapText="1"/>
    </xf>
    <xf numFmtId="0" fontId="7" fillId="0" borderId="0" xfId="0" applyFont="1" applyBorder="1" applyAlignment="1">
      <alignment horizontal="center" vertical="center" wrapText="1"/>
    </xf>
    <xf numFmtId="0" fontId="7" fillId="0" borderId="0" xfId="0" applyFont="1" applyBorder="1" applyAlignment="1">
      <alignment wrapText="1"/>
    </xf>
    <xf numFmtId="0" fontId="0" fillId="0" borderId="0" xfId="0" applyBorder="1" applyAlignment="1">
      <alignment wrapText="1"/>
    </xf>
    <xf numFmtId="0" fontId="0" fillId="0" borderId="0" xfId="0" applyBorder="1" applyAlignment="1">
      <alignment vertical="top" wrapText="1"/>
    </xf>
    <xf numFmtId="4" fontId="0" fillId="0" borderId="0" xfId="0" applyNumberFormat="1" applyBorder="1" applyAlignment="1">
      <alignment vertical="center"/>
    </xf>
    <xf numFmtId="0" fontId="0" fillId="0" borderId="0" xfId="0" applyBorder="1" applyAlignment="1">
      <alignment vertical="center"/>
    </xf>
    <xf numFmtId="0" fontId="0" fillId="0" borderId="8" xfId="0" applyFill="1" applyBorder="1"/>
    <xf numFmtId="164" fontId="0" fillId="0" borderId="0" xfId="0" applyNumberFormat="1"/>
    <xf numFmtId="164" fontId="0" fillId="0" borderId="0" xfId="0" applyNumberFormat="1" applyBorder="1"/>
    <xf numFmtId="0" fontId="3" fillId="0" borderId="10" xfId="0" applyFont="1" applyBorder="1" applyAlignment="1">
      <alignment horizontal="center" vertical="center"/>
    </xf>
    <xf numFmtId="0" fontId="3" fillId="2" borderId="10" xfId="0" applyFont="1" applyFill="1" applyBorder="1" applyAlignment="1">
      <alignment horizontal="center" vertical="center" wrapText="1"/>
    </xf>
    <xf numFmtId="0" fontId="3" fillId="0" borderId="18" xfId="0" applyFont="1" applyBorder="1" applyAlignment="1">
      <alignment horizontal="center" vertical="center" wrapText="1"/>
    </xf>
    <xf numFmtId="164" fontId="0" fillId="0" borderId="0" xfId="0" applyNumberFormat="1" applyBorder="1" applyAlignment="1">
      <alignment vertical="center" wrapText="1"/>
    </xf>
    <xf numFmtId="0" fontId="0" fillId="0" borderId="0" xfId="0" applyAlignment="1">
      <alignment horizontal="center" vertical="center"/>
    </xf>
    <xf numFmtId="0" fontId="2" fillId="0" borderId="0" xfId="0" applyFont="1"/>
    <xf numFmtId="0" fontId="2" fillId="0" borderId="1" xfId="0" applyFont="1" applyBorder="1" applyAlignment="1">
      <alignment horizontal="center" vertical="center" wrapText="1"/>
    </xf>
    <xf numFmtId="0" fontId="2" fillId="0" borderId="0" xfId="0" applyFont="1" applyBorder="1"/>
    <xf numFmtId="0" fontId="2" fillId="0" borderId="25" xfId="0" applyFont="1" applyBorder="1"/>
    <xf numFmtId="0" fontId="0" fillId="0" borderId="0" xfId="0" applyFill="1"/>
    <xf numFmtId="0" fontId="9" fillId="0" borderId="0" xfId="0" applyFont="1" applyAlignment="1"/>
    <xf numFmtId="0" fontId="5" fillId="0" borderId="0" xfId="0" applyFont="1"/>
    <xf numFmtId="0" fontId="2" fillId="0" borderId="0" xfId="0" applyFont="1" applyAlignment="1">
      <alignment wrapText="1"/>
    </xf>
    <xf numFmtId="0" fontId="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2" fillId="0" borderId="0" xfId="0" applyFont="1" applyBorder="1" applyAlignment="1">
      <alignment wrapText="1"/>
    </xf>
    <xf numFmtId="0" fontId="0" fillId="0" borderId="28" xfId="0" applyBorder="1"/>
    <xf numFmtId="0" fontId="5" fillId="0" borderId="0" xfId="0" applyFont="1" applyBorder="1"/>
    <xf numFmtId="0" fontId="5" fillId="0" borderId="0" xfId="0" applyFont="1" applyAlignment="1">
      <alignment vertical="center" wrapText="1"/>
    </xf>
    <xf numFmtId="0" fontId="5" fillId="0" borderId="0" xfId="0" applyFont="1" applyFill="1"/>
    <xf numFmtId="0" fontId="22" fillId="0" borderId="0" xfId="0" applyFont="1" applyAlignment="1"/>
    <xf numFmtId="0" fontId="12" fillId="0" borderId="0" xfId="0" applyFont="1" applyAlignment="1"/>
    <xf numFmtId="0" fontId="12" fillId="0" borderId="0" xfId="0" applyFont="1"/>
    <xf numFmtId="0" fontId="12" fillId="0" borderId="0" xfId="0" applyFont="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vertical="center" wrapText="1"/>
    </xf>
    <xf numFmtId="0" fontId="11"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xf>
    <xf numFmtId="164" fontId="14" fillId="0" borderId="1" xfId="0" applyNumberFormat="1" applyFont="1" applyFill="1" applyBorder="1" applyAlignment="1">
      <alignment horizontal="center" vertical="center"/>
    </xf>
    <xf numFmtId="0" fontId="12" fillId="0" borderId="0" xfId="0" applyFont="1" applyBorder="1"/>
    <xf numFmtId="0" fontId="12" fillId="0" borderId="0" xfId="0" applyFont="1" applyBorder="1" applyAlignment="1">
      <alignment horizontal="center" vertical="center"/>
    </xf>
    <xf numFmtId="0" fontId="26" fillId="0" borderId="0" xfId="0" applyFont="1"/>
    <xf numFmtId="0" fontId="12" fillId="0" borderId="1" xfId="0" applyFont="1" applyBorder="1" applyAlignment="1">
      <alignment horizontal="center" vertical="center"/>
    </xf>
    <xf numFmtId="164" fontId="11" fillId="0" borderId="2"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Fill="1"/>
    <xf numFmtId="0" fontId="12" fillId="0" borderId="0" xfId="0" applyFont="1" applyFill="1" applyAlignment="1">
      <alignment horizontal="center" vertical="center"/>
    </xf>
    <xf numFmtId="3" fontId="14" fillId="0" borderId="1" xfId="0" applyNumberFormat="1" applyFont="1" applyFill="1" applyBorder="1" applyAlignment="1">
      <alignment horizontal="center" vertical="center" wrapText="1"/>
    </xf>
    <xf numFmtId="164" fontId="12" fillId="0" borderId="0" xfId="0" applyNumberFormat="1" applyFont="1"/>
    <xf numFmtId="164" fontId="11" fillId="0" borderId="12" xfId="0" applyNumberFormat="1" applyFont="1" applyBorder="1" applyAlignment="1">
      <alignment horizontal="left" vertical="center" wrapText="1"/>
    </xf>
    <xf numFmtId="0" fontId="12" fillId="0" borderId="0" xfId="0" applyFont="1" applyBorder="1" applyAlignment="1">
      <alignment horizontal="center"/>
    </xf>
    <xf numFmtId="164" fontId="12" fillId="0" borderId="0" xfId="0" applyNumberFormat="1" applyFont="1" applyBorder="1"/>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3" fontId="18" fillId="0" borderId="1" xfId="0" applyNumberFormat="1" applyFont="1" applyFill="1" applyBorder="1" applyAlignment="1">
      <alignment horizontal="center" vertical="center"/>
    </xf>
    <xf numFmtId="164" fontId="18"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64" fontId="18" fillId="0" borderId="1" xfId="0" applyNumberFormat="1" applyFont="1" applyBorder="1" applyAlignment="1">
      <alignment horizontal="center" vertical="center"/>
    </xf>
    <xf numFmtId="3"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0" fontId="18" fillId="0" borderId="1" xfId="0" applyFont="1" applyFill="1" applyBorder="1" applyAlignment="1">
      <alignment horizontal="center" vertical="center"/>
    </xf>
    <xf numFmtId="164" fontId="12"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164" fontId="12" fillId="0" borderId="2"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3" fillId="0" borderId="10" xfId="0" applyFont="1" applyFill="1" applyBorder="1" applyAlignment="1">
      <alignment horizontal="center" vertical="center"/>
    </xf>
    <xf numFmtId="0" fontId="4" fillId="0" borderId="18" xfId="0" applyFont="1" applyFill="1" applyBorder="1" applyAlignment="1">
      <alignment horizontal="left" vertical="center" wrapText="1"/>
    </xf>
    <xf numFmtId="0" fontId="5"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5" fillId="0" borderId="1" xfId="0" applyFont="1" applyFill="1" applyBorder="1" applyAlignment="1">
      <alignment vertical="top" wrapText="1"/>
    </xf>
    <xf numFmtId="0" fontId="19"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1" fillId="0" borderId="2" xfId="0" applyFont="1" applyBorder="1" applyAlignment="1">
      <alignment horizontal="center" vertical="center" wrapText="1"/>
    </xf>
    <xf numFmtId="4" fontId="18"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0" fillId="2" borderId="0" xfId="0" applyFill="1" applyBorder="1" applyAlignment="1">
      <alignment horizontal="center" vertical="top" wrapText="1"/>
    </xf>
    <xf numFmtId="4" fontId="0" fillId="0" borderId="0" xfId="0" applyNumberFormat="1" applyBorder="1" applyAlignment="1">
      <alignment horizontal="center" vertical="center"/>
    </xf>
    <xf numFmtId="0" fontId="0" fillId="0" borderId="0" xfId="0" applyBorder="1" applyAlignment="1">
      <alignment horizontal="center" vertical="center"/>
    </xf>
    <xf numFmtId="0" fontId="16" fillId="0"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5" fillId="0" borderId="2" xfId="0" applyFont="1" applyFill="1" applyBorder="1" applyAlignment="1">
      <alignment vertical="top" wrapText="1"/>
    </xf>
    <xf numFmtId="0" fontId="12"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11" xfId="0" applyFont="1" applyFill="1" applyBorder="1" applyAlignment="1">
      <alignment horizontal="center" vertical="center"/>
    </xf>
    <xf numFmtId="0" fontId="16" fillId="0" borderId="1" xfId="0" applyFont="1" applyFill="1" applyBorder="1" applyAlignment="1">
      <alignment horizontal="center" vertical="center"/>
    </xf>
    <xf numFmtId="0" fontId="14" fillId="0" borderId="1" xfId="0" applyFont="1" applyFill="1" applyBorder="1" applyAlignment="1">
      <alignment vertical="top" wrapText="1"/>
    </xf>
    <xf numFmtId="4" fontId="5" fillId="0" borderId="6"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4" fontId="5"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top" wrapText="1"/>
    </xf>
    <xf numFmtId="0" fontId="0" fillId="0" borderId="0" xfId="0"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wrapText="1"/>
    </xf>
    <xf numFmtId="0" fontId="5" fillId="0" borderId="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3"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3" xfId="0" applyFont="1" applyFill="1" applyBorder="1" applyAlignment="1">
      <alignment vertical="center" wrapText="1"/>
    </xf>
    <xf numFmtId="0" fontId="5" fillId="0" borderId="3" xfId="0" applyFont="1" applyFill="1" applyBorder="1" applyAlignment="1">
      <alignment horizontal="left" wrapText="1"/>
    </xf>
    <xf numFmtId="0" fontId="5" fillId="0" borderId="1" xfId="0" applyFont="1" applyBorder="1" applyAlignment="1">
      <alignment wrapText="1"/>
    </xf>
    <xf numFmtId="0" fontId="12" fillId="0" borderId="1" xfId="0" applyFont="1" applyBorder="1" applyAlignment="1">
      <alignment vertical="top" wrapText="1"/>
    </xf>
    <xf numFmtId="0" fontId="5" fillId="0" borderId="1" xfId="0" applyFont="1" applyBorder="1" applyAlignment="1">
      <alignment vertical="top" wrapText="1"/>
    </xf>
    <xf numFmtId="0" fontId="18" fillId="0" borderId="1" xfId="0" applyFont="1" applyBorder="1" applyAlignment="1">
      <alignment vertical="top" wrapText="1"/>
    </xf>
    <xf numFmtId="0" fontId="5" fillId="0" borderId="1" xfId="0" applyFont="1" applyBorder="1" applyAlignment="1">
      <alignment horizontal="left" vertical="top" wrapText="1"/>
    </xf>
    <xf numFmtId="0" fontId="5" fillId="0" borderId="3" xfId="0" applyFont="1" applyFill="1" applyBorder="1" applyAlignment="1">
      <alignment vertical="top" wrapText="1"/>
    </xf>
    <xf numFmtId="0" fontId="28"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1" xfId="0" applyFont="1" applyFill="1" applyBorder="1" applyAlignment="1">
      <alignment horizontal="center" vertical="center"/>
    </xf>
    <xf numFmtId="0" fontId="15" fillId="0" borderId="11" xfId="0" applyFont="1" applyFill="1" applyBorder="1" applyAlignment="1">
      <alignment horizontal="center" vertical="center"/>
    </xf>
    <xf numFmtId="0" fontId="14" fillId="0" borderId="6"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6"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24" xfId="0" applyFont="1" applyFill="1" applyBorder="1" applyAlignment="1">
      <alignment horizontal="left" vertical="center" wrapText="1"/>
    </xf>
    <xf numFmtId="0" fontId="18" fillId="0" borderId="11" xfId="0" applyFont="1" applyFill="1" applyBorder="1" applyAlignment="1">
      <alignment horizontal="center" vertical="center" wrapText="1"/>
    </xf>
    <xf numFmtId="0" fontId="18" fillId="0" borderId="1" xfId="0" applyFont="1" applyFill="1" applyBorder="1" applyAlignment="1">
      <alignment vertical="center" wrapText="1"/>
    </xf>
    <xf numFmtId="0" fontId="24" fillId="0" borderId="1" xfId="0" applyFont="1" applyFill="1" applyBorder="1" applyAlignment="1">
      <alignment horizontal="center" vertical="center" wrapText="1"/>
    </xf>
    <xf numFmtId="3" fontId="14" fillId="0" borderId="11"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0" fontId="14" fillId="0" borderId="10" xfId="0" applyFont="1" applyFill="1" applyBorder="1" applyAlignment="1">
      <alignment horizontal="center" vertical="center"/>
    </xf>
    <xf numFmtId="0" fontId="36"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5" fillId="0" borderId="17" xfId="0" applyFont="1" applyBorder="1" applyAlignment="1">
      <alignment vertical="top" wrapText="1"/>
    </xf>
    <xf numFmtId="0" fontId="5" fillId="0" borderId="3" xfId="0" applyFont="1" applyBorder="1" applyAlignment="1">
      <alignment vertical="top" wrapText="1"/>
    </xf>
    <xf numFmtId="0" fontId="5" fillId="0" borderId="24" xfId="0" applyFont="1" applyBorder="1" applyAlignment="1">
      <alignment vertical="top" wrapText="1"/>
    </xf>
    <xf numFmtId="0" fontId="5" fillId="0" borderId="18" xfId="0" applyFont="1" applyBorder="1" applyAlignment="1">
      <alignment vertical="top" wrapText="1"/>
    </xf>
    <xf numFmtId="0" fontId="14" fillId="0" borderId="17" xfId="0" applyFont="1" applyBorder="1" applyAlignment="1">
      <alignment horizontal="left" vertical="top" wrapText="1"/>
    </xf>
    <xf numFmtId="0" fontId="14" fillId="0" borderId="18" xfId="0" applyFont="1" applyBorder="1" applyAlignment="1">
      <alignment vertical="top" wrapText="1"/>
    </xf>
    <xf numFmtId="0" fontId="13" fillId="2" borderId="10" xfId="0" applyFont="1" applyFill="1" applyBorder="1" applyAlignment="1">
      <alignment horizontal="center" vertical="center" wrapText="1"/>
    </xf>
    <xf numFmtId="0" fontId="13" fillId="0" borderId="18" xfId="0" applyFont="1" applyBorder="1" applyAlignment="1">
      <alignment horizontal="center" vertical="center" wrapText="1"/>
    </xf>
    <xf numFmtId="0" fontId="37"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Border="1" applyAlignment="1">
      <alignment horizontal="center" vertical="center"/>
    </xf>
    <xf numFmtId="0" fontId="1" fillId="0" borderId="1"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0" fillId="0" borderId="25" xfId="0" applyBorder="1" applyAlignment="1">
      <alignment horizontal="left" vertical="top"/>
    </xf>
    <xf numFmtId="0" fontId="5" fillId="0" borderId="12" xfId="0" applyFont="1" applyBorder="1" applyAlignment="1">
      <alignment horizontal="left" vertical="top" wrapText="1"/>
    </xf>
    <xf numFmtId="0" fontId="0" fillId="0" borderId="26" xfId="0" applyBorder="1"/>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24"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17" xfId="0" applyFont="1" applyBorder="1" applyAlignment="1">
      <alignment horizontal="left" vertical="top" wrapText="1"/>
    </xf>
    <xf numFmtId="0" fontId="2" fillId="0" borderId="26" xfId="0" applyFont="1" applyBorder="1"/>
    <xf numFmtId="165"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2" fillId="0" borderId="15" xfId="0" applyFont="1" applyBorder="1" applyAlignment="1">
      <alignment horizontal="left" vertical="top" wrapText="1"/>
    </xf>
    <xf numFmtId="0" fontId="12" fillId="0" borderId="12" xfId="0" applyFont="1" applyBorder="1" applyAlignment="1">
      <alignment horizontal="left" vertical="top" wrapText="1"/>
    </xf>
    <xf numFmtId="0" fontId="12" fillId="0" borderId="1" xfId="0" applyFont="1" applyBorder="1" applyAlignment="1">
      <alignment vertical="center" wrapText="1"/>
    </xf>
    <xf numFmtId="3"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3" fontId="14" fillId="0" borderId="2"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0" fontId="14" fillId="0" borderId="12" xfId="0" applyFont="1" applyFill="1" applyBorder="1" applyAlignment="1">
      <alignment vertical="top" wrapText="1"/>
    </xf>
    <xf numFmtId="0" fontId="22" fillId="0" borderId="0" xfId="0" applyFont="1" applyAlignment="1">
      <alignment horizontal="center"/>
    </xf>
    <xf numFmtId="0" fontId="12" fillId="0" borderId="0" xfId="0" applyFont="1" applyAlignment="1">
      <alignment horizontal="center"/>
    </xf>
    <xf numFmtId="0" fontId="24" fillId="0" borderId="12" xfId="0" applyFont="1" applyFill="1" applyBorder="1" applyAlignment="1">
      <alignment horizontal="center" vertical="center" wrapText="1"/>
    </xf>
    <xf numFmtId="0" fontId="18" fillId="0" borderId="2" xfId="0" applyFont="1" applyFill="1" applyBorder="1" applyAlignment="1">
      <alignment horizontal="left" vertical="center" wrapText="1"/>
    </xf>
    <xf numFmtId="3" fontId="18" fillId="0" borderId="2" xfId="0" applyNumberFormat="1" applyFont="1" applyFill="1" applyBorder="1" applyAlignment="1">
      <alignment horizontal="center" vertical="center"/>
    </xf>
    <xf numFmtId="0" fontId="15" fillId="0" borderId="1" xfId="0" applyFont="1" applyFill="1" applyBorder="1" applyAlignment="1">
      <alignment vertical="center" wrapText="1"/>
    </xf>
    <xf numFmtId="0" fontId="18" fillId="0" borderId="2" xfId="0" applyFont="1" applyFill="1" applyBorder="1" applyAlignment="1">
      <alignment vertical="center" wrapText="1"/>
    </xf>
    <xf numFmtId="165" fontId="1" fillId="0"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4" fontId="41" fillId="0" borderId="0" xfId="0" applyNumberFormat="1" applyFont="1" applyBorder="1" applyAlignment="1">
      <alignment wrapText="1"/>
    </xf>
    <xf numFmtId="0" fontId="41" fillId="0" borderId="0" xfId="0" applyFont="1" applyBorder="1" applyAlignment="1">
      <alignment wrapText="1"/>
    </xf>
    <xf numFmtId="164" fontId="27" fillId="0" borderId="0" xfId="0" applyNumberFormat="1" applyFont="1"/>
    <xf numFmtId="0" fontId="12" fillId="0" borderId="6" xfId="0" applyFont="1" applyFill="1" applyBorder="1" applyAlignment="1">
      <alignment horizontal="center" vertical="center" wrapText="1"/>
    </xf>
    <xf numFmtId="0" fontId="5" fillId="3" borderId="1" xfId="0" applyFont="1" applyFill="1" applyBorder="1" applyAlignment="1">
      <alignment horizontal="left" vertical="top" wrapText="1"/>
    </xf>
    <xf numFmtId="0" fontId="12" fillId="0" borderId="6" xfId="0" applyFont="1" applyFill="1" applyBorder="1" applyAlignment="1">
      <alignment horizontal="center" vertical="center"/>
    </xf>
    <xf numFmtId="0" fontId="12" fillId="0" borderId="6" xfId="0" applyFont="1" applyFill="1" applyBorder="1" applyAlignment="1">
      <alignment vertical="center" wrapText="1"/>
    </xf>
    <xf numFmtId="0" fontId="5" fillId="0" borderId="6" xfId="0" applyFont="1" applyFill="1" applyBorder="1" applyAlignment="1">
      <alignment horizontal="left" vertical="center" wrapText="1"/>
    </xf>
    <xf numFmtId="0" fontId="38" fillId="0" borderId="0" xfId="0" applyFont="1" applyBorder="1"/>
    <xf numFmtId="0" fontId="0" fillId="0" borderId="29" xfId="0" applyBorder="1"/>
    <xf numFmtId="0" fontId="0" fillId="0" borderId="0" xfId="0" applyFont="1"/>
    <xf numFmtId="0" fontId="0" fillId="0" borderId="0" xfId="0" applyFont="1" applyAlignment="1">
      <alignment wrapText="1"/>
    </xf>
    <xf numFmtId="0" fontId="32" fillId="0" borderId="3" xfId="0" applyFont="1" applyFill="1" applyBorder="1" applyAlignment="1">
      <alignment horizontal="left" vertical="top" wrapText="1"/>
    </xf>
    <xf numFmtId="0" fontId="5" fillId="3" borderId="1" xfId="0" applyFont="1" applyFill="1" applyBorder="1" applyAlignment="1">
      <alignment vertical="top" wrapText="1"/>
    </xf>
    <xf numFmtId="0" fontId="12" fillId="3" borderId="1" xfId="0" applyFont="1" applyFill="1" applyBorder="1" applyAlignment="1">
      <alignment vertical="top" wrapText="1"/>
    </xf>
    <xf numFmtId="0" fontId="5" fillId="3" borderId="6" xfId="0" applyFont="1" applyFill="1" applyBorder="1" applyAlignment="1">
      <alignment vertical="top" wrapText="1"/>
    </xf>
    <xf numFmtId="0" fontId="18" fillId="3" borderId="1" xfId="0" applyFont="1" applyFill="1" applyBorder="1" applyAlignment="1">
      <alignment vertical="top" wrapText="1"/>
    </xf>
    <xf numFmtId="0" fontId="18" fillId="0" borderId="6" xfId="0" applyFont="1" applyFill="1" applyBorder="1" applyAlignment="1">
      <alignment horizontal="center" vertical="center"/>
    </xf>
    <xf numFmtId="0" fontId="18" fillId="0" borderId="6" xfId="0" applyFont="1" applyFill="1" applyBorder="1" applyAlignment="1">
      <alignment horizontal="left" vertical="center" wrapText="1"/>
    </xf>
    <xf numFmtId="4" fontId="18" fillId="0" borderId="6" xfId="0" applyNumberFormat="1" applyFont="1" applyFill="1" applyBorder="1" applyAlignment="1">
      <alignment horizontal="center" vertical="center" wrapText="1"/>
    </xf>
    <xf numFmtId="0" fontId="5" fillId="0" borderId="6" xfId="0" applyFont="1" applyFill="1" applyBorder="1" applyAlignment="1">
      <alignment horizontal="left" vertical="top" wrapText="1"/>
    </xf>
    <xf numFmtId="0" fontId="35" fillId="0" borderId="1" xfId="0" applyFont="1" applyFill="1" applyBorder="1" applyAlignment="1">
      <alignment horizontal="left" wrapText="1"/>
    </xf>
    <xf numFmtId="0" fontId="5" fillId="3" borderId="1" xfId="0" applyFont="1" applyFill="1" applyBorder="1" applyAlignment="1">
      <alignment wrapText="1"/>
    </xf>
    <xf numFmtId="0" fontId="5" fillId="0" borderId="0" xfId="0" applyFont="1" applyAlignment="1">
      <alignment wrapText="1"/>
    </xf>
    <xf numFmtId="0" fontId="18" fillId="0" borderId="8" xfId="0" applyFont="1" applyFill="1" applyBorder="1" applyAlignment="1">
      <alignment horizontal="center" vertical="center" wrapText="1"/>
    </xf>
    <xf numFmtId="0" fontId="12" fillId="0" borderId="1" xfId="0" applyFont="1" applyFill="1" applyBorder="1" applyAlignment="1">
      <alignment vertical="top" wrapText="1"/>
    </xf>
    <xf numFmtId="0" fontId="0" fillId="0" borderId="0" xfId="0" applyFont="1" applyBorder="1"/>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164" fontId="18" fillId="0" borderId="6" xfId="0" applyNumberFormat="1" applyFont="1" applyFill="1" applyBorder="1" applyAlignment="1">
      <alignment horizontal="center" vertical="center" wrapText="1"/>
    </xf>
    <xf numFmtId="0" fontId="18" fillId="0" borderId="11" xfId="0" applyFont="1" applyFill="1" applyBorder="1" applyAlignment="1">
      <alignment horizontal="left" vertical="center" wrapText="1"/>
    </xf>
    <xf numFmtId="0" fontId="14" fillId="0" borderId="29" xfId="0" applyFont="1" applyFill="1" applyBorder="1" applyAlignment="1">
      <alignment vertical="top" wrapText="1"/>
    </xf>
    <xf numFmtId="0" fontId="5" fillId="3" borderId="11" xfId="0" applyFont="1" applyFill="1" applyBorder="1" applyAlignment="1">
      <alignment vertical="top" wrapText="1"/>
    </xf>
    <xf numFmtId="164" fontId="18" fillId="0" borderId="6"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1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1" fillId="0" borderId="2" xfId="0" applyFont="1" applyBorder="1" applyAlignment="1">
      <alignment horizontal="center" vertical="center" wrapText="1"/>
    </xf>
    <xf numFmtId="164" fontId="18" fillId="0" borderId="2" xfId="0" applyNumberFormat="1"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5"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4" fontId="18" fillId="0" borderId="1" xfId="0" applyNumberFormat="1" applyFont="1" applyFill="1" applyBorder="1" applyAlignment="1">
      <alignment horizontal="center" vertical="center" wrapText="1"/>
    </xf>
    <xf numFmtId="0" fontId="18" fillId="0" borderId="11" xfId="0" applyFont="1" applyFill="1" applyBorder="1" applyAlignment="1">
      <alignment horizontal="center" vertical="center"/>
    </xf>
    <xf numFmtId="164" fontId="18" fillId="0" borderId="1" xfId="0" applyNumberFormat="1" applyFont="1" applyFill="1" applyBorder="1" applyAlignment="1">
      <alignment horizontal="center" vertical="center" wrapText="1"/>
    </xf>
    <xf numFmtId="164" fontId="18" fillId="0" borderId="8" xfId="0" applyNumberFormat="1" applyFont="1" applyFill="1" applyBorder="1" applyAlignment="1">
      <alignment horizontal="center" vertical="center" wrapText="1"/>
    </xf>
    <xf numFmtId="164" fontId="18" fillId="0" borderId="2" xfId="0" applyNumberFormat="1" applyFont="1" applyFill="1" applyBorder="1" applyAlignment="1">
      <alignment horizontal="center" vertical="center"/>
    </xf>
    <xf numFmtId="164" fontId="18" fillId="0" borderId="11" xfId="0" applyNumberFormat="1" applyFont="1" applyFill="1" applyBorder="1" applyAlignment="1">
      <alignment horizontal="center" vertical="center"/>
    </xf>
    <xf numFmtId="0" fontId="12" fillId="0" borderId="1" xfId="0" applyFont="1" applyBorder="1" applyAlignment="1">
      <alignment horizontal="left" vertical="center" wrapText="1"/>
    </xf>
    <xf numFmtId="0" fontId="12" fillId="0" borderId="0" xfId="0" applyFont="1" applyBorder="1" applyAlignment="1">
      <alignment horizontal="left" vertical="top" wrapText="1"/>
    </xf>
    <xf numFmtId="0" fontId="5"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justify" vertical="center" wrapText="1"/>
    </xf>
    <xf numFmtId="0" fontId="5" fillId="0" borderId="0" xfId="0" applyFont="1" applyAlignment="1">
      <alignment horizontal="center" vertical="center"/>
    </xf>
    <xf numFmtId="4" fontId="5" fillId="0" borderId="0" xfId="0" applyNumberFormat="1" applyFont="1"/>
    <xf numFmtId="3" fontId="18" fillId="0" borderId="1" xfId="0" applyNumberFormat="1" applyFont="1" applyBorder="1" applyAlignment="1">
      <alignment horizontal="center" vertical="center" wrapText="1"/>
    </xf>
    <xf numFmtId="3" fontId="18" fillId="0" borderId="0"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3" fontId="5" fillId="0" borderId="0" xfId="0" applyNumberFormat="1" applyFont="1"/>
    <xf numFmtId="0" fontId="5" fillId="0" borderId="0" xfId="0" applyFont="1" applyAlignment="1">
      <alignment horizontal="center"/>
    </xf>
    <xf numFmtId="0" fontId="0" fillId="0" borderId="0" xfId="0" applyAlignment="1">
      <alignment horizontal="center"/>
    </xf>
    <xf numFmtId="0" fontId="13" fillId="0" borderId="2" xfId="0" applyFont="1" applyBorder="1" applyAlignment="1">
      <alignment horizontal="center" vertical="center" wrapText="1"/>
    </xf>
    <xf numFmtId="164" fontId="13" fillId="0" borderId="12" xfId="0" applyNumberFormat="1" applyFont="1" applyBorder="1" applyAlignment="1">
      <alignment horizontal="left" vertical="center" wrapText="1"/>
    </xf>
    <xf numFmtId="0" fontId="37" fillId="0" borderId="12" xfId="0" applyFont="1" applyFill="1" applyBorder="1" applyAlignment="1">
      <alignment horizontal="center" vertical="center" wrapText="1"/>
    </xf>
    <xf numFmtId="0" fontId="13" fillId="0" borderId="2" xfId="0" applyFont="1" applyBorder="1" applyAlignment="1">
      <alignment vertical="top" wrapText="1"/>
    </xf>
    <xf numFmtId="0" fontId="13" fillId="0" borderId="2" xfId="0" applyFont="1" applyBorder="1" applyAlignment="1">
      <alignment vertical="top"/>
    </xf>
    <xf numFmtId="3" fontId="18" fillId="0" borderId="6" xfId="0" applyNumberFormat="1" applyFont="1" applyFill="1" applyBorder="1" applyAlignment="1">
      <alignment horizontal="center" vertical="center" wrapText="1"/>
    </xf>
    <xf numFmtId="0" fontId="18" fillId="0" borderId="10" xfId="0" applyFont="1" applyFill="1" applyBorder="1" applyAlignment="1">
      <alignment horizontal="center" vertical="center"/>
    </xf>
    <xf numFmtId="3" fontId="18" fillId="0" borderId="10" xfId="0" applyNumberFormat="1" applyFont="1" applyFill="1" applyBorder="1" applyAlignment="1">
      <alignment horizontal="center" vertical="center" wrapText="1"/>
    </xf>
    <xf numFmtId="4" fontId="18" fillId="0" borderId="10" xfId="0" applyNumberFormat="1" applyFont="1" applyFill="1" applyBorder="1" applyAlignment="1">
      <alignment horizontal="center" vertical="center" wrapText="1"/>
    </xf>
    <xf numFmtId="0" fontId="50" fillId="0" borderId="0" xfId="0" applyFont="1" applyAlignment="1">
      <alignment vertical="center" wrapText="1"/>
    </xf>
    <xf numFmtId="0" fontId="51" fillId="0" borderId="1" xfId="0" applyFont="1" applyBorder="1" applyAlignment="1">
      <alignment horizontal="center" vertical="center" wrapText="1"/>
    </xf>
    <xf numFmtId="0" fontId="51" fillId="0" borderId="1" xfId="0" applyFont="1" applyBorder="1" applyAlignment="1">
      <alignment vertical="center" wrapText="1"/>
    </xf>
    <xf numFmtId="0" fontId="51" fillId="0" borderId="1" xfId="0" applyFont="1" applyBorder="1" applyAlignment="1">
      <alignment wrapText="1"/>
    </xf>
    <xf numFmtId="0" fontId="51" fillId="0" borderId="8" xfId="0" applyFont="1" applyBorder="1"/>
    <xf numFmtId="0" fontId="53" fillId="0" borderId="1" xfId="0" applyFont="1" applyBorder="1" applyAlignment="1">
      <alignment wrapText="1"/>
    </xf>
    <xf numFmtId="0" fontId="54" fillId="0" borderId="0" xfId="0" applyFont="1" applyAlignment="1">
      <alignment vertical="center" wrapText="1"/>
    </xf>
    <xf numFmtId="0" fontId="18" fillId="2" borderId="14"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52" fillId="0" borderId="8" xfId="0" applyFont="1" applyBorder="1"/>
    <xf numFmtId="0" fontId="52" fillId="0" borderId="1" xfId="0" applyFont="1" applyBorder="1" applyAlignment="1">
      <alignment wrapText="1"/>
    </xf>
    <xf numFmtId="0" fontId="52" fillId="0" borderId="1" xfId="0" applyFont="1" applyBorder="1" applyAlignment="1">
      <alignment horizontal="left" wrapText="1"/>
    </xf>
    <xf numFmtId="0" fontId="52" fillId="0" borderId="1" xfId="0" applyFont="1" applyBorder="1" applyAlignment="1">
      <alignment vertical="center"/>
    </xf>
    <xf numFmtId="0" fontId="52" fillId="0" borderId="1" xfId="0" applyFont="1" applyBorder="1" applyAlignment="1">
      <alignment vertical="top" wrapText="1"/>
    </xf>
    <xf numFmtId="0" fontId="11" fillId="0" borderId="0" xfId="0" applyFont="1"/>
    <xf numFmtId="0" fontId="18" fillId="2" borderId="1"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5" xfId="0" applyFont="1" applyFill="1" applyBorder="1" applyAlignment="1">
      <alignment horizontal="left" vertical="center" wrapText="1"/>
    </xf>
    <xf numFmtId="3" fontId="18" fillId="2" borderId="1"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3" fontId="5" fillId="0" borderId="0" xfId="0" applyNumberFormat="1" applyFont="1" applyBorder="1" applyAlignment="1">
      <alignment horizontal="center" vertical="center" wrapText="1"/>
    </xf>
    <xf numFmtId="3" fontId="5" fillId="0" borderId="0" xfId="0" applyNumberFormat="1" applyFont="1" applyBorder="1" applyAlignment="1">
      <alignment horizontal="left" vertical="center" wrapText="1"/>
    </xf>
    <xf numFmtId="3" fontId="5" fillId="0" borderId="0" xfId="0" applyNumberFormat="1" applyFont="1" applyBorder="1" applyAlignment="1">
      <alignment horizontal="center" vertical="center"/>
    </xf>
    <xf numFmtId="0" fontId="18" fillId="0" borderId="0" xfId="0" applyFont="1" applyAlignment="1"/>
    <xf numFmtId="164" fontId="12" fillId="0" borderId="2" xfId="0" applyNumberFormat="1" applyFont="1" applyFill="1" applyBorder="1" applyAlignment="1">
      <alignment horizontal="center" vertical="center"/>
    </xf>
    <xf numFmtId="164" fontId="12" fillId="0" borderId="8" xfId="0" applyNumberFormat="1" applyFont="1" applyFill="1" applyBorder="1" applyAlignment="1">
      <alignment horizontal="center" vertical="center"/>
    </xf>
    <xf numFmtId="164" fontId="12" fillId="0" borderId="11"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4" xfId="0" applyFont="1" applyFill="1" applyBorder="1" applyAlignment="1">
      <alignment horizontal="center" vertical="center" wrapText="1"/>
    </xf>
    <xf numFmtId="164" fontId="12" fillId="0" borderId="6"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1" xfId="0" applyFont="1" applyFill="1" applyBorder="1" applyAlignment="1">
      <alignment horizontal="left" vertical="center" wrapText="1"/>
    </xf>
    <xf numFmtId="164" fontId="12" fillId="0" borderId="2" xfId="0" applyNumberFormat="1" applyFont="1" applyFill="1" applyBorder="1" applyAlignment="1">
      <alignment horizontal="center" vertical="center" wrapText="1"/>
    </xf>
    <xf numFmtId="164" fontId="12" fillId="0" borderId="8" xfId="0" applyNumberFormat="1" applyFont="1" applyFill="1" applyBorder="1" applyAlignment="1">
      <alignment horizontal="center" vertical="center" wrapText="1"/>
    </xf>
    <xf numFmtId="164" fontId="12" fillId="0" borderId="11" xfId="0" applyNumberFormat="1" applyFont="1" applyFill="1" applyBorder="1" applyAlignment="1">
      <alignment horizontal="center" vertical="center" wrapText="1"/>
    </xf>
    <xf numFmtId="0" fontId="18" fillId="3" borderId="2" xfId="0" applyFont="1" applyFill="1" applyBorder="1" applyAlignment="1">
      <alignment vertical="top" wrapText="1"/>
    </xf>
    <xf numFmtId="0" fontId="18" fillId="3" borderId="11" xfId="0" applyFont="1" applyFill="1" applyBorder="1" applyAlignment="1">
      <alignment vertical="top"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11" xfId="0" applyFont="1" applyFill="1" applyBorder="1" applyAlignment="1">
      <alignment vertical="center" wrapText="1"/>
    </xf>
    <xf numFmtId="164" fontId="18" fillId="0" borderId="2" xfId="0" applyNumberFormat="1"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1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1" xfId="0" applyFont="1" applyFill="1" applyBorder="1" applyAlignment="1">
      <alignment horizontal="left" vertical="center" wrapText="1"/>
    </xf>
    <xf numFmtId="164" fontId="18" fillId="0" borderId="8" xfId="0" applyNumberFormat="1"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1" xfId="0" applyFont="1" applyFill="1" applyBorder="1" applyAlignment="1">
      <alignment horizontal="left" vertical="top" wrapText="1"/>
    </xf>
    <xf numFmtId="0" fontId="12" fillId="3" borderId="2" xfId="0" applyFont="1" applyFill="1" applyBorder="1" applyAlignment="1">
      <alignment horizontal="left" vertical="top" wrapText="1"/>
    </xf>
    <xf numFmtId="0" fontId="12" fillId="3" borderId="8" xfId="0" applyFont="1" applyFill="1" applyBorder="1" applyAlignment="1">
      <alignment horizontal="left" vertical="top" wrapText="1"/>
    </xf>
    <xf numFmtId="0" fontId="5" fillId="3" borderId="11" xfId="0" applyFont="1" applyFill="1" applyBorder="1" applyAlignment="1">
      <alignment horizontal="left" vertical="top" wrapText="1"/>
    </xf>
    <xf numFmtId="164" fontId="12" fillId="0" borderId="7" xfId="0"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164" fontId="12" fillId="0" borderId="4"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24" fillId="0" borderId="1" xfId="0" applyFont="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4" fontId="12" fillId="0" borderId="8" xfId="0" applyNumberFormat="1" applyFont="1" applyFill="1" applyBorder="1" applyAlignment="1">
      <alignment horizontal="center" vertical="center" wrapText="1"/>
    </xf>
    <xf numFmtId="4" fontId="12" fillId="0" borderId="11"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7"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48" fillId="0" borderId="0" xfId="0" applyFont="1" applyAlignment="1">
      <alignment horizontal="left"/>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164" fontId="11" fillId="0" borderId="7" xfId="0" applyNumberFormat="1" applyFont="1" applyFill="1" applyBorder="1" applyAlignment="1">
      <alignment horizontal="center" vertical="center" wrapText="1"/>
    </xf>
    <xf numFmtId="164" fontId="11" fillId="0" borderId="8"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xf>
    <xf numFmtId="0" fontId="23" fillId="0" borderId="6" xfId="0" applyFont="1" applyBorder="1" applyAlignment="1">
      <alignment horizontal="center" vertical="center"/>
    </xf>
    <xf numFmtId="0" fontId="1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12" fillId="0" borderId="2" xfId="0" applyFont="1" applyBorder="1" applyAlignment="1">
      <alignment horizontal="left" vertical="top" wrapText="1"/>
    </xf>
    <xf numFmtId="0" fontId="5" fillId="0" borderId="11" xfId="0" applyFont="1" applyBorder="1" applyAlignment="1">
      <alignment horizontal="left" vertical="top" wrapText="1"/>
    </xf>
    <xf numFmtId="0" fontId="14"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5" fillId="0" borderId="1" xfId="0" applyFont="1" applyFill="1" applyBorder="1" applyAlignment="1">
      <alignment vertical="center" wrapText="1"/>
    </xf>
    <xf numFmtId="164"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64" fontId="14" fillId="0" borderId="1"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18" fillId="0" borderId="1" xfId="0" applyFont="1" applyBorder="1" applyAlignment="1">
      <alignment vertical="top" wrapText="1"/>
    </xf>
    <xf numFmtId="4" fontId="12" fillId="0" borderId="11"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0" fillId="0" borderId="0" xfId="0" applyFont="1" applyAlignment="1">
      <alignment horizontal="left"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164" fontId="3" fillId="0" borderId="6" xfId="0" applyNumberFormat="1"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top"/>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164" fontId="0" fillId="0" borderId="1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4" fontId="0" fillId="0" borderId="11" xfId="0" applyNumberForma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11" xfId="0" applyNumberFormat="1" applyFill="1" applyBorder="1" applyAlignment="1">
      <alignment horizontal="center" vertical="center"/>
    </xf>
    <xf numFmtId="4" fontId="0" fillId="0" borderId="1" xfId="0" applyNumberFormat="1" applyFill="1" applyBorder="1" applyAlignment="1">
      <alignment horizontal="center" vertical="center"/>
    </xf>
    <xf numFmtId="4" fontId="0" fillId="0" borderId="2" xfId="0" applyNumberFormat="1" applyFill="1" applyBorder="1" applyAlignment="1">
      <alignment horizontal="center" vertical="center" wrapText="1"/>
    </xf>
    <xf numFmtId="4" fontId="0" fillId="0" borderId="8" xfId="0" applyNumberFormat="1" applyFill="1" applyBorder="1" applyAlignment="1">
      <alignment horizontal="center" vertical="center" wrapText="1"/>
    </xf>
    <xf numFmtId="4" fontId="0" fillId="0" borderId="4" xfId="0" applyNumberForma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Border="1" applyAlignment="1">
      <alignment horizontal="center" vertical="center"/>
    </xf>
    <xf numFmtId="0" fontId="11" fillId="0" borderId="23" xfId="0" applyFont="1" applyFill="1" applyBorder="1" applyAlignment="1">
      <alignment horizontal="center" vertical="center" wrapText="1"/>
    </xf>
    <xf numFmtId="0" fontId="11" fillId="0" borderId="21" xfId="0" applyFont="1" applyFill="1" applyBorder="1" applyAlignment="1">
      <alignment horizontal="center" vertical="center" wrapText="1"/>
    </xf>
    <xf numFmtId="164" fontId="0" fillId="0" borderId="8" xfId="0" applyNumberForma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164" fontId="0" fillId="0" borderId="2" xfId="0" applyNumberForma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0" fillId="0" borderId="2" xfId="0" applyFill="1" applyBorder="1" applyAlignment="1">
      <alignment horizontal="center" vertical="center" wrapText="1"/>
    </xf>
    <xf numFmtId="4" fontId="14" fillId="0" borderId="2" xfId="0" applyNumberFormat="1" applyFont="1" applyFill="1" applyBorder="1" applyAlignment="1">
      <alignment horizontal="center" vertical="center" wrapText="1"/>
    </xf>
    <xf numFmtId="4" fontId="14" fillId="0" borderId="8" xfId="0" applyNumberFormat="1" applyFont="1" applyFill="1" applyBorder="1" applyAlignment="1">
      <alignment horizontal="center" vertical="center" wrapText="1"/>
    </xf>
    <xf numFmtId="4" fontId="14" fillId="0" borderId="11" xfId="0" applyNumberFormat="1" applyFont="1" applyFill="1" applyBorder="1" applyAlignment="1">
      <alignment horizontal="center" vertical="center" wrapText="1"/>
    </xf>
    <xf numFmtId="0" fontId="5" fillId="0" borderId="8" xfId="0" applyFont="1" applyFill="1" applyBorder="1" applyAlignment="1">
      <alignment vertical="top" wrapText="1"/>
    </xf>
    <xf numFmtId="0" fontId="5" fillId="0" borderId="11" xfId="0" applyFont="1" applyFill="1" applyBorder="1" applyAlignment="1">
      <alignment vertical="top" wrapText="1"/>
    </xf>
    <xf numFmtId="0" fontId="14" fillId="0" borderId="2" xfId="0"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0" fontId="5" fillId="0" borderId="2" xfId="0" applyFont="1" applyFill="1" applyBorder="1" applyAlignment="1">
      <alignment vertical="top" wrapText="1"/>
    </xf>
    <xf numFmtId="0" fontId="16"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11" xfId="0" applyFont="1" applyFill="1" applyBorder="1" applyAlignment="1">
      <alignment horizontal="center" vertical="center"/>
    </xf>
    <xf numFmtId="164" fontId="8" fillId="0" borderId="7" xfId="0" applyNumberFormat="1" applyFont="1" applyFill="1" applyBorder="1" applyAlignment="1">
      <alignment horizontal="center" vertical="center" wrapText="1"/>
    </xf>
    <xf numFmtId="164" fontId="8" fillId="0" borderId="8" xfId="0" applyNumberFormat="1" applyFont="1" applyFill="1" applyBorder="1" applyAlignment="1">
      <alignment horizontal="center" vertical="center" wrapText="1"/>
    </xf>
    <xf numFmtId="164" fontId="8" fillId="0" borderId="1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164" fontId="0" fillId="0" borderId="7" xfId="0" applyNumberFormat="1" applyFill="1" applyBorder="1" applyAlignment="1">
      <alignment horizontal="center" vertical="center" wrapText="1"/>
    </xf>
    <xf numFmtId="4" fontId="0" fillId="0" borderId="7" xfId="0" applyNumberFormat="1" applyFill="1" applyBorder="1" applyAlignment="1">
      <alignment horizontal="center" vertical="center" wrapText="1"/>
    </xf>
    <xf numFmtId="4" fontId="8" fillId="0" borderId="7" xfId="0" applyNumberFormat="1"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0" fontId="5" fillId="0" borderId="7" xfId="0" applyFont="1" applyFill="1" applyBorder="1" applyAlignment="1">
      <alignment horizontal="left" vertical="top" wrapText="1"/>
    </xf>
    <xf numFmtId="0" fontId="12" fillId="0" borderId="2" xfId="0" applyFont="1" applyFill="1" applyBorder="1" applyAlignment="1">
      <alignment horizontal="left" vertical="top" wrapText="1"/>
    </xf>
    <xf numFmtId="0" fontId="5" fillId="0" borderId="8" xfId="0" applyFont="1" applyFill="1" applyBorder="1" applyAlignment="1">
      <alignment horizontal="left" vertical="top"/>
    </xf>
    <xf numFmtId="0" fontId="5" fillId="0" borderId="11" xfId="0" applyFont="1" applyFill="1" applyBorder="1" applyAlignment="1">
      <alignment horizontal="left" vertical="top"/>
    </xf>
    <xf numFmtId="0" fontId="14" fillId="0" borderId="4" xfId="0" applyFont="1" applyFill="1" applyBorder="1" applyAlignment="1">
      <alignment horizontal="center" vertical="center" wrapText="1"/>
    </xf>
    <xf numFmtId="0" fontId="5" fillId="0" borderId="4" xfId="0" applyFont="1" applyFill="1" applyBorder="1" applyAlignment="1">
      <alignment vertical="top" wrapText="1"/>
    </xf>
    <xf numFmtId="164"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 fontId="8" fillId="0" borderId="2" xfId="0" applyNumberFormat="1" applyFont="1" applyFill="1" applyBorder="1" applyAlignment="1">
      <alignment horizontal="center" vertical="center"/>
    </xf>
    <xf numFmtId="164" fontId="14" fillId="0" borderId="2" xfId="0" applyNumberFormat="1" applyFont="1" applyFill="1" applyBorder="1" applyAlignment="1">
      <alignment horizontal="center" vertical="center" wrapText="1"/>
    </xf>
    <xf numFmtId="164" fontId="14" fillId="0" borderId="8" xfId="0" applyNumberFormat="1" applyFont="1" applyFill="1" applyBorder="1" applyAlignment="1">
      <alignment horizontal="center" vertical="center" wrapText="1"/>
    </xf>
    <xf numFmtId="164" fontId="14" fillId="0" borderId="11" xfId="0" applyNumberFormat="1" applyFont="1" applyFill="1" applyBorder="1" applyAlignment="1">
      <alignment horizontal="center" vertical="center" wrapText="1"/>
    </xf>
    <xf numFmtId="164" fontId="5" fillId="0" borderId="2" xfId="0" applyNumberFormat="1" applyFont="1" applyFill="1" applyBorder="1" applyAlignment="1">
      <alignment horizontal="center" vertical="center" wrapText="1"/>
    </xf>
    <xf numFmtId="164" fontId="5" fillId="0" borderId="8" xfId="0" applyNumberFormat="1" applyFont="1" applyFill="1" applyBorder="1" applyAlignment="1">
      <alignment horizontal="center" vertical="center" wrapText="1"/>
    </xf>
    <xf numFmtId="164" fontId="5" fillId="0" borderId="11"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11" xfId="0" applyFont="1" applyBorder="1" applyAlignment="1">
      <alignment horizontal="center" vertical="center"/>
    </xf>
    <xf numFmtId="0" fontId="0" fillId="2" borderId="0" xfId="0" applyFill="1" applyBorder="1" applyAlignment="1">
      <alignment horizontal="center" vertical="top" wrapText="1"/>
    </xf>
    <xf numFmtId="4" fontId="0" fillId="0" borderId="0" xfId="0" applyNumberFormat="1" applyBorder="1" applyAlignment="1">
      <alignment horizontal="center" vertical="center"/>
    </xf>
    <xf numFmtId="0" fontId="0" fillId="0" borderId="0" xfId="0" applyBorder="1" applyAlignment="1">
      <alignment horizontal="center" vertical="center"/>
    </xf>
    <xf numFmtId="0" fontId="15" fillId="0" borderId="2" xfId="0" applyFont="1" applyFill="1" applyBorder="1" applyAlignment="1">
      <alignment horizontal="left" vertical="center" wrapText="1"/>
    </xf>
    <xf numFmtId="0" fontId="15" fillId="0" borderId="11" xfId="0" applyFont="1" applyFill="1" applyBorder="1" applyAlignment="1">
      <alignment horizontal="left" vertical="center" wrapText="1"/>
    </xf>
    <xf numFmtId="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3" fontId="14" fillId="0" borderId="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3" fontId="14" fillId="0" borderId="1" xfId="0" applyNumberFormat="1" applyFont="1" applyBorder="1" applyAlignment="1">
      <alignment horizontal="center" vertical="center"/>
    </xf>
    <xf numFmtId="3" fontId="14" fillId="0" borderId="10" xfId="0" applyNumberFormat="1" applyFont="1" applyBorder="1" applyAlignment="1">
      <alignment horizontal="center" vertical="center"/>
    </xf>
    <xf numFmtId="0" fontId="13" fillId="0" borderId="6" xfId="0" applyFont="1" applyBorder="1" applyAlignment="1">
      <alignment horizontal="center" vertical="top" wrapText="1"/>
    </xf>
    <xf numFmtId="0" fontId="13" fillId="0" borderId="2" xfId="0" applyFont="1" applyBorder="1" applyAlignment="1">
      <alignment horizontal="center" vertical="top" wrapText="1"/>
    </xf>
    <xf numFmtId="0" fontId="37" fillId="0" borderId="17" xfId="0" applyFont="1" applyFill="1" applyBorder="1" applyAlignment="1">
      <alignment horizontal="center" vertical="center" wrapText="1"/>
    </xf>
    <xf numFmtId="0" fontId="37" fillId="0" borderId="12" xfId="0" applyFont="1" applyFill="1" applyBorder="1" applyAlignment="1">
      <alignment horizontal="center" vertical="center" wrapText="1"/>
    </xf>
    <xf numFmtId="164" fontId="13" fillId="0" borderId="7" xfId="0" applyNumberFormat="1" applyFont="1" applyFill="1" applyBorder="1" applyAlignment="1">
      <alignment horizontal="center" vertical="center" wrapText="1"/>
    </xf>
    <xf numFmtId="164" fontId="13" fillId="0" borderId="8" xfId="0" applyNumberFormat="1" applyFont="1" applyFill="1" applyBorder="1" applyAlignment="1">
      <alignment horizontal="center" vertical="center" wrapText="1"/>
    </xf>
    <xf numFmtId="3" fontId="14"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4" fillId="0" borderId="6" xfId="0" applyFont="1" applyBorder="1" applyAlignment="1">
      <alignment horizontal="center" vertical="center" wrapText="1"/>
    </xf>
    <xf numFmtId="3" fontId="14" fillId="0" borderId="6" xfId="0" applyNumberFormat="1" applyFont="1" applyBorder="1" applyAlignment="1">
      <alignment horizontal="center" vertical="center"/>
    </xf>
    <xf numFmtId="0" fontId="13" fillId="0" borderId="6" xfId="0" applyFont="1" applyBorder="1" applyAlignment="1">
      <alignment horizontal="center" vertical="top"/>
    </xf>
    <xf numFmtId="0" fontId="13" fillId="0" borderId="2" xfId="0" applyFont="1" applyBorder="1" applyAlignment="1">
      <alignment horizontal="center" vertical="top"/>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20" fillId="0" borderId="0" xfId="0" applyFont="1" applyAlignment="1">
      <alignment horizontal="left" vertical="top"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7"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9" xfId="0" applyFont="1" applyFill="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12" fillId="2"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5" fillId="0" borderId="1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7" xfId="0" applyFont="1" applyBorder="1" applyAlignment="1">
      <alignment horizontal="center"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wrapText="1"/>
    </xf>
    <xf numFmtId="0" fontId="13" fillId="0" borderId="27" xfId="0" applyFont="1" applyBorder="1" applyAlignment="1">
      <alignment horizontal="center" vertical="center" wrapText="1"/>
    </xf>
    <xf numFmtId="0" fontId="35" fillId="0" borderId="3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19" xfId="0" applyNumberFormat="1" applyFont="1" applyBorder="1" applyAlignment="1">
      <alignment horizontal="center" vertical="center" wrapText="1"/>
    </xf>
    <xf numFmtId="0" fontId="5" fillId="0" borderId="19" xfId="0" applyFont="1" applyBorder="1" applyAlignment="1">
      <alignment horizontal="center" vertical="center" wrapText="1"/>
    </xf>
    <xf numFmtId="4" fontId="5" fillId="0" borderId="7" xfId="0"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0" borderId="11" xfId="0" applyFont="1" applyBorder="1" applyAlignment="1">
      <alignment horizontal="left" vertical="center" wrapText="1"/>
    </xf>
    <xf numFmtId="164" fontId="5" fillId="0" borderId="7" xfId="0" applyNumberFormat="1" applyFont="1" applyFill="1" applyBorder="1" applyAlignment="1">
      <alignment horizontal="center" vertical="center" wrapText="1"/>
    </xf>
    <xf numFmtId="164" fontId="5" fillId="0" borderId="7" xfId="0" applyNumberFormat="1" applyFont="1" applyBorder="1" applyAlignment="1">
      <alignment horizontal="center" vertical="center"/>
    </xf>
    <xf numFmtId="0" fontId="5" fillId="0" borderId="4"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5" fillId="0" borderId="20" xfId="0" applyFont="1" applyBorder="1" applyAlignment="1">
      <alignment horizontal="center" vertical="center" wrapText="1"/>
    </xf>
    <xf numFmtId="0" fontId="14" fillId="2" borderId="6" xfId="0" applyFont="1" applyFill="1" applyBorder="1" applyAlignment="1">
      <alignment horizontal="left" vertical="center" wrapText="1"/>
    </xf>
    <xf numFmtId="0" fontId="14" fillId="2" borderId="10" xfId="0" applyFont="1" applyFill="1" applyBorder="1" applyAlignment="1">
      <alignment horizontal="left" vertical="center" wrapText="1"/>
    </xf>
    <xf numFmtId="164" fontId="14" fillId="0" borderId="6" xfId="0" applyNumberFormat="1" applyFont="1" applyFill="1" applyBorder="1" applyAlignment="1">
      <alignment horizontal="center" vertical="center" wrapText="1"/>
    </xf>
    <xf numFmtId="164" fontId="14" fillId="0" borderId="10" xfId="0" applyNumberFormat="1" applyFont="1" applyFill="1" applyBorder="1" applyAlignment="1">
      <alignment horizontal="center" vertical="center" wrapText="1"/>
    </xf>
    <xf numFmtId="164" fontId="14" fillId="0" borderId="6" xfId="0" applyNumberFormat="1" applyFont="1" applyFill="1" applyBorder="1" applyAlignment="1">
      <alignment horizontal="center" vertical="center"/>
    </xf>
    <xf numFmtId="164" fontId="14" fillId="0" borderId="10"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wrapText="1"/>
    </xf>
    <xf numFmtId="164" fontId="5" fillId="0" borderId="8" xfId="0" applyNumberFormat="1" applyFont="1" applyBorder="1" applyAlignment="1">
      <alignment horizontal="center"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7" dT="2022-02-17T00:18:39.20" personId="{00000000-0000-0000-0000-000000000000}" id="{584ED2B0-A0C1-49EF-8FB8-779C0FCE5E52}">
    <text>buvo 197</text>
  </threadedComment>
  <threadedComment ref="O9" dT="2022-02-17T00:15:48.87" personId="{00000000-0000-0000-0000-000000000000}" id="{67D2BF4A-4D7E-4048-B37E-9FC6464FBE28}">
    <text>buvo 442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38"/>
  <sheetViews>
    <sheetView zoomScale="81" zoomScaleNormal="81" workbookViewId="0">
      <selection activeCell="K37" sqref="K37"/>
    </sheetView>
  </sheetViews>
  <sheetFormatPr defaultRowHeight="15" x14ac:dyDescent="0.25"/>
  <cols>
    <col min="1" max="1" width="29.85546875" style="40" customWidth="1"/>
    <col min="2" max="2" width="25.42578125" style="56" customWidth="1"/>
    <col min="3" max="3" width="20.85546875" style="40" customWidth="1"/>
    <col min="4" max="4" width="24.140625" style="56" customWidth="1"/>
    <col min="5" max="5" width="22.85546875" style="41" customWidth="1"/>
    <col min="6" max="6" width="14.42578125" style="40" customWidth="1"/>
    <col min="7" max="7" width="11.5703125" style="40" customWidth="1"/>
    <col min="8" max="8" width="24.28515625" style="40" customWidth="1"/>
    <col min="9" max="9" width="24.5703125" style="40" customWidth="1"/>
    <col min="10" max="10" width="17.85546875" style="40" customWidth="1"/>
    <col min="11" max="11" width="24.42578125" style="40" customWidth="1"/>
    <col min="12" max="12" width="14.42578125" style="40" customWidth="1"/>
    <col min="13" max="13" width="14.85546875" style="40" customWidth="1"/>
    <col min="14" max="14" width="12.42578125" style="40" customWidth="1"/>
    <col min="15" max="15" width="12" style="40" bestFit="1" customWidth="1"/>
    <col min="16" max="16" width="12.5703125" style="41" customWidth="1"/>
    <col min="17" max="17" width="103.7109375" style="25" customWidth="1"/>
    <col min="18" max="18" width="84.42578125" style="25" customWidth="1"/>
  </cols>
  <sheetData>
    <row r="1" spans="1:107" ht="33.950000000000003" customHeight="1" x14ac:dyDescent="0.25">
      <c r="A1" s="369" t="s">
        <v>19</v>
      </c>
      <c r="B1" s="369"/>
      <c r="C1" s="369"/>
      <c r="D1" s="369"/>
      <c r="E1" s="369"/>
      <c r="F1" s="369"/>
      <c r="G1" s="39"/>
    </row>
    <row r="2" spans="1:107" ht="15.75" thickBot="1" x14ac:dyDescent="0.3"/>
    <row r="3" spans="1:107" ht="32.25" customHeight="1" x14ac:dyDescent="0.25">
      <c r="A3" s="370" t="s">
        <v>235</v>
      </c>
      <c r="B3" s="372" t="s">
        <v>48</v>
      </c>
      <c r="C3" s="374" t="s">
        <v>2</v>
      </c>
      <c r="D3" s="375"/>
      <c r="E3" s="375"/>
      <c r="F3" s="374" t="s">
        <v>20</v>
      </c>
      <c r="G3" s="377" t="s">
        <v>111</v>
      </c>
      <c r="H3" s="377"/>
      <c r="I3" s="363" t="s">
        <v>21</v>
      </c>
      <c r="J3" s="365" t="s">
        <v>22</v>
      </c>
      <c r="K3" s="363" t="s">
        <v>4</v>
      </c>
      <c r="L3" s="367" t="s">
        <v>5</v>
      </c>
      <c r="M3" s="368"/>
      <c r="N3" s="352" t="s">
        <v>6</v>
      </c>
      <c r="O3" s="352" t="s">
        <v>7</v>
      </c>
      <c r="P3" s="352" t="s">
        <v>8</v>
      </c>
      <c r="Q3" s="354" t="s">
        <v>9</v>
      </c>
      <c r="R3" s="356" t="s">
        <v>61</v>
      </c>
    </row>
    <row r="4" spans="1:107" ht="54.75" customHeight="1" x14ac:dyDescent="0.25">
      <c r="A4" s="371"/>
      <c r="B4" s="373"/>
      <c r="C4" s="239" t="s">
        <v>10</v>
      </c>
      <c r="D4" s="57" t="s">
        <v>49</v>
      </c>
      <c r="E4" s="194" t="s">
        <v>46</v>
      </c>
      <c r="F4" s="376"/>
      <c r="G4" s="239" t="s">
        <v>113</v>
      </c>
      <c r="H4" s="239" t="s">
        <v>114</v>
      </c>
      <c r="I4" s="364"/>
      <c r="J4" s="366"/>
      <c r="K4" s="364"/>
      <c r="L4" s="65" t="s">
        <v>14</v>
      </c>
      <c r="M4" s="65" t="s">
        <v>15</v>
      </c>
      <c r="N4" s="353"/>
      <c r="O4" s="353"/>
      <c r="P4" s="353"/>
      <c r="Q4" s="355"/>
      <c r="R4" s="356"/>
    </row>
    <row r="5" spans="1:107" ht="103.5" customHeight="1" x14ac:dyDescent="0.25">
      <c r="A5" s="357" t="s">
        <v>221</v>
      </c>
      <c r="B5" s="315">
        <v>41500000</v>
      </c>
      <c r="C5" s="346" t="s">
        <v>241</v>
      </c>
      <c r="D5" s="315">
        <f>(B5-(B5*0.0411))*0.5/0.5</f>
        <v>39794350</v>
      </c>
      <c r="E5" s="315">
        <f>B5+D5</f>
        <v>81294350</v>
      </c>
      <c r="F5" s="360">
        <f>(B5-(B5*0.0411))+D5</f>
        <v>79588700</v>
      </c>
      <c r="G5" s="246" t="s">
        <v>25</v>
      </c>
      <c r="H5" s="245" t="s">
        <v>145</v>
      </c>
      <c r="I5" s="235" t="s">
        <v>199</v>
      </c>
      <c r="J5" s="246" t="s">
        <v>120</v>
      </c>
      <c r="K5" s="50" t="s">
        <v>243</v>
      </c>
      <c r="L5" s="45">
        <v>0</v>
      </c>
      <c r="M5" s="70" t="s">
        <v>47</v>
      </c>
      <c r="N5" s="45">
        <v>6460</v>
      </c>
      <c r="O5" s="249">
        <v>21534</v>
      </c>
      <c r="P5" s="247" t="s">
        <v>121</v>
      </c>
      <c r="Q5" s="120" t="s">
        <v>236</v>
      </c>
      <c r="R5" s="214" t="s">
        <v>209</v>
      </c>
    </row>
    <row r="6" spans="1:107" ht="87.75" customHeight="1" x14ac:dyDescent="0.25">
      <c r="A6" s="358"/>
      <c r="B6" s="316"/>
      <c r="C6" s="341"/>
      <c r="D6" s="316"/>
      <c r="E6" s="316"/>
      <c r="F6" s="361"/>
      <c r="G6" s="246" t="s">
        <v>23</v>
      </c>
      <c r="H6" s="245" t="s">
        <v>151</v>
      </c>
      <c r="I6" s="235" t="s">
        <v>199</v>
      </c>
      <c r="J6" s="246" t="s">
        <v>120</v>
      </c>
      <c r="K6" s="235" t="s">
        <v>150</v>
      </c>
      <c r="L6" s="45">
        <v>1427274</v>
      </c>
      <c r="M6" s="238">
        <v>2019</v>
      </c>
      <c r="N6" s="45" t="s">
        <v>37</v>
      </c>
      <c r="O6" s="45">
        <v>450061</v>
      </c>
      <c r="P6" s="247" t="s">
        <v>121</v>
      </c>
      <c r="Q6" s="120" t="s">
        <v>238</v>
      </c>
      <c r="R6" s="215" t="s">
        <v>72</v>
      </c>
    </row>
    <row r="7" spans="1:107" ht="96" customHeight="1" x14ac:dyDescent="0.25">
      <c r="A7" s="358"/>
      <c r="B7" s="317"/>
      <c r="C7" s="342"/>
      <c r="D7" s="317"/>
      <c r="E7" s="317"/>
      <c r="F7" s="362"/>
      <c r="G7" s="70" t="s">
        <v>36</v>
      </c>
      <c r="H7" s="253" t="s">
        <v>154</v>
      </c>
      <c r="I7" s="235" t="s">
        <v>199</v>
      </c>
      <c r="J7" s="246" t="s">
        <v>120</v>
      </c>
      <c r="K7" s="130" t="s">
        <v>198</v>
      </c>
      <c r="L7" s="241">
        <v>57091</v>
      </c>
      <c r="M7" s="238">
        <v>2019</v>
      </c>
      <c r="N7" s="70" t="s">
        <v>47</v>
      </c>
      <c r="O7" s="249">
        <v>41405</v>
      </c>
      <c r="P7" s="247" t="s">
        <v>121</v>
      </c>
      <c r="Q7" s="213" t="s">
        <v>239</v>
      </c>
      <c r="R7" s="205"/>
    </row>
    <row r="8" spans="1:107" ht="15" customHeight="1" x14ac:dyDescent="0.25">
      <c r="A8" s="358"/>
      <c r="B8" s="315">
        <v>41500000</v>
      </c>
      <c r="C8" s="346" t="s">
        <v>241</v>
      </c>
      <c r="D8" s="315">
        <f>(B8-(B8*0.0411))*0.5/0.5</f>
        <v>39794350</v>
      </c>
      <c r="E8" s="315">
        <f>B8+D8</f>
        <v>81294350</v>
      </c>
      <c r="F8" s="349">
        <f>(B8-(B8*0.0411))+D8</f>
        <v>79588700</v>
      </c>
      <c r="G8" s="343" t="s">
        <v>25</v>
      </c>
      <c r="H8" s="314" t="s">
        <v>145</v>
      </c>
      <c r="I8" s="343" t="s">
        <v>160</v>
      </c>
      <c r="J8" s="343" t="s">
        <v>144</v>
      </c>
      <c r="K8" s="343" t="s">
        <v>243</v>
      </c>
      <c r="L8" s="344">
        <v>0</v>
      </c>
      <c r="M8" s="345" t="s">
        <v>47</v>
      </c>
      <c r="N8" s="324">
        <v>6460</v>
      </c>
      <c r="O8" s="324">
        <v>21534</v>
      </c>
      <c r="P8" s="320" t="s">
        <v>121</v>
      </c>
      <c r="Q8" s="333" t="s">
        <v>237</v>
      </c>
      <c r="R8" s="336" t="s">
        <v>212</v>
      </c>
    </row>
    <row r="9" spans="1:107" ht="15" customHeight="1" x14ac:dyDescent="0.25">
      <c r="A9" s="358"/>
      <c r="B9" s="316"/>
      <c r="C9" s="341"/>
      <c r="D9" s="316"/>
      <c r="E9" s="316"/>
      <c r="F9" s="350"/>
      <c r="G9" s="343"/>
      <c r="H9" s="314"/>
      <c r="I9" s="343"/>
      <c r="J9" s="343"/>
      <c r="K9" s="343"/>
      <c r="L9" s="344"/>
      <c r="M9" s="345"/>
      <c r="N9" s="332"/>
      <c r="O9" s="332"/>
      <c r="P9" s="309"/>
      <c r="Q9" s="334"/>
      <c r="R9" s="337"/>
    </row>
    <row r="10" spans="1:107" ht="85.5" customHeight="1" x14ac:dyDescent="0.25">
      <c r="A10" s="358"/>
      <c r="B10" s="316"/>
      <c r="C10" s="341"/>
      <c r="D10" s="316"/>
      <c r="E10" s="316"/>
      <c r="F10" s="350"/>
      <c r="G10" s="343"/>
      <c r="H10" s="314"/>
      <c r="I10" s="343"/>
      <c r="J10" s="343"/>
      <c r="K10" s="343"/>
      <c r="L10" s="344"/>
      <c r="M10" s="345"/>
      <c r="N10" s="325"/>
      <c r="O10" s="325"/>
      <c r="P10" s="321"/>
      <c r="Q10" s="335"/>
      <c r="R10" s="338"/>
    </row>
    <row r="11" spans="1:107" s="34" customFormat="1" ht="87" customHeight="1" thickBot="1" x14ac:dyDescent="0.3">
      <c r="A11" s="358"/>
      <c r="B11" s="316"/>
      <c r="C11" s="341"/>
      <c r="D11" s="316"/>
      <c r="E11" s="316"/>
      <c r="F11" s="350"/>
      <c r="G11" s="246" t="s">
        <v>23</v>
      </c>
      <c r="H11" s="245" t="s">
        <v>151</v>
      </c>
      <c r="I11" s="235" t="s">
        <v>160</v>
      </c>
      <c r="J11" s="246" t="s">
        <v>144</v>
      </c>
      <c r="K11" s="235" t="s">
        <v>150</v>
      </c>
      <c r="L11" s="45">
        <v>1427274</v>
      </c>
      <c r="M11" s="238">
        <v>2019</v>
      </c>
      <c r="N11" s="45" t="s">
        <v>37</v>
      </c>
      <c r="O11" s="45">
        <v>450061</v>
      </c>
      <c r="P11" s="247" t="s">
        <v>121</v>
      </c>
      <c r="Q11" s="120" t="s">
        <v>238</v>
      </c>
      <c r="R11" s="215" t="s">
        <v>62</v>
      </c>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row>
    <row r="12" spans="1:107" s="1" customFormat="1" ht="110.25" customHeight="1" thickBot="1" x14ac:dyDescent="0.3">
      <c r="A12" s="359"/>
      <c r="B12" s="348"/>
      <c r="C12" s="347"/>
      <c r="D12" s="348"/>
      <c r="E12" s="348"/>
      <c r="F12" s="351"/>
      <c r="G12" s="248" t="s">
        <v>36</v>
      </c>
      <c r="H12" s="253" t="s">
        <v>154</v>
      </c>
      <c r="I12" s="235" t="s">
        <v>160</v>
      </c>
      <c r="J12" s="246" t="s">
        <v>144</v>
      </c>
      <c r="K12" s="133" t="s">
        <v>198</v>
      </c>
      <c r="L12" s="241">
        <v>57091</v>
      </c>
      <c r="M12" s="238">
        <v>2019</v>
      </c>
      <c r="N12" s="70" t="s">
        <v>47</v>
      </c>
      <c r="O12" s="249">
        <v>41405</v>
      </c>
      <c r="P12" s="247" t="s">
        <v>121</v>
      </c>
      <c r="Q12" s="213" t="s">
        <v>239</v>
      </c>
      <c r="R12" s="205"/>
      <c r="S12" s="210"/>
      <c r="U12" s="209"/>
    </row>
    <row r="13" spans="1:107" ht="83.25" customHeight="1" thickBot="1" x14ac:dyDescent="0.3">
      <c r="A13" s="308" t="s">
        <v>195</v>
      </c>
      <c r="B13" s="339">
        <v>62000000</v>
      </c>
      <c r="C13" s="340" t="s">
        <v>245</v>
      </c>
      <c r="D13" s="339">
        <f>(B13*0.3)/0.7</f>
        <v>26571428.571428575</v>
      </c>
      <c r="E13" s="339">
        <f>B13+D13</f>
        <v>88571428.571428567</v>
      </c>
      <c r="F13" s="339">
        <f>E13</f>
        <v>88571428.571428567</v>
      </c>
      <c r="G13" s="206" t="s">
        <v>26</v>
      </c>
      <c r="H13" s="207" t="s">
        <v>147</v>
      </c>
      <c r="I13" s="204" t="s">
        <v>199</v>
      </c>
      <c r="J13" s="204" t="s">
        <v>120</v>
      </c>
      <c r="K13" s="204" t="s">
        <v>33</v>
      </c>
      <c r="L13" s="234">
        <v>0</v>
      </c>
      <c r="M13" s="218" t="s">
        <v>47</v>
      </c>
      <c r="N13" s="230">
        <v>25670</v>
      </c>
      <c r="O13" s="234">
        <v>256700</v>
      </c>
      <c r="P13" s="237" t="s">
        <v>121</v>
      </c>
      <c r="Q13" s="208" t="s">
        <v>224</v>
      </c>
      <c r="R13" s="216" t="s">
        <v>74</v>
      </c>
    </row>
    <row r="14" spans="1:107" ht="13.5" customHeight="1" x14ac:dyDescent="0.25">
      <c r="A14" s="309"/>
      <c r="B14" s="316"/>
      <c r="C14" s="341"/>
      <c r="D14" s="316"/>
      <c r="E14" s="316"/>
      <c r="F14" s="316"/>
      <c r="G14" s="320" t="s">
        <v>23</v>
      </c>
      <c r="H14" s="322" t="s">
        <v>151</v>
      </c>
      <c r="I14" s="308" t="s">
        <v>199</v>
      </c>
      <c r="J14" s="320" t="s">
        <v>120</v>
      </c>
      <c r="K14" s="320" t="s">
        <v>150</v>
      </c>
      <c r="L14" s="324">
        <v>56474</v>
      </c>
      <c r="M14" s="326">
        <v>2019</v>
      </c>
      <c r="N14" s="324" t="s">
        <v>37</v>
      </c>
      <c r="O14" s="324">
        <v>33884</v>
      </c>
      <c r="P14" s="328" t="s">
        <v>121</v>
      </c>
      <c r="Q14" s="330" t="s">
        <v>225</v>
      </c>
      <c r="R14" s="318" t="s">
        <v>73</v>
      </c>
    </row>
    <row r="15" spans="1:107" ht="79.5" customHeight="1" x14ac:dyDescent="0.25">
      <c r="A15" s="309"/>
      <c r="B15" s="316"/>
      <c r="C15" s="341"/>
      <c r="D15" s="316"/>
      <c r="E15" s="316"/>
      <c r="F15" s="316"/>
      <c r="G15" s="321"/>
      <c r="H15" s="323"/>
      <c r="I15" s="321"/>
      <c r="J15" s="321"/>
      <c r="K15" s="321"/>
      <c r="L15" s="325"/>
      <c r="M15" s="327"/>
      <c r="N15" s="325"/>
      <c r="O15" s="325"/>
      <c r="P15" s="329"/>
      <c r="Q15" s="331"/>
      <c r="R15" s="319"/>
    </row>
    <row r="16" spans="1:107" ht="61.5" customHeight="1" thickBot="1" x14ac:dyDescent="0.3">
      <c r="A16" s="310"/>
      <c r="B16" s="317"/>
      <c r="C16" s="342"/>
      <c r="D16" s="316"/>
      <c r="E16" s="316"/>
      <c r="F16" s="317"/>
      <c r="G16" s="246" t="s">
        <v>36</v>
      </c>
      <c r="H16" s="253" t="s">
        <v>154</v>
      </c>
      <c r="I16" s="235" t="s">
        <v>199</v>
      </c>
      <c r="J16" s="246" t="s">
        <v>120</v>
      </c>
      <c r="K16" s="235" t="s">
        <v>198</v>
      </c>
      <c r="L16" s="45">
        <v>5647</v>
      </c>
      <c r="M16" s="242">
        <v>2019</v>
      </c>
      <c r="N16" s="240" t="s">
        <v>37</v>
      </c>
      <c r="O16" s="251">
        <v>3388</v>
      </c>
      <c r="P16" s="247" t="s">
        <v>121</v>
      </c>
      <c r="Q16" s="120" t="s">
        <v>226</v>
      </c>
      <c r="R16" s="217" t="s">
        <v>78</v>
      </c>
    </row>
    <row r="17" spans="1:18" ht="302.25" customHeight="1" x14ac:dyDescent="0.25">
      <c r="A17" s="308" t="s">
        <v>242</v>
      </c>
      <c r="B17" s="311">
        <v>13500000</v>
      </c>
      <c r="C17" s="313" t="s">
        <v>240</v>
      </c>
      <c r="D17" s="311">
        <f>(B17*0.3)/0.7</f>
        <v>5785714.2857142864</v>
      </c>
      <c r="E17" s="311">
        <f>B17+D17</f>
        <v>19285714.285714287</v>
      </c>
      <c r="F17" s="311">
        <f>E17</f>
        <v>19285714.285714287</v>
      </c>
      <c r="G17" s="218" t="s">
        <v>23</v>
      </c>
      <c r="H17" s="219" t="s">
        <v>151</v>
      </c>
      <c r="I17" s="139" t="s">
        <v>199</v>
      </c>
      <c r="J17" s="139" t="s">
        <v>120</v>
      </c>
      <c r="K17" s="139" t="s">
        <v>150</v>
      </c>
      <c r="L17" s="230">
        <v>1133300</v>
      </c>
      <c r="M17" s="139">
        <v>2019</v>
      </c>
      <c r="N17" s="234" t="s">
        <v>37</v>
      </c>
      <c r="O17" s="230">
        <v>1121001</v>
      </c>
      <c r="P17" s="220" t="s">
        <v>121</v>
      </c>
      <c r="Q17" s="221" t="s">
        <v>231</v>
      </c>
      <c r="R17" s="216" t="s">
        <v>91</v>
      </c>
    </row>
    <row r="18" spans="1:18" ht="84.75" customHeight="1" x14ac:dyDescent="0.25">
      <c r="A18" s="309"/>
      <c r="B18" s="312"/>
      <c r="C18" s="314"/>
      <c r="D18" s="312"/>
      <c r="E18" s="312"/>
      <c r="F18" s="312"/>
      <c r="G18" s="70" t="s">
        <v>27</v>
      </c>
      <c r="H18" s="112" t="s">
        <v>149</v>
      </c>
      <c r="I18" s="238" t="s">
        <v>199</v>
      </c>
      <c r="J18" s="238" t="s">
        <v>120</v>
      </c>
      <c r="K18" s="70" t="s">
        <v>32</v>
      </c>
      <c r="L18" s="252">
        <v>0</v>
      </c>
      <c r="M18" s="70" t="s">
        <v>47</v>
      </c>
      <c r="N18" s="45">
        <v>6</v>
      </c>
      <c r="O18" s="249">
        <v>21</v>
      </c>
      <c r="P18" s="247" t="s">
        <v>121</v>
      </c>
      <c r="Q18" s="120" t="s">
        <v>228</v>
      </c>
      <c r="R18" s="223" t="s">
        <v>90</v>
      </c>
    </row>
    <row r="19" spans="1:18" ht="48.75" customHeight="1" x14ac:dyDescent="0.25">
      <c r="A19" s="309"/>
      <c r="B19" s="312"/>
      <c r="C19" s="314"/>
      <c r="D19" s="312"/>
      <c r="E19" s="312"/>
      <c r="F19" s="312"/>
      <c r="G19" s="70" t="s">
        <v>36</v>
      </c>
      <c r="H19" s="253" t="s">
        <v>154</v>
      </c>
      <c r="I19" s="238" t="s">
        <v>199</v>
      </c>
      <c r="J19" s="130" t="s">
        <v>120</v>
      </c>
      <c r="K19" s="130" t="s">
        <v>198</v>
      </c>
      <c r="L19" s="249">
        <v>113330</v>
      </c>
      <c r="M19" s="238">
        <v>2019</v>
      </c>
      <c r="N19" s="70" t="s">
        <v>47</v>
      </c>
      <c r="O19" s="249">
        <v>112100</v>
      </c>
      <c r="P19" s="247" t="s">
        <v>121</v>
      </c>
      <c r="Q19" s="84" t="s">
        <v>234</v>
      </c>
      <c r="R19" s="205"/>
    </row>
    <row r="20" spans="1:18" ht="100.5" customHeight="1" thickBot="1" x14ac:dyDescent="0.3">
      <c r="A20" s="309"/>
      <c r="B20" s="312"/>
      <c r="C20" s="314"/>
      <c r="D20" s="312"/>
      <c r="E20" s="312"/>
      <c r="F20" s="312"/>
      <c r="G20" s="243" t="s">
        <v>118</v>
      </c>
      <c r="H20" s="231" t="s">
        <v>200</v>
      </c>
      <c r="I20" s="238" t="s">
        <v>199</v>
      </c>
      <c r="J20" s="243" t="s">
        <v>120</v>
      </c>
      <c r="K20" s="243" t="s">
        <v>190</v>
      </c>
      <c r="L20" s="250">
        <v>0</v>
      </c>
      <c r="M20" s="225" t="s">
        <v>47</v>
      </c>
      <c r="N20" s="250">
        <v>15428</v>
      </c>
      <c r="O20" s="250">
        <v>51428</v>
      </c>
      <c r="P20" s="237" t="s">
        <v>121</v>
      </c>
      <c r="Q20" s="232" t="s">
        <v>229</v>
      </c>
      <c r="R20" s="233" t="s">
        <v>86</v>
      </c>
    </row>
    <row r="21" spans="1:18" ht="305.25" customHeight="1" x14ac:dyDescent="0.25">
      <c r="A21" s="309"/>
      <c r="B21" s="315">
        <v>13500000</v>
      </c>
      <c r="C21" s="313" t="s">
        <v>240</v>
      </c>
      <c r="D21" s="317">
        <f>(B21*0.3)/0.7</f>
        <v>5785714.2857142864</v>
      </c>
      <c r="E21" s="315">
        <f>B21+D21</f>
        <v>19285714.285714287</v>
      </c>
      <c r="F21" s="305">
        <f>E21</f>
        <v>19285714.285714287</v>
      </c>
      <c r="G21" s="70" t="s">
        <v>23</v>
      </c>
      <c r="H21" s="112" t="s">
        <v>151</v>
      </c>
      <c r="I21" s="238" t="s">
        <v>160</v>
      </c>
      <c r="J21" s="238" t="s">
        <v>144</v>
      </c>
      <c r="K21" s="238" t="s">
        <v>150</v>
      </c>
      <c r="L21" s="45">
        <v>1133300</v>
      </c>
      <c r="M21" s="238">
        <v>2019</v>
      </c>
      <c r="N21" s="45" t="s">
        <v>37</v>
      </c>
      <c r="O21" s="249">
        <v>1121001</v>
      </c>
      <c r="P21" s="247" t="s">
        <v>121</v>
      </c>
      <c r="Q21" s="244" t="s">
        <v>232</v>
      </c>
      <c r="R21" s="214" t="s">
        <v>92</v>
      </c>
    </row>
    <row r="22" spans="1:18" ht="92.25" customHeight="1" x14ac:dyDescent="0.25">
      <c r="A22" s="309"/>
      <c r="B22" s="316"/>
      <c r="C22" s="314"/>
      <c r="D22" s="312"/>
      <c r="E22" s="316"/>
      <c r="F22" s="306"/>
      <c r="G22" s="70" t="s">
        <v>27</v>
      </c>
      <c r="H22" s="112" t="s">
        <v>149</v>
      </c>
      <c r="I22" s="238" t="s">
        <v>160</v>
      </c>
      <c r="J22" s="238" t="s">
        <v>144</v>
      </c>
      <c r="K22" s="238" t="s">
        <v>32</v>
      </c>
      <c r="L22" s="45">
        <v>0</v>
      </c>
      <c r="M22" s="70" t="s">
        <v>47</v>
      </c>
      <c r="N22" s="45">
        <v>6</v>
      </c>
      <c r="O22" s="249">
        <v>21</v>
      </c>
      <c r="P22" s="247" t="s">
        <v>121</v>
      </c>
      <c r="Q22" s="222" t="s">
        <v>227</v>
      </c>
      <c r="R22" s="215" t="s">
        <v>63</v>
      </c>
    </row>
    <row r="23" spans="1:18" ht="137.25" customHeight="1" x14ac:dyDescent="0.25">
      <c r="A23" s="309"/>
      <c r="B23" s="316"/>
      <c r="C23" s="314"/>
      <c r="D23" s="312"/>
      <c r="E23" s="316"/>
      <c r="F23" s="306"/>
      <c r="G23" s="242" t="s">
        <v>118</v>
      </c>
      <c r="H23" s="112" t="s">
        <v>200</v>
      </c>
      <c r="I23" s="238" t="s">
        <v>160</v>
      </c>
      <c r="J23" s="238" t="s">
        <v>144</v>
      </c>
      <c r="K23" s="238" t="s">
        <v>190</v>
      </c>
      <c r="L23" s="249">
        <v>0</v>
      </c>
      <c r="M23" s="238" t="s">
        <v>47</v>
      </c>
      <c r="N23" s="249">
        <v>15428</v>
      </c>
      <c r="O23" s="249">
        <v>51428</v>
      </c>
      <c r="P23" s="236" t="s">
        <v>121</v>
      </c>
      <c r="Q23" s="30" t="s">
        <v>230</v>
      </c>
      <c r="R23" s="214" t="s">
        <v>85</v>
      </c>
    </row>
    <row r="24" spans="1:18" ht="49.5" customHeight="1" thickBot="1" x14ac:dyDescent="0.3">
      <c r="A24" s="310"/>
      <c r="B24" s="317"/>
      <c r="C24" s="314"/>
      <c r="D24" s="312"/>
      <c r="E24" s="317"/>
      <c r="F24" s="307"/>
      <c r="G24" s="70" t="s">
        <v>36</v>
      </c>
      <c r="H24" s="253" t="s">
        <v>154</v>
      </c>
      <c r="I24" s="238" t="s">
        <v>160</v>
      </c>
      <c r="J24" s="238" t="s">
        <v>144</v>
      </c>
      <c r="K24" s="130" t="s">
        <v>198</v>
      </c>
      <c r="L24" s="249">
        <v>113330</v>
      </c>
      <c r="M24" s="238">
        <v>2019</v>
      </c>
      <c r="N24" s="70" t="s">
        <v>47</v>
      </c>
      <c r="O24" s="249">
        <v>112100</v>
      </c>
      <c r="P24" s="247" t="s">
        <v>121</v>
      </c>
      <c r="Q24" s="226" t="s">
        <v>233</v>
      </c>
      <c r="R24" s="205"/>
    </row>
    <row r="25" spans="1:18" x14ac:dyDescent="0.25">
      <c r="A25" s="58"/>
      <c r="B25" s="59"/>
      <c r="C25" s="48"/>
      <c r="D25" s="59"/>
      <c r="E25" s="48"/>
      <c r="F25" s="47"/>
      <c r="G25" s="47"/>
      <c r="H25" s="47"/>
      <c r="I25" s="47"/>
      <c r="J25" s="47"/>
      <c r="K25" s="47"/>
      <c r="L25" s="47"/>
      <c r="M25" s="47"/>
      <c r="N25" s="47"/>
      <c r="O25" s="47"/>
      <c r="P25" s="48"/>
      <c r="Q25" s="35"/>
    </row>
    <row r="26" spans="1:18" x14ac:dyDescent="0.25">
      <c r="M26" s="49"/>
      <c r="Q26" s="36"/>
    </row>
    <row r="27" spans="1:18" ht="21.75" customHeight="1" x14ac:dyDescent="0.25">
      <c r="A27" s="239" t="s">
        <v>143</v>
      </c>
      <c r="B27" s="51" t="s">
        <v>142</v>
      </c>
      <c r="C27" s="239" t="s">
        <v>116</v>
      </c>
      <c r="D27" s="239" t="s">
        <v>140</v>
      </c>
      <c r="E27" s="239" t="s">
        <v>112</v>
      </c>
      <c r="F27" s="239" t="s">
        <v>115</v>
      </c>
      <c r="G27" s="239" t="s">
        <v>141</v>
      </c>
      <c r="H27" s="239" t="s">
        <v>124</v>
      </c>
      <c r="I27" s="239" t="s">
        <v>123</v>
      </c>
    </row>
    <row r="28" spans="1:18" ht="35.25" customHeight="1" x14ac:dyDescent="0.25">
      <c r="A28" s="52" t="s">
        <v>25</v>
      </c>
      <c r="B28" s="52" t="s">
        <v>145</v>
      </c>
      <c r="C28" s="50" t="s">
        <v>243</v>
      </c>
      <c r="D28" s="67">
        <v>0</v>
      </c>
      <c r="E28" s="50" t="s">
        <v>199</v>
      </c>
      <c r="F28" s="50" t="s">
        <v>120</v>
      </c>
      <c r="G28" s="50" t="s">
        <v>47</v>
      </c>
      <c r="H28" s="68">
        <f>SUM(N5)</f>
        <v>6460</v>
      </c>
      <c r="I28" s="68">
        <f>SUM(O5)</f>
        <v>21534</v>
      </c>
    </row>
    <row r="29" spans="1:18" ht="39" customHeight="1" x14ac:dyDescent="0.25">
      <c r="A29" s="52" t="s">
        <v>25</v>
      </c>
      <c r="B29" s="52" t="s">
        <v>145</v>
      </c>
      <c r="C29" s="50" t="s">
        <v>243</v>
      </c>
      <c r="D29" s="67">
        <v>0</v>
      </c>
      <c r="E29" s="52" t="s">
        <v>160</v>
      </c>
      <c r="F29" s="50" t="s">
        <v>144</v>
      </c>
      <c r="G29" s="50" t="s">
        <v>47</v>
      </c>
      <c r="H29" s="68">
        <f>N8</f>
        <v>6460</v>
      </c>
      <c r="I29" s="68">
        <f>O8</f>
        <v>21534</v>
      </c>
    </row>
    <row r="30" spans="1:18" ht="48.75" customHeight="1" x14ac:dyDescent="0.25">
      <c r="A30" s="52" t="s">
        <v>40</v>
      </c>
      <c r="B30" s="52" t="s">
        <v>147</v>
      </c>
      <c r="C30" s="50" t="s">
        <v>35</v>
      </c>
      <c r="D30" s="67">
        <v>0</v>
      </c>
      <c r="E30" s="50" t="s">
        <v>199</v>
      </c>
      <c r="F30" s="50" t="s">
        <v>120</v>
      </c>
      <c r="G30" s="50" t="s">
        <v>47</v>
      </c>
      <c r="H30" s="68">
        <f>SUM(N13)</f>
        <v>25670</v>
      </c>
      <c r="I30" s="68">
        <f>SUM(O13)</f>
        <v>256700</v>
      </c>
    </row>
    <row r="31" spans="1:18" ht="39" x14ac:dyDescent="0.25">
      <c r="A31" s="52" t="s">
        <v>27</v>
      </c>
      <c r="B31" s="69" t="s">
        <v>149</v>
      </c>
      <c r="C31" s="52" t="s">
        <v>32</v>
      </c>
      <c r="D31" s="67">
        <v>0</v>
      </c>
      <c r="E31" s="50" t="s">
        <v>199</v>
      </c>
      <c r="F31" s="50" t="s">
        <v>120</v>
      </c>
      <c r="G31" s="50" t="s">
        <v>47</v>
      </c>
      <c r="H31" s="66">
        <f>SUM(N18)</f>
        <v>6</v>
      </c>
      <c r="I31" s="66">
        <f>SUM(O18)</f>
        <v>21</v>
      </c>
      <c r="K31" s="47"/>
    </row>
    <row r="32" spans="1:18" ht="39" x14ac:dyDescent="0.25">
      <c r="A32" s="52" t="s">
        <v>27</v>
      </c>
      <c r="B32" s="69" t="s">
        <v>149</v>
      </c>
      <c r="C32" s="52" t="s">
        <v>32</v>
      </c>
      <c r="D32" s="67">
        <v>0</v>
      </c>
      <c r="E32" s="52" t="s">
        <v>160</v>
      </c>
      <c r="F32" s="50" t="s">
        <v>144</v>
      </c>
      <c r="G32" s="50" t="s">
        <v>47</v>
      </c>
      <c r="H32" s="66">
        <f>SUM(N22)</f>
        <v>6</v>
      </c>
      <c r="I32" s="66">
        <f>SUM(O22)</f>
        <v>21</v>
      </c>
      <c r="K32" s="47"/>
    </row>
    <row r="33" spans="1:18" ht="54" customHeight="1" x14ac:dyDescent="0.25">
      <c r="A33" s="235" t="s">
        <v>23</v>
      </c>
      <c r="B33" s="235" t="s">
        <v>151</v>
      </c>
      <c r="C33" s="235" t="s">
        <v>244</v>
      </c>
      <c r="D33" s="63">
        <f>SUM(L6+L14+L17)</f>
        <v>2617048</v>
      </c>
      <c r="E33" s="235" t="s">
        <v>199</v>
      </c>
      <c r="F33" s="246" t="s">
        <v>120</v>
      </c>
      <c r="G33" s="246">
        <v>2019</v>
      </c>
      <c r="H33" s="45" t="s">
        <v>47</v>
      </c>
      <c r="I33" s="249">
        <f>SUM(O6+O14+O17)</f>
        <v>1604946</v>
      </c>
    </row>
    <row r="34" spans="1:18" ht="53.1" customHeight="1" x14ac:dyDescent="0.25">
      <c r="A34" s="235" t="s">
        <v>23</v>
      </c>
      <c r="B34" s="235" t="s">
        <v>151</v>
      </c>
      <c r="C34" s="235" t="s">
        <v>244</v>
      </c>
      <c r="D34" s="63">
        <f>SUM(L11+L21)</f>
        <v>2560574</v>
      </c>
      <c r="E34" s="235" t="s">
        <v>160</v>
      </c>
      <c r="F34" s="246" t="s">
        <v>144</v>
      </c>
      <c r="G34" s="246">
        <v>2019</v>
      </c>
      <c r="H34" s="45" t="s">
        <v>47</v>
      </c>
      <c r="I34" s="249">
        <f>SUM(O11+O21)</f>
        <v>1571062</v>
      </c>
    </row>
    <row r="35" spans="1:18" ht="45.95" customHeight="1" x14ac:dyDescent="0.25">
      <c r="A35" s="52" t="s">
        <v>36</v>
      </c>
      <c r="B35" s="52" t="s">
        <v>154</v>
      </c>
      <c r="C35" s="62" t="s">
        <v>198</v>
      </c>
      <c r="D35" s="63">
        <f>SUM(L7+L16+L19)</f>
        <v>176068</v>
      </c>
      <c r="E35" s="52" t="s">
        <v>199</v>
      </c>
      <c r="F35" s="50" t="s">
        <v>120</v>
      </c>
      <c r="G35" s="50">
        <v>2019</v>
      </c>
      <c r="H35" s="45" t="s">
        <v>47</v>
      </c>
      <c r="I35" s="66">
        <f>SUM(O16+O19+O7)</f>
        <v>156893</v>
      </c>
    </row>
    <row r="36" spans="1:18" ht="58.5" customHeight="1" x14ac:dyDescent="0.25">
      <c r="A36" s="52" t="s">
        <v>36</v>
      </c>
      <c r="B36" s="52" t="s">
        <v>154</v>
      </c>
      <c r="C36" s="62" t="s">
        <v>198</v>
      </c>
      <c r="D36" s="63">
        <f>SUM(L12+L24)</f>
        <v>170421</v>
      </c>
      <c r="E36" s="52" t="s">
        <v>160</v>
      </c>
      <c r="F36" s="50" t="s">
        <v>144</v>
      </c>
      <c r="G36" s="50">
        <v>2019</v>
      </c>
      <c r="H36" s="45" t="s">
        <v>47</v>
      </c>
      <c r="I36" s="66">
        <f>SUM(O12+O24)</f>
        <v>153505</v>
      </c>
    </row>
    <row r="37" spans="1:18" s="23" customFormat="1" ht="68.25" customHeight="1" x14ac:dyDescent="0.25">
      <c r="A37" s="238" t="s">
        <v>118</v>
      </c>
      <c r="B37" s="238" t="s">
        <v>200</v>
      </c>
      <c r="C37" s="238" t="s">
        <v>190</v>
      </c>
      <c r="D37" s="63">
        <v>0</v>
      </c>
      <c r="E37" s="238" t="s">
        <v>199</v>
      </c>
      <c r="F37" s="238" t="s">
        <v>120</v>
      </c>
      <c r="G37" s="70" t="s">
        <v>47</v>
      </c>
      <c r="H37" s="45">
        <f>SUM(N20)</f>
        <v>15428</v>
      </c>
      <c r="I37" s="45">
        <f>SUM(O20)</f>
        <v>51428</v>
      </c>
      <c r="J37" s="53"/>
      <c r="K37" s="53"/>
      <c r="L37" s="53"/>
      <c r="M37" s="53"/>
      <c r="N37" s="53"/>
      <c r="O37" s="53"/>
      <c r="P37" s="54"/>
      <c r="Q37" s="37"/>
      <c r="R37" s="37"/>
    </row>
    <row r="38" spans="1:18" ht="68.25" customHeight="1" x14ac:dyDescent="0.25">
      <c r="A38" s="238" t="s">
        <v>118</v>
      </c>
      <c r="B38" s="238" t="s">
        <v>200</v>
      </c>
      <c r="C38" s="238" t="s">
        <v>190</v>
      </c>
      <c r="D38" s="63">
        <v>0</v>
      </c>
      <c r="E38" s="238" t="s">
        <v>160</v>
      </c>
      <c r="F38" s="238" t="s">
        <v>144</v>
      </c>
      <c r="G38" s="70" t="s">
        <v>47</v>
      </c>
      <c r="H38" s="45">
        <f>SUM(N23)</f>
        <v>15428</v>
      </c>
      <c r="I38" s="45">
        <f>SUM(O23)</f>
        <v>51428</v>
      </c>
    </row>
  </sheetData>
  <mergeCells count="67">
    <mergeCell ref="O3:O4"/>
    <mergeCell ref="A1:F1"/>
    <mergeCell ref="A3:A4"/>
    <mergeCell ref="B3:B4"/>
    <mergeCell ref="C3:E3"/>
    <mergeCell ref="F3:F4"/>
    <mergeCell ref="G3:H3"/>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C8:C12"/>
    <mergeCell ref="D8:D12"/>
    <mergeCell ref="E8:E12"/>
    <mergeCell ref="F8:F12"/>
    <mergeCell ref="G8:G10"/>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R14:R15"/>
    <mergeCell ref="G14:G15"/>
    <mergeCell ref="H14:H15"/>
    <mergeCell ref="I14:I15"/>
    <mergeCell ref="J14:J15"/>
    <mergeCell ref="K14:K15"/>
    <mergeCell ref="L14:L15"/>
    <mergeCell ref="M14:M15"/>
    <mergeCell ref="N14:N15"/>
    <mergeCell ref="O14:O15"/>
    <mergeCell ref="P14:P15"/>
    <mergeCell ref="Q14:Q15"/>
    <mergeCell ref="F21:F24"/>
    <mergeCell ref="A17:A24"/>
    <mergeCell ref="B17:B20"/>
    <mergeCell ref="C17:C20"/>
    <mergeCell ref="D17:D20"/>
    <mergeCell ref="E17:E20"/>
    <mergeCell ref="F17:F20"/>
    <mergeCell ref="B21:B24"/>
    <mergeCell ref="C21:C24"/>
    <mergeCell ref="D21:D24"/>
    <mergeCell ref="E21:E24"/>
  </mergeCells>
  <phoneticPr fontId="6"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8"/>
  <sheetViews>
    <sheetView topLeftCell="D22" zoomScale="80" zoomScaleNormal="80" workbookViewId="0">
      <selection activeCell="P26" sqref="P26"/>
    </sheetView>
  </sheetViews>
  <sheetFormatPr defaultRowHeight="15" x14ac:dyDescent="0.25"/>
  <cols>
    <col min="1" max="1" width="29.85546875" style="40" customWidth="1"/>
    <col min="2" max="2" width="29" style="56" customWidth="1"/>
    <col min="3" max="3" width="20.85546875" style="40" customWidth="1"/>
    <col min="4" max="4" width="21.5703125" style="56" customWidth="1"/>
    <col min="5" max="5" width="22.85546875" style="193" customWidth="1"/>
    <col min="6" max="6" width="14.42578125" style="40" customWidth="1"/>
    <col min="7" max="7" width="10.42578125" style="40" customWidth="1"/>
    <col min="8" max="8" width="20.85546875" style="40" customWidth="1"/>
    <col min="9" max="9" width="15.85546875" style="40" customWidth="1"/>
    <col min="10" max="10" width="17.85546875" style="40" customWidth="1"/>
    <col min="11" max="11" width="24.42578125" style="40" customWidth="1"/>
    <col min="12" max="12" width="14.42578125" style="40" customWidth="1"/>
    <col min="13" max="13" width="14.85546875" style="40" customWidth="1"/>
    <col min="14" max="14" width="12.42578125" style="40" customWidth="1"/>
    <col min="15" max="15" width="12" style="40" bestFit="1" customWidth="1"/>
    <col min="16" max="16" width="12.5703125" style="41" customWidth="1"/>
    <col min="17" max="17" width="0.140625" style="25" customWidth="1"/>
    <col min="18" max="18" width="84.42578125" style="25" customWidth="1"/>
  </cols>
  <sheetData>
    <row r="1" spans="1:18" ht="33.950000000000003" customHeight="1" x14ac:dyDescent="0.25">
      <c r="A1" s="38" t="s">
        <v>19</v>
      </c>
      <c r="B1" s="38"/>
      <c r="C1" s="38"/>
      <c r="D1" s="38"/>
      <c r="E1" s="192"/>
      <c r="F1" s="39"/>
      <c r="G1" s="39"/>
    </row>
    <row r="2" spans="1:18" ht="15.75" thickBot="1" x14ac:dyDescent="0.3"/>
    <row r="3" spans="1:18" ht="15" customHeight="1" x14ac:dyDescent="0.25">
      <c r="A3" s="370" t="s">
        <v>0</v>
      </c>
      <c r="B3" s="372" t="s">
        <v>48</v>
      </c>
      <c r="C3" s="374" t="s">
        <v>2</v>
      </c>
      <c r="D3" s="375"/>
      <c r="E3" s="375"/>
      <c r="F3" s="374" t="s">
        <v>20</v>
      </c>
      <c r="G3" s="378" t="s">
        <v>3</v>
      </c>
      <c r="H3" s="378"/>
      <c r="I3" s="363" t="s">
        <v>21</v>
      </c>
      <c r="J3" s="365" t="s">
        <v>22</v>
      </c>
      <c r="K3" s="363" t="s">
        <v>4</v>
      </c>
      <c r="L3" s="367" t="s">
        <v>5</v>
      </c>
      <c r="M3" s="368"/>
      <c r="N3" s="352" t="s">
        <v>6</v>
      </c>
      <c r="O3" s="352" t="s">
        <v>7</v>
      </c>
      <c r="P3" s="352" t="s">
        <v>8</v>
      </c>
      <c r="Q3" s="354" t="s">
        <v>9</v>
      </c>
      <c r="R3" s="356" t="s">
        <v>61</v>
      </c>
    </row>
    <row r="4" spans="1:18" ht="54.75" customHeight="1" x14ac:dyDescent="0.25">
      <c r="A4" s="371"/>
      <c r="B4" s="373"/>
      <c r="C4" s="92" t="s">
        <v>10</v>
      </c>
      <c r="D4" s="57" t="s">
        <v>49</v>
      </c>
      <c r="E4" s="194" t="s">
        <v>46</v>
      </c>
      <c r="F4" s="376"/>
      <c r="G4" s="92" t="s">
        <v>12</v>
      </c>
      <c r="H4" s="92" t="s">
        <v>13</v>
      </c>
      <c r="I4" s="364"/>
      <c r="J4" s="366"/>
      <c r="K4" s="364"/>
      <c r="L4" s="65" t="s">
        <v>14</v>
      </c>
      <c r="M4" s="65" t="s">
        <v>15</v>
      </c>
      <c r="N4" s="353"/>
      <c r="O4" s="353"/>
      <c r="P4" s="353"/>
      <c r="Q4" s="355"/>
      <c r="R4" s="356"/>
    </row>
    <row r="5" spans="1:18" ht="106.5" customHeight="1" x14ac:dyDescent="0.25">
      <c r="A5" s="379" t="s">
        <v>221</v>
      </c>
      <c r="B5" s="312">
        <v>29050000</v>
      </c>
      <c r="C5" s="314" t="s">
        <v>196</v>
      </c>
      <c r="D5" s="312">
        <f>(B5-(B5*0.0411))*0.5/0.5</f>
        <v>27856045</v>
      </c>
      <c r="E5" s="312">
        <f>B5+D5</f>
        <v>56906045</v>
      </c>
      <c r="F5" s="383">
        <f>E5</f>
        <v>56906045</v>
      </c>
      <c r="G5" s="86" t="s">
        <v>25</v>
      </c>
      <c r="H5" s="88" t="s">
        <v>145</v>
      </c>
      <c r="I5" s="87" t="s">
        <v>119</v>
      </c>
      <c r="J5" s="86" t="s">
        <v>120</v>
      </c>
      <c r="K5" s="86" t="s">
        <v>146</v>
      </c>
      <c r="L5" s="79">
        <v>0</v>
      </c>
      <c r="M5" s="79" t="s">
        <v>47</v>
      </c>
      <c r="N5" s="145">
        <v>4620</v>
      </c>
      <c r="O5" s="55">
        <v>15400</v>
      </c>
      <c r="P5" s="29" t="s">
        <v>121</v>
      </c>
      <c r="Q5" s="120" t="s">
        <v>210</v>
      </c>
      <c r="R5" s="126" t="s">
        <v>209</v>
      </c>
    </row>
    <row r="6" spans="1:18" ht="77.25" customHeight="1" x14ac:dyDescent="0.25">
      <c r="A6" s="380"/>
      <c r="B6" s="380"/>
      <c r="C6" s="381"/>
      <c r="D6" s="382"/>
      <c r="E6" s="382"/>
      <c r="F6" s="383"/>
      <c r="G6" s="86" t="s">
        <v>23</v>
      </c>
      <c r="H6" s="88" t="s">
        <v>151</v>
      </c>
      <c r="I6" s="87" t="s">
        <v>119</v>
      </c>
      <c r="J6" s="86" t="s">
        <v>120</v>
      </c>
      <c r="K6" s="87" t="s">
        <v>150</v>
      </c>
      <c r="L6" s="145">
        <v>1020712</v>
      </c>
      <c r="M6" s="31">
        <v>2019</v>
      </c>
      <c r="N6" s="46" t="s">
        <v>37</v>
      </c>
      <c r="O6" s="46">
        <v>321860</v>
      </c>
      <c r="P6" s="29" t="s">
        <v>121</v>
      </c>
      <c r="Q6" s="120" t="s">
        <v>51</v>
      </c>
      <c r="R6" s="125" t="s">
        <v>72</v>
      </c>
    </row>
    <row r="7" spans="1:18" ht="25.5" customHeight="1" x14ac:dyDescent="0.25">
      <c r="A7" s="380"/>
      <c r="B7" s="312">
        <v>53950000</v>
      </c>
      <c r="C7" s="314" t="s">
        <v>196</v>
      </c>
      <c r="D7" s="312">
        <f>(B7-(B7*0.0411))*0.5/0.5</f>
        <v>51732655</v>
      </c>
      <c r="E7" s="312">
        <f>B7+D7</f>
        <v>105682655</v>
      </c>
      <c r="F7" s="385">
        <f>E7</f>
        <v>105682655</v>
      </c>
      <c r="G7" s="343" t="s">
        <v>25</v>
      </c>
      <c r="H7" s="314" t="s">
        <v>145</v>
      </c>
      <c r="I7" s="343" t="s">
        <v>160</v>
      </c>
      <c r="J7" s="343" t="s">
        <v>144</v>
      </c>
      <c r="K7" s="343" t="s">
        <v>146</v>
      </c>
      <c r="L7" s="384">
        <v>0</v>
      </c>
      <c r="M7" s="390" t="s">
        <v>47</v>
      </c>
      <c r="N7" s="384">
        <v>8580</v>
      </c>
      <c r="O7" s="384">
        <v>28600</v>
      </c>
      <c r="P7" s="386" t="s">
        <v>121</v>
      </c>
      <c r="Q7" s="387" t="s">
        <v>211</v>
      </c>
      <c r="R7" s="388" t="s">
        <v>212</v>
      </c>
    </row>
    <row r="8" spans="1:18" ht="89.25" customHeight="1" x14ac:dyDescent="0.25">
      <c r="A8" s="380"/>
      <c r="B8" s="380"/>
      <c r="C8" s="381"/>
      <c r="D8" s="382"/>
      <c r="E8" s="382"/>
      <c r="F8" s="385"/>
      <c r="G8" s="380"/>
      <c r="H8" s="381"/>
      <c r="I8" s="380"/>
      <c r="J8" s="380"/>
      <c r="K8" s="380"/>
      <c r="L8" s="384"/>
      <c r="M8" s="390"/>
      <c r="N8" s="384"/>
      <c r="O8" s="384"/>
      <c r="P8" s="386"/>
      <c r="Q8" s="387"/>
      <c r="R8" s="389"/>
    </row>
    <row r="9" spans="1:18" s="34" customFormat="1" ht="86.25" customHeight="1" thickBot="1" x14ac:dyDescent="0.3">
      <c r="A9" s="380"/>
      <c r="B9" s="380"/>
      <c r="C9" s="381"/>
      <c r="D9" s="382"/>
      <c r="E9" s="382"/>
      <c r="F9" s="385"/>
      <c r="G9" s="86" t="s">
        <v>23</v>
      </c>
      <c r="H9" s="88" t="s">
        <v>151</v>
      </c>
      <c r="I9" s="81" t="s">
        <v>160</v>
      </c>
      <c r="J9" s="86" t="s">
        <v>144</v>
      </c>
      <c r="K9" s="87" t="s">
        <v>150</v>
      </c>
      <c r="L9" s="145">
        <v>1895608</v>
      </c>
      <c r="M9" s="31">
        <v>2019</v>
      </c>
      <c r="N9" s="94" t="s">
        <v>37</v>
      </c>
      <c r="O9" s="46">
        <v>597740</v>
      </c>
      <c r="P9" s="28" t="s">
        <v>121</v>
      </c>
      <c r="Q9" s="116" t="s">
        <v>52</v>
      </c>
      <c r="R9" s="125" t="s">
        <v>62</v>
      </c>
    </row>
    <row r="10" spans="1:18" ht="83.25" customHeight="1" x14ac:dyDescent="0.25">
      <c r="A10" s="343" t="s">
        <v>195</v>
      </c>
      <c r="B10" s="312">
        <v>24800000</v>
      </c>
      <c r="C10" s="314" t="s">
        <v>197</v>
      </c>
      <c r="D10" s="312">
        <f>(B10*0.3)/0.7</f>
        <v>10628571.428571429</v>
      </c>
      <c r="E10" s="312">
        <f>B10+D10</f>
        <v>35428571.428571433</v>
      </c>
      <c r="F10" s="312">
        <f>E10</f>
        <v>35428571.428571433</v>
      </c>
      <c r="G10" s="86" t="s">
        <v>26</v>
      </c>
      <c r="H10" s="88" t="s">
        <v>147</v>
      </c>
      <c r="I10" s="91" t="s">
        <v>119</v>
      </c>
      <c r="J10" s="91" t="s">
        <v>120</v>
      </c>
      <c r="K10" s="42" t="s">
        <v>148</v>
      </c>
      <c r="L10" s="145">
        <v>0</v>
      </c>
      <c r="M10" s="79" t="s">
        <v>47</v>
      </c>
      <c r="N10" s="94">
        <v>10200</v>
      </c>
      <c r="O10" s="46">
        <v>102000</v>
      </c>
      <c r="P10" s="28" t="s">
        <v>121</v>
      </c>
      <c r="Q10" s="90" t="s">
        <v>213</v>
      </c>
      <c r="R10" s="126" t="s">
        <v>74</v>
      </c>
    </row>
    <row r="11" spans="1:18" ht="13.5" customHeight="1" x14ac:dyDescent="0.25">
      <c r="A11" s="343"/>
      <c r="B11" s="343"/>
      <c r="C11" s="314"/>
      <c r="D11" s="382"/>
      <c r="E11" s="380"/>
      <c r="F11" s="380"/>
      <c r="G11" s="343" t="s">
        <v>23</v>
      </c>
      <c r="H11" s="391" t="s">
        <v>151</v>
      </c>
      <c r="I11" s="343" t="s">
        <v>119</v>
      </c>
      <c r="J11" s="343" t="s">
        <v>120</v>
      </c>
      <c r="K11" s="343" t="s">
        <v>150</v>
      </c>
      <c r="L11" s="384">
        <v>22440</v>
      </c>
      <c r="M11" s="345">
        <v>2019</v>
      </c>
      <c r="N11" s="395" t="s">
        <v>37</v>
      </c>
      <c r="O11" s="395">
        <v>15708</v>
      </c>
      <c r="P11" s="396" t="s">
        <v>121</v>
      </c>
      <c r="Q11" s="381" t="s">
        <v>70</v>
      </c>
      <c r="R11" s="397" t="s">
        <v>73</v>
      </c>
    </row>
    <row r="12" spans="1:18" ht="84.75" customHeight="1" x14ac:dyDescent="0.25">
      <c r="A12" s="343"/>
      <c r="B12" s="343"/>
      <c r="C12" s="314"/>
      <c r="D12" s="382"/>
      <c r="E12" s="380"/>
      <c r="F12" s="380"/>
      <c r="G12" s="380"/>
      <c r="H12" s="392"/>
      <c r="I12" s="343"/>
      <c r="J12" s="380"/>
      <c r="K12" s="380"/>
      <c r="L12" s="384"/>
      <c r="M12" s="345"/>
      <c r="N12" s="395"/>
      <c r="O12" s="395"/>
      <c r="P12" s="380"/>
      <c r="Q12" s="381"/>
      <c r="R12" s="397"/>
    </row>
    <row r="13" spans="1:18" ht="48.75" customHeight="1" x14ac:dyDescent="0.25">
      <c r="A13" s="343"/>
      <c r="B13" s="343"/>
      <c r="C13" s="314"/>
      <c r="D13" s="382"/>
      <c r="E13" s="380"/>
      <c r="F13" s="380"/>
      <c r="G13" s="86" t="s">
        <v>36</v>
      </c>
      <c r="H13" s="88" t="s">
        <v>154</v>
      </c>
      <c r="I13" s="87" t="s">
        <v>119</v>
      </c>
      <c r="J13" s="86" t="s">
        <v>120</v>
      </c>
      <c r="K13" s="87" t="s">
        <v>131</v>
      </c>
      <c r="L13" s="145">
        <v>2244</v>
      </c>
      <c r="M13" s="31">
        <v>2019</v>
      </c>
      <c r="N13" s="94" t="s">
        <v>37</v>
      </c>
      <c r="O13" s="46">
        <v>1571</v>
      </c>
      <c r="P13" s="93" t="s">
        <v>121</v>
      </c>
      <c r="Q13" s="120" t="s">
        <v>53</v>
      </c>
      <c r="R13" s="127" t="s">
        <v>78</v>
      </c>
    </row>
    <row r="14" spans="1:18" ht="409.5" x14ac:dyDescent="0.25">
      <c r="A14" s="380"/>
      <c r="B14" s="312">
        <v>37200000</v>
      </c>
      <c r="C14" s="314" t="s">
        <v>197</v>
      </c>
      <c r="D14" s="312">
        <f>(B14*0.3)/0.7</f>
        <v>15942857.142857144</v>
      </c>
      <c r="E14" s="393">
        <f>B14+D14</f>
        <v>53142857.142857142</v>
      </c>
      <c r="F14" s="393">
        <f>E14</f>
        <v>53142857.142857142</v>
      </c>
      <c r="G14" s="86" t="s">
        <v>26</v>
      </c>
      <c r="H14" s="88" t="s">
        <v>147</v>
      </c>
      <c r="I14" s="81" t="s">
        <v>160</v>
      </c>
      <c r="J14" s="87" t="s">
        <v>144</v>
      </c>
      <c r="K14" s="86" t="s">
        <v>148</v>
      </c>
      <c r="L14" s="145">
        <v>0</v>
      </c>
      <c r="M14" s="79" t="s">
        <v>47</v>
      </c>
      <c r="N14" s="94">
        <v>15500</v>
      </c>
      <c r="O14" s="46">
        <v>155000</v>
      </c>
      <c r="P14" s="93" t="s">
        <v>121</v>
      </c>
      <c r="Q14" s="118" t="s">
        <v>54</v>
      </c>
      <c r="R14" s="126" t="s">
        <v>75</v>
      </c>
    </row>
    <row r="15" spans="1:18" ht="85.5" customHeight="1" x14ac:dyDescent="0.25">
      <c r="A15" s="380"/>
      <c r="B15" s="312"/>
      <c r="C15" s="314"/>
      <c r="D15" s="312"/>
      <c r="E15" s="393"/>
      <c r="F15" s="394"/>
      <c r="G15" s="86" t="s">
        <v>23</v>
      </c>
      <c r="H15" s="88" t="s">
        <v>151</v>
      </c>
      <c r="I15" s="81" t="s">
        <v>160</v>
      </c>
      <c r="J15" s="87" t="s">
        <v>144</v>
      </c>
      <c r="K15" s="87" t="s">
        <v>150</v>
      </c>
      <c r="L15" s="145">
        <v>34100</v>
      </c>
      <c r="M15" s="28">
        <v>2019</v>
      </c>
      <c r="N15" s="94" t="s">
        <v>37</v>
      </c>
      <c r="O15" s="46">
        <v>23870</v>
      </c>
      <c r="P15" s="93" t="s">
        <v>121</v>
      </c>
      <c r="Q15" s="120" t="s">
        <v>55</v>
      </c>
      <c r="R15" s="125" t="s">
        <v>76</v>
      </c>
    </row>
    <row r="16" spans="1:18" s="34" customFormat="1" ht="60" customHeight="1" thickBot="1" x14ac:dyDescent="0.3">
      <c r="A16" s="380"/>
      <c r="B16" s="312"/>
      <c r="C16" s="314"/>
      <c r="D16" s="312"/>
      <c r="E16" s="393"/>
      <c r="F16" s="394"/>
      <c r="G16" s="86" t="s">
        <v>41</v>
      </c>
      <c r="H16" s="88" t="s">
        <v>154</v>
      </c>
      <c r="I16" s="81" t="s">
        <v>160</v>
      </c>
      <c r="J16" s="87" t="s">
        <v>144</v>
      </c>
      <c r="K16" s="87" t="s">
        <v>131</v>
      </c>
      <c r="L16" s="145">
        <v>3410</v>
      </c>
      <c r="M16" s="28">
        <v>2019</v>
      </c>
      <c r="N16" s="46" t="s">
        <v>37</v>
      </c>
      <c r="O16" s="46">
        <v>2387</v>
      </c>
      <c r="P16" s="93" t="s">
        <v>121</v>
      </c>
      <c r="Q16" s="121" t="s">
        <v>77</v>
      </c>
      <c r="R16" s="125" t="s">
        <v>79</v>
      </c>
    </row>
    <row r="17" spans="1:18" ht="62.25" customHeight="1" x14ac:dyDescent="0.25">
      <c r="A17" s="399" t="s">
        <v>194</v>
      </c>
      <c r="B17" s="317">
        <v>3493987.8</v>
      </c>
      <c r="C17" s="342" t="s">
        <v>193</v>
      </c>
      <c r="D17" s="317">
        <f>(B17*0.3)/0.7</f>
        <v>1497423.3428571427</v>
      </c>
      <c r="E17" s="307">
        <f>D17+B17</f>
        <v>4991411.1428571427</v>
      </c>
      <c r="F17" s="398">
        <f>E17</f>
        <v>4991411.1428571427</v>
      </c>
      <c r="G17" s="42" t="s">
        <v>23</v>
      </c>
      <c r="H17" s="43" t="s">
        <v>151</v>
      </c>
      <c r="I17" s="91" t="s">
        <v>119</v>
      </c>
      <c r="J17" s="44" t="s">
        <v>120</v>
      </c>
      <c r="K17" s="87" t="s">
        <v>150</v>
      </c>
      <c r="L17" s="145">
        <v>7000</v>
      </c>
      <c r="M17" s="131">
        <v>2019</v>
      </c>
      <c r="N17" s="94" t="s">
        <v>37</v>
      </c>
      <c r="O17" s="94">
        <v>5600</v>
      </c>
      <c r="P17" s="93" t="s">
        <v>121</v>
      </c>
      <c r="Q17" s="119" t="s">
        <v>56</v>
      </c>
      <c r="R17" s="126" t="s">
        <v>81</v>
      </c>
    </row>
    <row r="18" spans="1:18" ht="129" customHeight="1" x14ac:dyDescent="0.25">
      <c r="A18" s="379"/>
      <c r="B18" s="312"/>
      <c r="C18" s="314"/>
      <c r="D18" s="312"/>
      <c r="E18" s="393"/>
      <c r="F18" s="394"/>
      <c r="G18" s="31" t="s">
        <v>118</v>
      </c>
      <c r="H18" s="142" t="s">
        <v>153</v>
      </c>
      <c r="I18" s="31" t="s">
        <v>119</v>
      </c>
      <c r="J18" s="143" t="s">
        <v>120</v>
      </c>
      <c r="K18" s="70" t="s">
        <v>152</v>
      </c>
      <c r="L18" s="145">
        <v>0</v>
      </c>
      <c r="M18" s="79" t="s">
        <v>47</v>
      </c>
      <c r="N18" s="46">
        <v>14</v>
      </c>
      <c r="O18" s="94">
        <v>70</v>
      </c>
      <c r="P18" s="93" t="s">
        <v>121</v>
      </c>
      <c r="Q18" s="122" t="s">
        <v>57</v>
      </c>
      <c r="R18" s="125" t="s">
        <v>82</v>
      </c>
    </row>
    <row r="19" spans="1:18" ht="60" customHeight="1" x14ac:dyDescent="0.25">
      <c r="A19" s="379"/>
      <c r="B19" s="312">
        <v>6478246.5</v>
      </c>
      <c r="C19" s="342" t="s">
        <v>193</v>
      </c>
      <c r="D19" s="312">
        <f>(B19*0.3)/0.7</f>
        <v>2776391.3571428573</v>
      </c>
      <c r="E19" s="393">
        <f>D19+B19</f>
        <v>9254637.8571428582</v>
      </c>
      <c r="F19" s="398">
        <f>E19</f>
        <v>9254637.8571428582</v>
      </c>
      <c r="G19" s="70" t="s">
        <v>23</v>
      </c>
      <c r="H19" s="43" t="s">
        <v>151</v>
      </c>
      <c r="I19" s="103" t="s">
        <v>160</v>
      </c>
      <c r="J19" s="143" t="s">
        <v>144</v>
      </c>
      <c r="K19" s="31" t="s">
        <v>150</v>
      </c>
      <c r="L19" s="63">
        <v>12900</v>
      </c>
      <c r="M19" s="31">
        <v>2019</v>
      </c>
      <c r="N19" s="45" t="s">
        <v>37</v>
      </c>
      <c r="O19" s="64">
        <v>10320</v>
      </c>
      <c r="P19" s="93" t="s">
        <v>121</v>
      </c>
      <c r="Q19" s="122" t="s">
        <v>50</v>
      </c>
      <c r="R19" s="126" t="s">
        <v>80</v>
      </c>
    </row>
    <row r="20" spans="1:18" ht="102.75" customHeight="1" x14ac:dyDescent="0.25">
      <c r="A20" s="379"/>
      <c r="B20" s="312"/>
      <c r="C20" s="314"/>
      <c r="D20" s="312"/>
      <c r="E20" s="393"/>
      <c r="F20" s="394"/>
      <c r="G20" s="31" t="s">
        <v>118</v>
      </c>
      <c r="H20" s="142" t="s">
        <v>153</v>
      </c>
      <c r="I20" s="103" t="s">
        <v>160</v>
      </c>
      <c r="J20" s="143" t="s">
        <v>144</v>
      </c>
      <c r="K20" s="70" t="s">
        <v>152</v>
      </c>
      <c r="L20" s="63">
        <v>0</v>
      </c>
      <c r="M20" s="70" t="s">
        <v>47</v>
      </c>
      <c r="N20" s="45">
        <v>25</v>
      </c>
      <c r="O20" s="64">
        <v>129</v>
      </c>
      <c r="P20" s="93" t="s">
        <v>121</v>
      </c>
      <c r="Q20" s="122" t="s">
        <v>71</v>
      </c>
      <c r="R20" s="125" t="s">
        <v>83</v>
      </c>
    </row>
    <row r="21" spans="1:18" ht="59.25" customHeight="1" x14ac:dyDescent="0.25">
      <c r="A21" s="379"/>
      <c r="B21" s="312">
        <v>5235423</v>
      </c>
      <c r="C21" s="314" t="s">
        <v>192</v>
      </c>
      <c r="D21" s="312">
        <f>B21</f>
        <v>5235423</v>
      </c>
      <c r="E21" s="393">
        <f>D21+B21</f>
        <v>10470846</v>
      </c>
      <c r="F21" s="398">
        <f>E21</f>
        <v>10470846</v>
      </c>
      <c r="G21" s="70" t="s">
        <v>23</v>
      </c>
      <c r="H21" s="43" t="s">
        <v>151</v>
      </c>
      <c r="I21" s="31" t="s">
        <v>119</v>
      </c>
      <c r="J21" s="143" t="s">
        <v>120</v>
      </c>
      <c r="K21" s="105" t="s">
        <v>150</v>
      </c>
      <c r="L21" s="196">
        <v>26000</v>
      </c>
      <c r="M21" s="31">
        <v>2019</v>
      </c>
      <c r="N21" s="45" t="s">
        <v>37</v>
      </c>
      <c r="O21" s="64">
        <v>20800</v>
      </c>
      <c r="P21" s="93" t="s">
        <v>121</v>
      </c>
      <c r="Q21" s="129" t="s">
        <v>58</v>
      </c>
      <c r="R21" s="126" t="s">
        <v>89</v>
      </c>
    </row>
    <row r="22" spans="1:18" ht="93.75" customHeight="1" x14ac:dyDescent="0.25">
      <c r="A22" s="379"/>
      <c r="B22" s="312"/>
      <c r="C22" s="314"/>
      <c r="D22" s="312"/>
      <c r="E22" s="393"/>
      <c r="F22" s="394"/>
      <c r="G22" s="31" t="s">
        <v>118</v>
      </c>
      <c r="H22" s="142" t="s">
        <v>153</v>
      </c>
      <c r="I22" s="31" t="s">
        <v>119</v>
      </c>
      <c r="J22" s="143" t="s">
        <v>120</v>
      </c>
      <c r="K22" s="70" t="s">
        <v>152</v>
      </c>
      <c r="L22" s="63">
        <v>0</v>
      </c>
      <c r="M22" s="70" t="s">
        <v>47</v>
      </c>
      <c r="N22" s="45">
        <v>5</v>
      </c>
      <c r="O22" s="64">
        <v>26</v>
      </c>
      <c r="P22" s="93" t="s">
        <v>121</v>
      </c>
      <c r="Q22" s="84" t="s">
        <v>59</v>
      </c>
      <c r="R22" s="126" t="s">
        <v>84</v>
      </c>
    </row>
    <row r="23" spans="1:18" ht="69.75" customHeight="1" x14ac:dyDescent="0.25">
      <c r="A23" s="379"/>
      <c r="B23" s="312">
        <v>9722928.4000000004</v>
      </c>
      <c r="C23" s="314" t="s">
        <v>192</v>
      </c>
      <c r="D23" s="312">
        <f>B23</f>
        <v>9722928.4000000004</v>
      </c>
      <c r="E23" s="393">
        <f>D23+B23</f>
        <v>19445856.800000001</v>
      </c>
      <c r="F23" s="398">
        <f>E23</f>
        <v>19445856.800000001</v>
      </c>
      <c r="G23" s="70" t="s">
        <v>23</v>
      </c>
      <c r="H23" s="88" t="s">
        <v>151</v>
      </c>
      <c r="I23" s="81" t="s">
        <v>160</v>
      </c>
      <c r="J23" s="143" t="s">
        <v>144</v>
      </c>
      <c r="K23" s="87" t="s">
        <v>150</v>
      </c>
      <c r="L23" s="63">
        <v>48000</v>
      </c>
      <c r="M23" s="31">
        <v>2019</v>
      </c>
      <c r="N23" s="45" t="s">
        <v>37</v>
      </c>
      <c r="O23" s="64">
        <v>38400</v>
      </c>
      <c r="P23" s="93" t="s">
        <v>121</v>
      </c>
      <c r="Q23" s="84" t="s">
        <v>69</v>
      </c>
      <c r="R23" s="126" t="s">
        <v>68</v>
      </c>
    </row>
    <row r="24" spans="1:18" ht="107.25" customHeight="1" x14ac:dyDescent="0.25">
      <c r="A24" s="357"/>
      <c r="B24" s="315"/>
      <c r="C24" s="314"/>
      <c r="D24" s="315"/>
      <c r="E24" s="305"/>
      <c r="F24" s="400"/>
      <c r="G24" s="31" t="s">
        <v>118</v>
      </c>
      <c r="H24" s="142" t="s">
        <v>153</v>
      </c>
      <c r="I24" s="81" t="s">
        <v>160</v>
      </c>
      <c r="J24" s="143" t="s">
        <v>144</v>
      </c>
      <c r="K24" s="70" t="s">
        <v>152</v>
      </c>
      <c r="L24" s="63">
        <v>0</v>
      </c>
      <c r="M24" s="70" t="s">
        <v>47</v>
      </c>
      <c r="N24" s="45">
        <v>9</v>
      </c>
      <c r="O24" s="64">
        <v>48</v>
      </c>
      <c r="P24" s="93" t="s">
        <v>121</v>
      </c>
      <c r="Q24" s="84" t="s">
        <v>60</v>
      </c>
      <c r="R24" s="128" t="s">
        <v>88</v>
      </c>
    </row>
    <row r="25" spans="1:18" ht="246" customHeight="1" x14ac:dyDescent="0.25">
      <c r="A25" s="343" t="s">
        <v>223</v>
      </c>
      <c r="B25" s="312">
        <v>13456616.1</v>
      </c>
      <c r="C25" s="314" t="s">
        <v>191</v>
      </c>
      <c r="D25" s="312">
        <f>B25</f>
        <v>13456616.1</v>
      </c>
      <c r="E25" s="312">
        <f>B25+D25</f>
        <v>26913232.199999999</v>
      </c>
      <c r="F25" s="312">
        <f>E25</f>
        <v>26913232.199999999</v>
      </c>
      <c r="G25" s="86" t="s">
        <v>23</v>
      </c>
      <c r="H25" s="89" t="s">
        <v>151</v>
      </c>
      <c r="I25" s="87" t="s">
        <v>119</v>
      </c>
      <c r="J25" s="87" t="s">
        <v>120</v>
      </c>
      <c r="K25" s="87" t="s">
        <v>150</v>
      </c>
      <c r="L25" s="145">
        <v>1591050</v>
      </c>
      <c r="M25" s="131">
        <v>2019</v>
      </c>
      <c r="N25" s="46" t="s">
        <v>37</v>
      </c>
      <c r="O25" s="94">
        <v>1572300</v>
      </c>
      <c r="P25" s="93" t="s">
        <v>121</v>
      </c>
      <c r="Q25" s="116" t="s">
        <v>67</v>
      </c>
      <c r="R25" s="126" t="s">
        <v>91</v>
      </c>
    </row>
    <row r="26" spans="1:18" ht="65.25" customHeight="1" x14ac:dyDescent="0.25">
      <c r="A26" s="343"/>
      <c r="B26" s="312"/>
      <c r="C26" s="314"/>
      <c r="D26" s="312"/>
      <c r="E26" s="312"/>
      <c r="F26" s="312"/>
      <c r="G26" s="86" t="s">
        <v>27</v>
      </c>
      <c r="H26" s="89" t="s">
        <v>149</v>
      </c>
      <c r="I26" s="87" t="s">
        <v>119</v>
      </c>
      <c r="J26" s="87" t="s">
        <v>120</v>
      </c>
      <c r="K26" s="42" t="s">
        <v>32</v>
      </c>
      <c r="L26" s="144">
        <v>0</v>
      </c>
      <c r="M26" s="79" t="s">
        <v>47</v>
      </c>
      <c r="N26" s="46">
        <v>9</v>
      </c>
      <c r="O26" s="94">
        <v>30</v>
      </c>
      <c r="P26" s="93" t="s">
        <v>121</v>
      </c>
      <c r="Q26" s="123" t="s">
        <v>66</v>
      </c>
      <c r="R26" s="124" t="s">
        <v>90</v>
      </c>
    </row>
    <row r="27" spans="1:18" ht="154.5" customHeight="1" x14ac:dyDescent="0.25">
      <c r="A27" s="343"/>
      <c r="B27" s="312"/>
      <c r="C27" s="314"/>
      <c r="D27" s="312"/>
      <c r="E27" s="312"/>
      <c r="F27" s="312"/>
      <c r="G27" s="31" t="s">
        <v>118</v>
      </c>
      <c r="H27" s="195" t="s">
        <v>200</v>
      </c>
      <c r="I27" s="187" t="s">
        <v>119</v>
      </c>
      <c r="J27" s="187" t="s">
        <v>120</v>
      </c>
      <c r="K27" s="188" t="s">
        <v>34</v>
      </c>
      <c r="L27" s="189">
        <v>0</v>
      </c>
      <c r="M27" s="96" t="s">
        <v>47</v>
      </c>
      <c r="N27" s="189">
        <v>21525</v>
      </c>
      <c r="O27" s="189">
        <v>71750</v>
      </c>
      <c r="P27" s="190" t="s">
        <v>121</v>
      </c>
      <c r="Q27" s="191" t="s">
        <v>45</v>
      </c>
      <c r="R27" s="126" t="s">
        <v>86</v>
      </c>
    </row>
    <row r="28" spans="1:18" ht="243" customHeight="1" x14ac:dyDescent="0.25">
      <c r="A28" s="343"/>
      <c r="B28" s="312">
        <v>13456617.1</v>
      </c>
      <c r="C28" s="314" t="s">
        <v>191</v>
      </c>
      <c r="D28" s="312">
        <f>B28</f>
        <v>13456617.1</v>
      </c>
      <c r="E28" s="312">
        <f>B28+D28</f>
        <v>26913234.199999999</v>
      </c>
      <c r="F28" s="393">
        <f>E28</f>
        <v>26913234.199999999</v>
      </c>
      <c r="G28" s="86" t="s">
        <v>23</v>
      </c>
      <c r="H28" s="89" t="s">
        <v>151</v>
      </c>
      <c r="I28" s="87" t="s">
        <v>160</v>
      </c>
      <c r="J28" s="28" t="s">
        <v>144</v>
      </c>
      <c r="K28" s="87" t="s">
        <v>150</v>
      </c>
      <c r="L28" s="145">
        <v>1591050</v>
      </c>
      <c r="M28" s="131">
        <v>2019</v>
      </c>
      <c r="N28" s="46" t="s">
        <v>37</v>
      </c>
      <c r="O28" s="94">
        <v>1572300</v>
      </c>
      <c r="P28" s="29" t="s">
        <v>121</v>
      </c>
      <c r="Q28" s="116" t="s">
        <v>87</v>
      </c>
      <c r="R28" s="126" t="s">
        <v>92</v>
      </c>
    </row>
    <row r="29" spans="1:18" ht="92.25" customHeight="1" x14ac:dyDescent="0.25">
      <c r="A29" s="343"/>
      <c r="B29" s="312"/>
      <c r="C29" s="314"/>
      <c r="D29" s="312"/>
      <c r="E29" s="312"/>
      <c r="F29" s="394"/>
      <c r="G29" s="70" t="s">
        <v>27</v>
      </c>
      <c r="H29" s="112" t="s">
        <v>149</v>
      </c>
      <c r="I29" s="31" t="s">
        <v>160</v>
      </c>
      <c r="J29" s="31" t="s">
        <v>144</v>
      </c>
      <c r="K29" s="31" t="s">
        <v>32</v>
      </c>
      <c r="L29" s="63">
        <v>0</v>
      </c>
      <c r="M29" s="70" t="s">
        <v>47</v>
      </c>
      <c r="N29" s="45">
        <v>9</v>
      </c>
      <c r="O29" s="64">
        <v>30</v>
      </c>
      <c r="P29" s="93" t="s">
        <v>121</v>
      </c>
      <c r="Q29" s="117" t="s">
        <v>65</v>
      </c>
      <c r="R29" s="125" t="s">
        <v>63</v>
      </c>
    </row>
    <row r="30" spans="1:18" ht="137.25" customHeight="1" x14ac:dyDescent="0.25">
      <c r="A30" s="343"/>
      <c r="B30" s="312"/>
      <c r="C30" s="314"/>
      <c r="D30" s="312"/>
      <c r="E30" s="312"/>
      <c r="F30" s="394"/>
      <c r="G30" s="31" t="s">
        <v>118</v>
      </c>
      <c r="H30" s="112" t="s">
        <v>200</v>
      </c>
      <c r="I30" s="31" t="s">
        <v>160</v>
      </c>
      <c r="J30" s="70" t="s">
        <v>144</v>
      </c>
      <c r="K30" s="31" t="s">
        <v>190</v>
      </c>
      <c r="L30" s="186">
        <v>0</v>
      </c>
      <c r="M30" s="31" t="s">
        <v>47</v>
      </c>
      <c r="N30" s="186">
        <v>21530</v>
      </c>
      <c r="O30" s="186">
        <v>71768</v>
      </c>
      <c r="P30" s="93" t="s">
        <v>121</v>
      </c>
      <c r="Q30" s="30" t="s">
        <v>64</v>
      </c>
      <c r="R30" s="126" t="s">
        <v>85</v>
      </c>
    </row>
    <row r="31" spans="1:18" ht="75" customHeight="1" x14ac:dyDescent="0.25">
      <c r="A31" s="58"/>
      <c r="B31" s="59"/>
      <c r="C31" s="48"/>
      <c r="D31" s="59"/>
      <c r="E31" s="58"/>
      <c r="F31" s="47"/>
      <c r="G31" s="47"/>
      <c r="H31" s="47"/>
      <c r="I31" s="47"/>
      <c r="J31" s="47"/>
      <c r="K31" s="47"/>
      <c r="L31" s="47"/>
      <c r="M31" s="47"/>
      <c r="N31" s="47"/>
      <c r="O31" s="47"/>
      <c r="P31" s="48"/>
      <c r="Q31" s="35"/>
    </row>
    <row r="32" spans="1:18" x14ac:dyDescent="0.25">
      <c r="A32" s="58"/>
      <c r="B32" s="59"/>
      <c r="C32" s="48"/>
      <c r="D32" s="59"/>
      <c r="E32" s="58"/>
      <c r="F32" s="47"/>
      <c r="G32" s="47"/>
      <c r="H32" s="47"/>
      <c r="I32" s="47"/>
      <c r="J32" s="47"/>
      <c r="K32" s="47"/>
      <c r="L32" s="47"/>
      <c r="M32" s="47"/>
      <c r="N32" s="47"/>
      <c r="O32" s="47"/>
      <c r="P32" s="48"/>
      <c r="Q32" s="35"/>
    </row>
    <row r="33" spans="1:18" x14ac:dyDescent="0.25">
      <c r="M33" s="49"/>
      <c r="Q33" s="36"/>
    </row>
    <row r="34" spans="1:18" ht="44.25" customHeight="1" x14ac:dyDescent="0.25">
      <c r="A34" s="92" t="s">
        <v>143</v>
      </c>
      <c r="B34" s="51" t="s">
        <v>142</v>
      </c>
      <c r="C34" s="92" t="s">
        <v>116</v>
      </c>
      <c r="D34" s="92" t="s">
        <v>140</v>
      </c>
      <c r="E34" s="92" t="s">
        <v>112</v>
      </c>
      <c r="F34" s="92" t="s">
        <v>115</v>
      </c>
      <c r="G34" s="92" t="s">
        <v>141</v>
      </c>
      <c r="H34" s="92" t="s">
        <v>124</v>
      </c>
      <c r="I34" s="92" t="s">
        <v>123</v>
      </c>
    </row>
    <row r="35" spans="1:18" ht="36" customHeight="1" x14ac:dyDescent="0.25">
      <c r="A35" s="52" t="s">
        <v>25</v>
      </c>
      <c r="B35" s="89" t="s">
        <v>145</v>
      </c>
      <c r="C35" s="50" t="s">
        <v>146</v>
      </c>
      <c r="D35" s="67">
        <v>0</v>
      </c>
      <c r="E35" s="31" t="s">
        <v>199</v>
      </c>
      <c r="F35" s="50" t="s">
        <v>120</v>
      </c>
      <c r="G35" s="50"/>
      <c r="H35" s="68">
        <f>SUM(N5)</f>
        <v>4620</v>
      </c>
      <c r="I35" s="68">
        <f>SUM(O5)</f>
        <v>15400</v>
      </c>
    </row>
    <row r="36" spans="1:18" ht="36.75" customHeight="1" x14ac:dyDescent="0.25">
      <c r="A36" s="52" t="s">
        <v>25</v>
      </c>
      <c r="B36" s="89" t="s">
        <v>145</v>
      </c>
      <c r="C36" s="50" t="s">
        <v>146</v>
      </c>
      <c r="D36" s="67">
        <v>0</v>
      </c>
      <c r="E36" s="52" t="s">
        <v>17</v>
      </c>
      <c r="F36" s="50" t="s">
        <v>144</v>
      </c>
      <c r="G36" s="50"/>
      <c r="H36" s="68">
        <f>N7</f>
        <v>8580</v>
      </c>
      <c r="I36" s="68">
        <f>O7</f>
        <v>28600</v>
      </c>
    </row>
    <row r="37" spans="1:18" ht="41.25" customHeight="1" x14ac:dyDescent="0.25">
      <c r="A37" s="52" t="s">
        <v>40</v>
      </c>
      <c r="B37" s="185" t="s">
        <v>147</v>
      </c>
      <c r="C37" s="50" t="s">
        <v>35</v>
      </c>
      <c r="D37" s="67">
        <v>0</v>
      </c>
      <c r="E37" s="31" t="s">
        <v>199</v>
      </c>
      <c r="F37" s="50" t="s">
        <v>120</v>
      </c>
      <c r="G37" s="50"/>
      <c r="H37" s="68">
        <f>SUM(N10)</f>
        <v>10200</v>
      </c>
      <c r="I37" s="68">
        <f>SUM(O10)</f>
        <v>102000</v>
      </c>
    </row>
    <row r="38" spans="1:18" ht="41.25" customHeight="1" x14ac:dyDescent="0.25">
      <c r="A38" s="52" t="s">
        <v>40</v>
      </c>
      <c r="B38" s="185" t="s">
        <v>147</v>
      </c>
      <c r="C38" s="50" t="s">
        <v>35</v>
      </c>
      <c r="D38" s="67">
        <v>0</v>
      </c>
      <c r="E38" s="103" t="s">
        <v>160</v>
      </c>
      <c r="F38" s="50" t="s">
        <v>144</v>
      </c>
      <c r="G38" s="50"/>
      <c r="H38" s="68">
        <f>SUM(N14)</f>
        <v>15500</v>
      </c>
      <c r="I38" s="68">
        <f>SUM(O14)</f>
        <v>155000</v>
      </c>
    </row>
    <row r="39" spans="1:18" ht="45.75" customHeight="1" x14ac:dyDescent="0.25">
      <c r="A39" s="52" t="s">
        <v>27</v>
      </c>
      <c r="B39" s="88" t="s">
        <v>149</v>
      </c>
      <c r="C39" s="52" t="s">
        <v>32</v>
      </c>
      <c r="D39" s="67">
        <v>0</v>
      </c>
      <c r="E39" s="31" t="s">
        <v>199</v>
      </c>
      <c r="F39" s="50" t="s">
        <v>120</v>
      </c>
      <c r="G39" s="50"/>
      <c r="H39" s="66">
        <f>SUM(N26)</f>
        <v>9</v>
      </c>
      <c r="I39" s="66">
        <f>SUM(O26)</f>
        <v>30</v>
      </c>
      <c r="K39" s="47"/>
    </row>
    <row r="40" spans="1:18" ht="49.5" customHeight="1" x14ac:dyDescent="0.25">
      <c r="A40" s="52" t="s">
        <v>27</v>
      </c>
      <c r="B40" s="88" t="s">
        <v>149</v>
      </c>
      <c r="C40" s="52" t="s">
        <v>32</v>
      </c>
      <c r="D40" s="67">
        <v>0</v>
      </c>
      <c r="E40" s="103" t="s">
        <v>160</v>
      </c>
      <c r="F40" s="50" t="s">
        <v>144</v>
      </c>
      <c r="G40" s="50"/>
      <c r="H40" s="66">
        <f>SUM(N29)</f>
        <v>9</v>
      </c>
      <c r="I40" s="66">
        <f>SUM(O29)</f>
        <v>30</v>
      </c>
      <c r="K40" s="47"/>
    </row>
    <row r="41" spans="1:18" ht="62.25" customHeight="1" x14ac:dyDescent="0.25">
      <c r="A41" s="87" t="s">
        <v>23</v>
      </c>
      <c r="B41" s="88" t="s">
        <v>151</v>
      </c>
      <c r="C41" s="87" t="s">
        <v>150</v>
      </c>
      <c r="D41" s="63">
        <f>SUM(L6+L11+L17+L21+L25)</f>
        <v>2667202</v>
      </c>
      <c r="E41" s="31" t="s">
        <v>199</v>
      </c>
      <c r="F41" s="86" t="s">
        <v>120</v>
      </c>
      <c r="G41" s="86">
        <v>2019</v>
      </c>
      <c r="H41" s="45" t="s">
        <v>47</v>
      </c>
      <c r="I41" s="64">
        <f>SUM(O6+O11+O17+O21+O25)</f>
        <v>1936268</v>
      </c>
    </row>
    <row r="42" spans="1:18" ht="81.75" customHeight="1" x14ac:dyDescent="0.25">
      <c r="A42" s="87" t="s">
        <v>23</v>
      </c>
      <c r="B42" s="88" t="s">
        <v>151</v>
      </c>
      <c r="C42" s="87" t="s">
        <v>150</v>
      </c>
      <c r="D42" s="63">
        <f>SUM(L9+L15+L19+L23+L28)</f>
        <v>3581658</v>
      </c>
      <c r="E42" s="103" t="s">
        <v>160</v>
      </c>
      <c r="F42" s="86" t="s">
        <v>144</v>
      </c>
      <c r="G42" s="86">
        <v>2019</v>
      </c>
      <c r="H42" s="45" t="s">
        <v>47</v>
      </c>
      <c r="I42" s="64">
        <f>SUM(O9+O15+O19+O23+O28)</f>
        <v>2242630</v>
      </c>
    </row>
    <row r="43" spans="1:18" ht="45.95" customHeight="1" x14ac:dyDescent="0.25">
      <c r="A43" s="52" t="s">
        <v>36</v>
      </c>
      <c r="B43" s="197" t="s">
        <v>154</v>
      </c>
      <c r="C43" s="62" t="s">
        <v>198</v>
      </c>
      <c r="D43" s="63">
        <f>SUM(L13)</f>
        <v>2244</v>
      </c>
      <c r="E43" s="31" t="s">
        <v>199</v>
      </c>
      <c r="F43" s="50" t="s">
        <v>120</v>
      </c>
      <c r="G43" s="50">
        <v>2019</v>
      </c>
      <c r="H43" s="45" t="s">
        <v>47</v>
      </c>
      <c r="I43" s="66">
        <f>SUM(O13)</f>
        <v>1571</v>
      </c>
      <c r="J43" s="203">
        <f>SUM(D43-I43)</f>
        <v>673</v>
      </c>
    </row>
    <row r="44" spans="1:18" ht="58.5" customHeight="1" x14ac:dyDescent="0.25">
      <c r="A44" s="52" t="s">
        <v>36</v>
      </c>
      <c r="B44" s="197" t="s">
        <v>154</v>
      </c>
      <c r="C44" s="62" t="s">
        <v>198</v>
      </c>
      <c r="D44" s="63">
        <f>SUM(L16)</f>
        <v>3410</v>
      </c>
      <c r="E44" s="103" t="s">
        <v>160</v>
      </c>
      <c r="F44" s="50" t="s">
        <v>144</v>
      </c>
      <c r="G44" s="50">
        <v>2019</v>
      </c>
      <c r="H44" s="45" t="s">
        <v>47</v>
      </c>
      <c r="I44" s="66">
        <f>SUM(O16)</f>
        <v>2387</v>
      </c>
      <c r="J44" s="203">
        <f>SUM(D44-I44)</f>
        <v>1023</v>
      </c>
    </row>
    <row r="45" spans="1:18" s="23" customFormat="1" ht="56.25" customHeight="1" x14ac:dyDescent="0.25">
      <c r="A45" s="31" t="s">
        <v>118</v>
      </c>
      <c r="B45" s="198" t="s">
        <v>200</v>
      </c>
      <c r="C45" s="31" t="s">
        <v>190</v>
      </c>
      <c r="D45" s="63">
        <v>0</v>
      </c>
      <c r="E45" s="31" t="s">
        <v>199</v>
      </c>
      <c r="F45" s="31" t="s">
        <v>120</v>
      </c>
      <c r="G45" s="70"/>
      <c r="H45" s="45">
        <f>SUM(N27)</f>
        <v>21525</v>
      </c>
      <c r="I45" s="45">
        <f>SUM(O27)</f>
        <v>71750</v>
      </c>
      <c r="J45" s="53"/>
      <c r="K45" s="53"/>
      <c r="L45" s="53"/>
      <c r="M45" s="53"/>
      <c r="N45" s="53"/>
      <c r="O45" s="53"/>
      <c r="P45" s="54"/>
      <c r="Q45" s="37"/>
      <c r="R45" s="37"/>
    </row>
    <row r="46" spans="1:18" ht="57.75" customHeight="1" x14ac:dyDescent="0.25">
      <c r="A46" s="31" t="s">
        <v>118</v>
      </c>
      <c r="B46" s="195" t="s">
        <v>200</v>
      </c>
      <c r="C46" s="31" t="s">
        <v>190</v>
      </c>
      <c r="D46" s="63">
        <v>0</v>
      </c>
      <c r="E46" s="103" t="s">
        <v>160</v>
      </c>
      <c r="F46" s="31" t="s">
        <v>144</v>
      </c>
      <c r="G46" s="70"/>
      <c r="H46" s="45">
        <f>SUM(N30)</f>
        <v>21530</v>
      </c>
      <c r="I46" s="45">
        <f>SUM(O30)</f>
        <v>71768</v>
      </c>
    </row>
    <row r="47" spans="1:18" ht="50.25" customHeight="1" x14ac:dyDescent="0.25">
      <c r="A47" s="31" t="s">
        <v>118</v>
      </c>
      <c r="B47" s="142" t="s">
        <v>153</v>
      </c>
      <c r="C47" s="31" t="s">
        <v>189</v>
      </c>
      <c r="D47" s="63">
        <v>0</v>
      </c>
      <c r="E47" s="31" t="s">
        <v>199</v>
      </c>
      <c r="F47" s="31" t="s">
        <v>120</v>
      </c>
      <c r="G47" s="70"/>
      <c r="H47" s="71">
        <f>SUM(N18+N22)</f>
        <v>19</v>
      </c>
      <c r="I47" s="71">
        <f>SUM(O18+O22)</f>
        <v>96</v>
      </c>
    </row>
    <row r="48" spans="1:18" ht="36" customHeight="1" x14ac:dyDescent="0.25">
      <c r="A48" s="31" t="s">
        <v>118</v>
      </c>
      <c r="B48" s="142" t="s">
        <v>153</v>
      </c>
      <c r="C48" s="31" t="s">
        <v>189</v>
      </c>
      <c r="D48" s="63">
        <v>0</v>
      </c>
      <c r="E48" s="103" t="s">
        <v>160</v>
      </c>
      <c r="F48" s="31" t="s">
        <v>144</v>
      </c>
      <c r="G48" s="70"/>
      <c r="H48" s="71">
        <f>SUM(N20+N24)</f>
        <v>34</v>
      </c>
      <c r="I48" s="71">
        <f>SUM(O20+O24)</f>
        <v>177</v>
      </c>
    </row>
  </sheetData>
  <mergeCells count="9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 ref="E28:E30"/>
    <mergeCell ref="A17:A24"/>
    <mergeCell ref="B17:B18"/>
    <mergeCell ref="C17:C18"/>
    <mergeCell ref="D17:D18"/>
    <mergeCell ref="E17:E18"/>
    <mergeCell ref="B21:B22"/>
    <mergeCell ref="C21:C22"/>
    <mergeCell ref="D21:D22"/>
    <mergeCell ref="E21:E22"/>
    <mergeCell ref="F17:F18"/>
    <mergeCell ref="B19:B20"/>
    <mergeCell ref="C19:C20"/>
    <mergeCell ref="D19:D20"/>
    <mergeCell ref="E19:E20"/>
    <mergeCell ref="F19:F20"/>
    <mergeCell ref="N11:N12"/>
    <mergeCell ref="O11:O12"/>
    <mergeCell ref="P11:P12"/>
    <mergeCell ref="Q11:Q12"/>
    <mergeCell ref="R11:R12"/>
    <mergeCell ref="B14:B16"/>
    <mergeCell ref="C14:C16"/>
    <mergeCell ref="D14:D16"/>
    <mergeCell ref="E14:E16"/>
    <mergeCell ref="F14:F16"/>
    <mergeCell ref="H11:H12"/>
    <mergeCell ref="I11:I12"/>
    <mergeCell ref="J11:J12"/>
    <mergeCell ref="K11:K12"/>
    <mergeCell ref="L11:L12"/>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O7:O8"/>
    <mergeCell ref="D7:D9"/>
    <mergeCell ref="E7:E9"/>
    <mergeCell ref="F7:F9"/>
    <mergeCell ref="G7:G8"/>
    <mergeCell ref="H7:H8"/>
    <mergeCell ref="I7:I8"/>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I3:I4"/>
    <mergeCell ref="A3:A4"/>
    <mergeCell ref="B3:B4"/>
    <mergeCell ref="C3:E3"/>
    <mergeCell ref="F3:F4"/>
    <mergeCell ref="G3:H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8"/>
  <sheetViews>
    <sheetView topLeftCell="A40" zoomScale="80" zoomScaleNormal="80" workbookViewId="0">
      <selection activeCell="O32" sqref="O32"/>
    </sheetView>
  </sheetViews>
  <sheetFormatPr defaultRowHeight="15" x14ac:dyDescent="0.25"/>
  <cols>
    <col min="1" max="1" width="17.85546875" customWidth="1"/>
    <col min="2" max="2" width="14.85546875" style="12" customWidth="1"/>
    <col min="3" max="3" width="13.5703125" customWidth="1"/>
    <col min="4" max="4" width="16.85546875" customWidth="1"/>
    <col min="5" max="5" width="16" customWidth="1"/>
    <col min="6" max="6" width="16.42578125" customWidth="1"/>
    <col min="7" max="7" width="8.85546875" customWidth="1"/>
    <col min="8" max="8" width="11.85546875" customWidth="1"/>
    <col min="9" max="9" width="9.5703125" customWidth="1"/>
    <col min="10" max="10" width="12.42578125" customWidth="1"/>
    <col min="11" max="11" width="15.5703125" bestFit="1" customWidth="1"/>
    <col min="12" max="12" width="10.42578125" customWidth="1"/>
    <col min="13" max="13" width="17.5703125" customWidth="1"/>
    <col min="14" max="14" width="10.42578125" style="18" customWidth="1"/>
    <col min="15" max="15" width="11.5703125" style="18" customWidth="1"/>
    <col min="16" max="16" width="12.140625" customWidth="1"/>
    <col min="17" max="17" width="71.5703125" style="25" hidden="1" customWidth="1"/>
    <col min="18" max="18" width="79.5703125" style="25" customWidth="1"/>
  </cols>
  <sheetData>
    <row r="1" spans="1:18" ht="18.75" x14ac:dyDescent="0.3">
      <c r="A1" s="401" t="s">
        <v>30</v>
      </c>
      <c r="B1" s="401"/>
      <c r="C1" s="401"/>
      <c r="D1" s="401"/>
      <c r="E1" s="401"/>
    </row>
    <row r="2" spans="1:18" ht="15.75" thickBot="1" x14ac:dyDescent="0.3"/>
    <row r="3" spans="1:18" ht="15" customHeight="1" x14ac:dyDescent="0.25">
      <c r="A3" s="402" t="s">
        <v>136</v>
      </c>
      <c r="B3" s="404" t="s">
        <v>137</v>
      </c>
      <c r="C3" s="406" t="s">
        <v>2</v>
      </c>
      <c r="D3" s="407"/>
      <c r="E3" s="407"/>
      <c r="F3" s="406" t="s">
        <v>18</v>
      </c>
      <c r="G3" s="409" t="s">
        <v>111</v>
      </c>
      <c r="H3" s="409"/>
      <c r="I3" s="435" t="s">
        <v>127</v>
      </c>
      <c r="J3" s="437" t="s">
        <v>115</v>
      </c>
      <c r="K3" s="435" t="s">
        <v>116</v>
      </c>
      <c r="L3" s="439" t="s">
        <v>5</v>
      </c>
      <c r="M3" s="440"/>
      <c r="N3" s="423" t="s">
        <v>124</v>
      </c>
      <c r="O3" s="423" t="s">
        <v>123</v>
      </c>
      <c r="P3" s="423" t="s">
        <v>122</v>
      </c>
      <c r="Q3" s="425" t="s">
        <v>9</v>
      </c>
      <c r="R3" s="427" t="s">
        <v>61</v>
      </c>
    </row>
    <row r="4" spans="1:18" ht="63.75" customHeight="1" thickBot="1" x14ac:dyDescent="0.3">
      <c r="A4" s="403"/>
      <c r="B4" s="405"/>
      <c r="C4" s="15" t="s">
        <v>10</v>
      </c>
      <c r="D4" s="16" t="s">
        <v>11</v>
      </c>
      <c r="E4" s="76" t="s">
        <v>43</v>
      </c>
      <c r="F4" s="408"/>
      <c r="G4" s="95" t="s">
        <v>113</v>
      </c>
      <c r="H4" s="14" t="s">
        <v>114</v>
      </c>
      <c r="I4" s="436"/>
      <c r="J4" s="438"/>
      <c r="K4" s="436"/>
      <c r="L4" s="75" t="s">
        <v>126</v>
      </c>
      <c r="M4" s="75" t="s">
        <v>125</v>
      </c>
      <c r="N4" s="424"/>
      <c r="O4" s="424"/>
      <c r="P4" s="424"/>
      <c r="Q4" s="426"/>
      <c r="R4" s="427"/>
    </row>
    <row r="5" spans="1:18" ht="197.25" customHeight="1" x14ac:dyDescent="0.25">
      <c r="A5" s="428" t="s">
        <v>159</v>
      </c>
      <c r="B5" s="430">
        <v>1045010.2</v>
      </c>
      <c r="C5" s="431" t="s">
        <v>132</v>
      </c>
      <c r="D5" s="430">
        <f>(B5-(B5*0.0411))*0.78/0.22</f>
        <v>3552759.1773109087</v>
      </c>
      <c r="E5" s="421">
        <f>B5+D5</f>
        <v>4597769.3773109084</v>
      </c>
      <c r="F5" s="421">
        <f>E5</f>
        <v>4597769.3773109084</v>
      </c>
      <c r="G5" s="31" t="s">
        <v>118</v>
      </c>
      <c r="H5" s="130" t="s">
        <v>128</v>
      </c>
      <c r="I5" s="80" t="s">
        <v>119</v>
      </c>
      <c r="J5" s="130" t="s">
        <v>120</v>
      </c>
      <c r="K5" s="82" t="s">
        <v>29</v>
      </c>
      <c r="L5" s="79">
        <v>0</v>
      </c>
      <c r="M5" s="79" t="s">
        <v>47</v>
      </c>
      <c r="N5" s="28">
        <v>1.26</v>
      </c>
      <c r="O5" s="28">
        <v>4.2</v>
      </c>
      <c r="P5" s="29" t="s">
        <v>121</v>
      </c>
      <c r="Q5" s="110" t="s">
        <v>201</v>
      </c>
      <c r="R5" s="84" t="s">
        <v>208</v>
      </c>
    </row>
    <row r="6" spans="1:18" ht="134.25" customHeight="1" x14ac:dyDescent="0.25">
      <c r="A6" s="410"/>
      <c r="B6" s="430"/>
      <c r="C6" s="432"/>
      <c r="D6" s="430"/>
      <c r="E6" s="421"/>
      <c r="F6" s="433"/>
      <c r="G6" s="79" t="s">
        <v>31</v>
      </c>
      <c r="H6" s="80" t="s">
        <v>155</v>
      </c>
      <c r="I6" s="80" t="s">
        <v>119</v>
      </c>
      <c r="J6" s="130" t="s">
        <v>120</v>
      </c>
      <c r="K6" s="78" t="s">
        <v>138</v>
      </c>
      <c r="L6" s="79">
        <v>0</v>
      </c>
      <c r="M6" s="79" t="s">
        <v>47</v>
      </c>
      <c r="N6" s="28">
        <v>0.48</v>
      </c>
      <c r="O6" s="28">
        <v>1.6</v>
      </c>
      <c r="P6" s="29" t="s">
        <v>121</v>
      </c>
      <c r="Q6" s="110" t="s">
        <v>202</v>
      </c>
      <c r="R6" s="84" t="s">
        <v>117</v>
      </c>
    </row>
    <row r="7" spans="1:18" ht="82.5" customHeight="1" x14ac:dyDescent="0.25">
      <c r="A7" s="410"/>
      <c r="B7" s="430"/>
      <c r="C7" s="432"/>
      <c r="D7" s="430"/>
      <c r="E7" s="421"/>
      <c r="F7" s="433"/>
      <c r="G7" s="28" t="s">
        <v>38</v>
      </c>
      <c r="H7" s="80" t="s">
        <v>154</v>
      </c>
      <c r="I7" s="80" t="s">
        <v>119</v>
      </c>
      <c r="J7" s="130" t="s">
        <v>120</v>
      </c>
      <c r="K7" s="28" t="s">
        <v>131</v>
      </c>
      <c r="L7" s="97">
        <v>860</v>
      </c>
      <c r="M7" s="31">
        <v>2019</v>
      </c>
      <c r="N7" s="28" t="s">
        <v>37</v>
      </c>
      <c r="O7" s="28">
        <v>0</v>
      </c>
      <c r="P7" s="29" t="s">
        <v>121</v>
      </c>
      <c r="Q7" s="84" t="s">
        <v>203</v>
      </c>
      <c r="R7" s="84" t="s">
        <v>204</v>
      </c>
    </row>
    <row r="8" spans="1:18" ht="265.5" customHeight="1" x14ac:dyDescent="0.25">
      <c r="A8" s="410"/>
      <c r="B8" s="434">
        <v>103456013.59999999</v>
      </c>
      <c r="C8" s="448" t="s">
        <v>133</v>
      </c>
      <c r="D8" s="413">
        <f>(B8-(B8*0.0411))*0.78/0.22</f>
        <v>351723171.47277814</v>
      </c>
      <c r="E8" s="417">
        <f>B8+D8</f>
        <v>455179185.07277811</v>
      </c>
      <c r="F8" s="417">
        <f>E8</f>
        <v>455179185.07277811</v>
      </c>
      <c r="G8" s="28" t="s">
        <v>118</v>
      </c>
      <c r="H8" s="130" t="s">
        <v>128</v>
      </c>
      <c r="I8" s="80" t="s">
        <v>119</v>
      </c>
      <c r="J8" s="130" t="s">
        <v>120</v>
      </c>
      <c r="K8" s="78" t="s">
        <v>29</v>
      </c>
      <c r="L8" s="79">
        <v>0</v>
      </c>
      <c r="M8" s="79" t="s">
        <v>47</v>
      </c>
      <c r="N8" s="79">
        <v>41.5</v>
      </c>
      <c r="O8" s="28">
        <v>138</v>
      </c>
      <c r="P8" s="29" t="s">
        <v>121</v>
      </c>
      <c r="Q8" s="84" t="s">
        <v>214</v>
      </c>
      <c r="R8" s="84" t="s">
        <v>215</v>
      </c>
    </row>
    <row r="9" spans="1:18" ht="181.5" customHeight="1" x14ac:dyDescent="0.25">
      <c r="A9" s="410"/>
      <c r="B9" s="430"/>
      <c r="C9" s="433"/>
      <c r="D9" s="413"/>
      <c r="E9" s="417"/>
      <c r="F9" s="415"/>
      <c r="G9" s="77" t="s">
        <v>31</v>
      </c>
      <c r="H9" s="80" t="s">
        <v>155</v>
      </c>
      <c r="I9" s="80" t="s">
        <v>119</v>
      </c>
      <c r="J9" s="81" t="s">
        <v>120</v>
      </c>
      <c r="K9" s="109" t="s">
        <v>138</v>
      </c>
      <c r="L9" s="77">
        <v>0</v>
      </c>
      <c r="M9" s="77" t="s">
        <v>47</v>
      </c>
      <c r="N9" s="28">
        <v>84</v>
      </c>
      <c r="O9" s="28">
        <v>279</v>
      </c>
      <c r="P9" s="29" t="s">
        <v>121</v>
      </c>
      <c r="Q9" s="84" t="s">
        <v>218</v>
      </c>
      <c r="R9" s="84" t="s">
        <v>216</v>
      </c>
    </row>
    <row r="10" spans="1:18" ht="73.5" customHeight="1" x14ac:dyDescent="0.25">
      <c r="A10" s="429"/>
      <c r="B10" s="412"/>
      <c r="C10" s="414"/>
      <c r="D10" s="413"/>
      <c r="E10" s="417"/>
      <c r="F10" s="415"/>
      <c r="G10" s="87" t="s">
        <v>38</v>
      </c>
      <c r="H10" s="81" t="s">
        <v>154</v>
      </c>
      <c r="I10" s="80" t="s">
        <v>119</v>
      </c>
      <c r="J10" s="81" t="s">
        <v>120</v>
      </c>
      <c r="K10" s="85" t="s">
        <v>131</v>
      </c>
      <c r="L10" s="97">
        <v>120120</v>
      </c>
      <c r="M10" s="31">
        <v>2020</v>
      </c>
      <c r="N10" s="28" t="s">
        <v>37</v>
      </c>
      <c r="O10" s="28">
        <v>0</v>
      </c>
      <c r="P10" s="29" t="s">
        <v>121</v>
      </c>
      <c r="Q10" s="84" t="s">
        <v>219</v>
      </c>
      <c r="R10" s="84" t="s">
        <v>220</v>
      </c>
    </row>
    <row r="11" spans="1:18" ht="57.95" customHeight="1" x14ac:dyDescent="0.25">
      <c r="A11" s="410" t="s">
        <v>158</v>
      </c>
      <c r="B11" s="412">
        <v>18564284.100000001</v>
      </c>
      <c r="C11" s="414" t="s">
        <v>134</v>
      </c>
      <c r="D11" s="412">
        <f>(B11-(B11*0.0411))*0.5/0.5</f>
        <v>17801292.023490001</v>
      </c>
      <c r="E11" s="416">
        <f>B11+D11</f>
        <v>36365576.123490006</v>
      </c>
      <c r="F11" s="418">
        <f>E11</f>
        <v>36365576.123490006</v>
      </c>
      <c r="G11" s="309" t="s">
        <v>31</v>
      </c>
      <c r="H11" s="441" t="s">
        <v>155</v>
      </c>
      <c r="I11" s="443" t="s">
        <v>119</v>
      </c>
      <c r="J11" s="441" t="s">
        <v>120</v>
      </c>
      <c r="K11" s="441" t="s">
        <v>130</v>
      </c>
      <c r="L11" s="446">
        <v>0</v>
      </c>
      <c r="M11" s="446" t="s">
        <v>47</v>
      </c>
      <c r="N11" s="446">
        <v>69</v>
      </c>
      <c r="O11" s="446">
        <v>230</v>
      </c>
      <c r="P11" s="449" t="s">
        <v>121</v>
      </c>
      <c r="Q11" s="452" t="s">
        <v>217</v>
      </c>
      <c r="R11" s="387" t="s">
        <v>205</v>
      </c>
    </row>
    <row r="12" spans="1:18" ht="21" customHeight="1" x14ac:dyDescent="0.25">
      <c r="A12" s="410"/>
      <c r="B12" s="413"/>
      <c r="C12" s="415"/>
      <c r="D12" s="413"/>
      <c r="E12" s="417"/>
      <c r="F12" s="419"/>
      <c r="G12" s="309"/>
      <c r="H12" s="442"/>
      <c r="I12" s="444"/>
      <c r="J12" s="442"/>
      <c r="K12" s="442"/>
      <c r="L12" s="446"/>
      <c r="M12" s="446"/>
      <c r="N12" s="446"/>
      <c r="O12" s="446"/>
      <c r="P12" s="450"/>
      <c r="Q12" s="452"/>
      <c r="R12" s="387"/>
    </row>
    <row r="13" spans="1:18" ht="57.75" customHeight="1" x14ac:dyDescent="0.25">
      <c r="A13" s="410"/>
      <c r="B13" s="413"/>
      <c r="C13" s="415"/>
      <c r="D13" s="413"/>
      <c r="E13" s="417"/>
      <c r="F13" s="419"/>
      <c r="G13" s="309"/>
      <c r="H13" s="442"/>
      <c r="I13" s="445"/>
      <c r="J13" s="442"/>
      <c r="K13" s="442"/>
      <c r="L13" s="447"/>
      <c r="M13" s="447"/>
      <c r="N13" s="447"/>
      <c r="O13" s="447"/>
      <c r="P13" s="451"/>
      <c r="Q13" s="453"/>
      <c r="R13" s="387"/>
    </row>
    <row r="14" spans="1:18" ht="133.5" customHeight="1" x14ac:dyDescent="0.25">
      <c r="A14" s="410"/>
      <c r="B14" s="413"/>
      <c r="C14" s="415"/>
      <c r="D14" s="413"/>
      <c r="E14" s="417"/>
      <c r="F14" s="419"/>
      <c r="G14" s="105" t="s">
        <v>38</v>
      </c>
      <c r="H14" s="102" t="s">
        <v>154</v>
      </c>
      <c r="I14" s="102" t="s">
        <v>119</v>
      </c>
      <c r="J14" s="102" t="s">
        <v>120</v>
      </c>
      <c r="K14" s="106" t="s">
        <v>131</v>
      </c>
      <c r="L14" s="97">
        <v>289241</v>
      </c>
      <c r="M14" s="131">
        <v>2019</v>
      </c>
      <c r="N14" s="28" t="s">
        <v>37</v>
      </c>
      <c r="O14" s="28">
        <v>16069</v>
      </c>
      <c r="P14" s="29" t="s">
        <v>121</v>
      </c>
      <c r="Q14" s="84" t="s">
        <v>98</v>
      </c>
      <c r="R14" s="84" t="s">
        <v>100</v>
      </c>
    </row>
    <row r="15" spans="1:18" ht="87" customHeight="1" x14ac:dyDescent="0.25">
      <c r="A15" s="410"/>
      <c r="B15" s="434">
        <v>18564284</v>
      </c>
      <c r="C15" s="448" t="s">
        <v>135</v>
      </c>
      <c r="D15" s="412">
        <f>(B15-(B15*0.0411))*0.5/0.5</f>
        <v>17801291.9276</v>
      </c>
      <c r="E15" s="420">
        <f>B15+D15</f>
        <v>36365575.927599996</v>
      </c>
      <c r="F15" s="418">
        <f>E15</f>
        <v>36365575.927599996</v>
      </c>
      <c r="G15" s="320" t="s">
        <v>38</v>
      </c>
      <c r="H15" s="457" t="s">
        <v>154</v>
      </c>
      <c r="I15" s="457" t="s">
        <v>119</v>
      </c>
      <c r="J15" s="443" t="s">
        <v>120</v>
      </c>
      <c r="K15" s="454" t="s">
        <v>131</v>
      </c>
      <c r="L15" s="454">
        <v>144620</v>
      </c>
      <c r="M15" s="460">
        <v>2019</v>
      </c>
      <c r="N15" s="454" t="s">
        <v>37</v>
      </c>
      <c r="O15" s="454">
        <v>20696</v>
      </c>
      <c r="P15" s="349" t="s">
        <v>121</v>
      </c>
      <c r="Q15" s="456" t="s">
        <v>99</v>
      </c>
      <c r="R15" s="333" t="s">
        <v>101</v>
      </c>
    </row>
    <row r="16" spans="1:18" ht="46.5" customHeight="1" x14ac:dyDescent="0.25">
      <c r="A16" s="410"/>
      <c r="B16" s="430"/>
      <c r="C16" s="433"/>
      <c r="D16" s="413"/>
      <c r="E16" s="421"/>
      <c r="F16" s="419"/>
      <c r="G16" s="321"/>
      <c r="H16" s="459"/>
      <c r="I16" s="459"/>
      <c r="J16" s="445"/>
      <c r="K16" s="447"/>
      <c r="L16" s="447"/>
      <c r="M16" s="461"/>
      <c r="N16" s="447"/>
      <c r="O16" s="447"/>
      <c r="P16" s="455"/>
      <c r="Q16" s="453"/>
      <c r="R16" s="335"/>
    </row>
    <row r="17" spans="1:18" ht="59.1" customHeight="1" x14ac:dyDescent="0.25">
      <c r="A17" s="410"/>
      <c r="B17" s="430"/>
      <c r="C17" s="433"/>
      <c r="D17" s="413"/>
      <c r="E17" s="421"/>
      <c r="F17" s="419"/>
      <c r="G17" s="320" t="s">
        <v>31</v>
      </c>
      <c r="H17" s="457" t="s">
        <v>155</v>
      </c>
      <c r="I17" s="457" t="s">
        <v>119</v>
      </c>
      <c r="J17" s="457" t="s">
        <v>120</v>
      </c>
      <c r="K17" s="457" t="s">
        <v>130</v>
      </c>
      <c r="L17" s="454">
        <v>0</v>
      </c>
      <c r="M17" s="454" t="s">
        <v>47</v>
      </c>
      <c r="N17" s="454">
        <v>16</v>
      </c>
      <c r="O17" s="454">
        <v>55</v>
      </c>
      <c r="P17" s="349" t="s">
        <v>121</v>
      </c>
      <c r="Q17" s="456" t="s">
        <v>206</v>
      </c>
      <c r="R17" s="333" t="s">
        <v>207</v>
      </c>
    </row>
    <row r="18" spans="1:18" ht="74.25" customHeight="1" thickBot="1" x14ac:dyDescent="0.3">
      <c r="A18" s="411"/>
      <c r="B18" s="481"/>
      <c r="C18" s="482"/>
      <c r="D18" s="413"/>
      <c r="E18" s="422"/>
      <c r="F18" s="419"/>
      <c r="G18" s="310"/>
      <c r="H18" s="458"/>
      <c r="I18" s="459"/>
      <c r="J18" s="442"/>
      <c r="K18" s="458"/>
      <c r="L18" s="479"/>
      <c r="M18" s="479"/>
      <c r="N18" s="479"/>
      <c r="O18" s="479"/>
      <c r="P18" s="458"/>
      <c r="Q18" s="480"/>
      <c r="R18" s="335"/>
    </row>
    <row r="19" spans="1:18" s="23" customFormat="1" ht="66.75" customHeight="1" x14ac:dyDescent="0.25">
      <c r="A19" s="428" t="s">
        <v>157</v>
      </c>
      <c r="B19" s="464">
        <v>18750000</v>
      </c>
      <c r="C19" s="467" t="s">
        <v>133</v>
      </c>
      <c r="D19" s="470">
        <f>B19</f>
        <v>18750000</v>
      </c>
      <c r="E19" s="471">
        <f>B19+D19</f>
        <v>37500000</v>
      </c>
      <c r="F19" s="472">
        <f>E19</f>
        <v>37500000</v>
      </c>
      <c r="G19" s="139" t="s">
        <v>118</v>
      </c>
      <c r="H19" s="130" t="s">
        <v>128</v>
      </c>
      <c r="I19" s="137" t="s">
        <v>160</v>
      </c>
      <c r="J19" s="137" t="s">
        <v>16</v>
      </c>
      <c r="K19" s="138" t="s">
        <v>29</v>
      </c>
      <c r="L19" s="136">
        <v>0</v>
      </c>
      <c r="M19" s="136" t="s">
        <v>47</v>
      </c>
      <c r="N19" s="136">
        <v>392</v>
      </c>
      <c r="O19" s="148">
        <v>1961</v>
      </c>
      <c r="P19" s="111" t="s">
        <v>121</v>
      </c>
      <c r="Q19" s="475" t="s">
        <v>102</v>
      </c>
      <c r="R19" s="476" t="s">
        <v>103</v>
      </c>
    </row>
    <row r="20" spans="1:18" s="23" customFormat="1" ht="57.75" customHeight="1" x14ac:dyDescent="0.25">
      <c r="A20" s="410"/>
      <c r="B20" s="465"/>
      <c r="C20" s="468"/>
      <c r="D20" s="430"/>
      <c r="E20" s="421"/>
      <c r="F20" s="473"/>
      <c r="G20" s="462" t="s">
        <v>31</v>
      </c>
      <c r="H20" s="443" t="s">
        <v>155</v>
      </c>
      <c r="I20" s="457" t="s">
        <v>160</v>
      </c>
      <c r="J20" s="457" t="s">
        <v>144</v>
      </c>
      <c r="K20" s="78" t="s">
        <v>138</v>
      </c>
      <c r="L20" s="462">
        <v>0</v>
      </c>
      <c r="M20" s="462" t="s">
        <v>47</v>
      </c>
      <c r="N20" s="96">
        <v>0.9</v>
      </c>
      <c r="O20" s="28">
        <v>4.7</v>
      </c>
      <c r="P20" s="349" t="s">
        <v>121</v>
      </c>
      <c r="Q20" s="334"/>
      <c r="R20" s="477"/>
    </row>
    <row r="21" spans="1:18" s="23" customFormat="1" ht="95.25" customHeight="1" x14ac:dyDescent="0.25">
      <c r="A21" s="410"/>
      <c r="B21" s="465"/>
      <c r="C21" s="468"/>
      <c r="D21" s="430"/>
      <c r="E21" s="421"/>
      <c r="F21" s="473"/>
      <c r="G21" s="463"/>
      <c r="H21" s="445"/>
      <c r="I21" s="459"/>
      <c r="J21" s="459"/>
      <c r="K21" s="78" t="s">
        <v>130</v>
      </c>
      <c r="L21" s="463"/>
      <c r="M21" s="463"/>
      <c r="N21" s="96">
        <v>18</v>
      </c>
      <c r="O21" s="28">
        <v>91.8</v>
      </c>
      <c r="P21" s="455"/>
      <c r="Q21" s="335"/>
      <c r="R21" s="478"/>
    </row>
    <row r="22" spans="1:18" s="23" customFormat="1" ht="90.75" customHeight="1" thickBot="1" x14ac:dyDescent="0.3">
      <c r="A22" s="410"/>
      <c r="B22" s="466"/>
      <c r="C22" s="469"/>
      <c r="D22" s="412"/>
      <c r="E22" s="416"/>
      <c r="F22" s="474"/>
      <c r="G22" s="79" t="s">
        <v>36</v>
      </c>
      <c r="H22" s="80" t="s">
        <v>154</v>
      </c>
      <c r="I22" s="103" t="s">
        <v>160</v>
      </c>
      <c r="J22" s="81" t="s">
        <v>144</v>
      </c>
      <c r="K22" s="28" t="s">
        <v>131</v>
      </c>
      <c r="L22" s="97">
        <v>7224</v>
      </c>
      <c r="M22" s="147">
        <v>2019</v>
      </c>
      <c r="N22" s="107" t="s">
        <v>37</v>
      </c>
      <c r="O22" s="28">
        <v>0</v>
      </c>
      <c r="P22" s="98" t="s">
        <v>121</v>
      </c>
      <c r="Q22" s="104" t="s">
        <v>95</v>
      </c>
      <c r="R22" s="114" t="s">
        <v>106</v>
      </c>
    </row>
    <row r="23" spans="1:18" s="23" customFormat="1" ht="58.5" customHeight="1" x14ac:dyDescent="0.25">
      <c r="A23" s="410"/>
      <c r="B23" s="483">
        <v>11250000</v>
      </c>
      <c r="C23" s="484" t="s">
        <v>134</v>
      </c>
      <c r="D23" s="434">
        <f>B23</f>
        <v>11250000</v>
      </c>
      <c r="E23" s="420">
        <f>B23+D23</f>
        <v>22500000</v>
      </c>
      <c r="F23" s="485">
        <f>E23</f>
        <v>22500000</v>
      </c>
      <c r="G23" s="139" t="s">
        <v>118</v>
      </c>
      <c r="H23" s="132" t="s">
        <v>128</v>
      </c>
      <c r="I23" s="103" t="s">
        <v>119</v>
      </c>
      <c r="J23" s="130" t="s">
        <v>120</v>
      </c>
      <c r="K23" s="134" t="s">
        <v>29</v>
      </c>
      <c r="L23" s="108">
        <v>0</v>
      </c>
      <c r="M23" s="79" t="s">
        <v>47</v>
      </c>
      <c r="N23" s="79">
        <v>52</v>
      </c>
      <c r="O23" s="28">
        <v>260</v>
      </c>
      <c r="P23" s="113" t="s">
        <v>121</v>
      </c>
      <c r="Q23" s="333" t="s">
        <v>93</v>
      </c>
      <c r="R23" s="476" t="s">
        <v>107</v>
      </c>
    </row>
    <row r="24" spans="1:18" s="23" customFormat="1" ht="66" customHeight="1" x14ac:dyDescent="0.25">
      <c r="A24" s="410"/>
      <c r="B24" s="465"/>
      <c r="C24" s="468"/>
      <c r="D24" s="430"/>
      <c r="E24" s="421"/>
      <c r="F24" s="473"/>
      <c r="G24" s="462" t="s">
        <v>31</v>
      </c>
      <c r="H24" s="443" t="s">
        <v>155</v>
      </c>
      <c r="I24" s="457" t="s">
        <v>119</v>
      </c>
      <c r="J24" s="457" t="s">
        <v>120</v>
      </c>
      <c r="K24" s="78" t="s">
        <v>138</v>
      </c>
      <c r="L24" s="462">
        <v>0</v>
      </c>
      <c r="M24" s="462" t="s">
        <v>47</v>
      </c>
      <c r="N24" s="28">
        <v>0.6</v>
      </c>
      <c r="O24" s="28">
        <v>3</v>
      </c>
      <c r="P24" s="449" t="s">
        <v>121</v>
      </c>
      <c r="Q24" s="334"/>
      <c r="R24" s="477"/>
    </row>
    <row r="25" spans="1:18" s="23" customFormat="1" ht="90" customHeight="1" x14ac:dyDescent="0.25">
      <c r="A25" s="410"/>
      <c r="B25" s="465"/>
      <c r="C25" s="468"/>
      <c r="D25" s="430"/>
      <c r="E25" s="421"/>
      <c r="F25" s="473"/>
      <c r="G25" s="463"/>
      <c r="H25" s="445"/>
      <c r="I25" s="459"/>
      <c r="J25" s="459"/>
      <c r="K25" s="78" t="s">
        <v>130</v>
      </c>
      <c r="L25" s="463"/>
      <c r="M25" s="463"/>
      <c r="N25" s="97">
        <v>5</v>
      </c>
      <c r="O25" s="28">
        <v>26</v>
      </c>
      <c r="P25" s="451"/>
      <c r="Q25" s="335"/>
      <c r="R25" s="478"/>
    </row>
    <row r="26" spans="1:18" s="23" customFormat="1" ht="86.25" customHeight="1" x14ac:dyDescent="0.25">
      <c r="A26" s="410"/>
      <c r="B26" s="466"/>
      <c r="C26" s="469"/>
      <c r="D26" s="412"/>
      <c r="E26" s="416"/>
      <c r="F26" s="474"/>
      <c r="G26" s="79" t="s">
        <v>36</v>
      </c>
      <c r="H26" s="80" t="s">
        <v>154</v>
      </c>
      <c r="I26" s="103" t="s">
        <v>119</v>
      </c>
      <c r="J26" s="102" t="s">
        <v>120</v>
      </c>
      <c r="K26" s="28" t="s">
        <v>131</v>
      </c>
      <c r="L26" s="97">
        <v>25680</v>
      </c>
      <c r="M26" s="131">
        <v>2019</v>
      </c>
      <c r="N26" s="108" t="s">
        <v>37</v>
      </c>
      <c r="O26" s="28">
        <v>7200</v>
      </c>
      <c r="P26" s="29" t="s">
        <v>121</v>
      </c>
      <c r="Q26" s="84" t="s">
        <v>96</v>
      </c>
      <c r="R26" s="114" t="s">
        <v>108</v>
      </c>
    </row>
    <row r="27" spans="1:18" s="23" customFormat="1" ht="62.25" customHeight="1" x14ac:dyDescent="0.25">
      <c r="A27" s="410"/>
      <c r="B27" s="486">
        <v>26250000</v>
      </c>
      <c r="C27" s="484" t="s">
        <v>134</v>
      </c>
      <c r="D27" s="489">
        <f>B27</f>
        <v>26250000</v>
      </c>
      <c r="E27" s="349">
        <f>B27+D27</f>
        <v>52500000</v>
      </c>
      <c r="F27" s="485">
        <f>E27</f>
        <v>52500000</v>
      </c>
      <c r="G27" s="31" t="s">
        <v>118</v>
      </c>
      <c r="H27" s="132" t="s">
        <v>128</v>
      </c>
      <c r="I27" s="133" t="s">
        <v>160</v>
      </c>
      <c r="J27" s="130" t="s">
        <v>144</v>
      </c>
      <c r="K27" s="135" t="s">
        <v>29</v>
      </c>
      <c r="L27" s="108">
        <v>0</v>
      </c>
      <c r="M27" s="79" t="s">
        <v>47</v>
      </c>
      <c r="N27" s="79">
        <v>121</v>
      </c>
      <c r="O27" s="28">
        <v>607</v>
      </c>
      <c r="P27" s="29" t="s">
        <v>121</v>
      </c>
      <c r="Q27" s="333" t="s">
        <v>97</v>
      </c>
      <c r="R27" s="476" t="s">
        <v>129</v>
      </c>
    </row>
    <row r="28" spans="1:18" s="23" customFormat="1" ht="63" customHeight="1" x14ac:dyDescent="0.25">
      <c r="A28" s="410"/>
      <c r="B28" s="487"/>
      <c r="C28" s="468"/>
      <c r="D28" s="490"/>
      <c r="E28" s="350"/>
      <c r="F28" s="473"/>
      <c r="G28" s="462" t="s">
        <v>31</v>
      </c>
      <c r="H28" s="443" t="s">
        <v>155</v>
      </c>
      <c r="I28" s="457" t="s">
        <v>160</v>
      </c>
      <c r="J28" s="457" t="s">
        <v>144</v>
      </c>
      <c r="K28" s="78" t="s">
        <v>138</v>
      </c>
      <c r="L28" s="79">
        <v>0</v>
      </c>
      <c r="M28" s="462" t="s">
        <v>47</v>
      </c>
      <c r="N28" s="28">
        <v>1.4</v>
      </c>
      <c r="O28" s="28">
        <v>7</v>
      </c>
      <c r="P28" s="449" t="s">
        <v>121</v>
      </c>
      <c r="Q28" s="334"/>
      <c r="R28" s="477"/>
    </row>
    <row r="29" spans="1:18" s="23" customFormat="1" ht="93" customHeight="1" x14ac:dyDescent="0.25">
      <c r="A29" s="410"/>
      <c r="B29" s="487"/>
      <c r="C29" s="468"/>
      <c r="D29" s="490"/>
      <c r="E29" s="350"/>
      <c r="F29" s="473"/>
      <c r="G29" s="463"/>
      <c r="H29" s="445"/>
      <c r="I29" s="459"/>
      <c r="J29" s="459"/>
      <c r="K29" s="78" t="s">
        <v>130</v>
      </c>
      <c r="L29" s="79">
        <v>0</v>
      </c>
      <c r="M29" s="463"/>
      <c r="N29" s="97">
        <v>12</v>
      </c>
      <c r="O29" s="28">
        <v>61</v>
      </c>
      <c r="P29" s="451"/>
      <c r="Q29" s="335"/>
      <c r="R29" s="478"/>
    </row>
    <row r="30" spans="1:18" s="23" customFormat="1" ht="93.75" customHeight="1" x14ac:dyDescent="0.25">
      <c r="A30" s="410"/>
      <c r="B30" s="488"/>
      <c r="C30" s="469"/>
      <c r="D30" s="491"/>
      <c r="E30" s="455"/>
      <c r="F30" s="474"/>
      <c r="G30" s="79" t="s">
        <v>36</v>
      </c>
      <c r="H30" s="80" t="s">
        <v>154</v>
      </c>
      <c r="I30" s="103" t="s">
        <v>160</v>
      </c>
      <c r="J30" s="81" t="s">
        <v>144</v>
      </c>
      <c r="K30" s="28" t="s">
        <v>131</v>
      </c>
      <c r="L30" s="97">
        <v>60120</v>
      </c>
      <c r="M30" s="131">
        <v>2019</v>
      </c>
      <c r="N30" s="79" t="s">
        <v>47</v>
      </c>
      <c r="O30" s="28">
        <v>16880</v>
      </c>
      <c r="P30" s="29" t="s">
        <v>121</v>
      </c>
      <c r="Q30" s="84" t="s">
        <v>109</v>
      </c>
      <c r="R30" s="114" t="s">
        <v>110</v>
      </c>
    </row>
    <row r="31" spans="1:18" s="23" customFormat="1" ht="70.5" customHeight="1" x14ac:dyDescent="0.25">
      <c r="A31" s="410"/>
      <c r="B31" s="489">
        <v>18750000</v>
      </c>
      <c r="C31" s="484" t="s">
        <v>135</v>
      </c>
      <c r="D31" s="489">
        <f>B31</f>
        <v>18750000</v>
      </c>
      <c r="E31" s="349">
        <f>B31+D31</f>
        <v>37500000</v>
      </c>
      <c r="F31" s="499">
        <f>E31</f>
        <v>37500000</v>
      </c>
      <c r="G31" s="79" t="s">
        <v>31</v>
      </c>
      <c r="H31" s="80" t="s">
        <v>155</v>
      </c>
      <c r="I31" s="103" t="s">
        <v>119</v>
      </c>
      <c r="J31" s="81" t="s">
        <v>120</v>
      </c>
      <c r="K31" s="83" t="s">
        <v>130</v>
      </c>
      <c r="L31" s="79">
        <v>0</v>
      </c>
      <c r="M31" s="79" t="s">
        <v>47</v>
      </c>
      <c r="N31" s="28">
        <v>11</v>
      </c>
      <c r="O31" s="28">
        <v>37.5</v>
      </c>
      <c r="P31" s="29" t="s">
        <v>121</v>
      </c>
      <c r="Q31" s="84" t="s">
        <v>156</v>
      </c>
      <c r="R31" s="116" t="s">
        <v>105</v>
      </c>
    </row>
    <row r="32" spans="1:18" s="23" customFormat="1" ht="68.25" customHeight="1" x14ac:dyDescent="0.25">
      <c r="A32" s="429"/>
      <c r="B32" s="491"/>
      <c r="C32" s="469"/>
      <c r="D32" s="491"/>
      <c r="E32" s="455"/>
      <c r="F32" s="500"/>
      <c r="G32" s="79" t="s">
        <v>36</v>
      </c>
      <c r="H32" s="80" t="s">
        <v>154</v>
      </c>
      <c r="I32" s="103" t="s">
        <v>119</v>
      </c>
      <c r="J32" s="103" t="s">
        <v>120</v>
      </c>
      <c r="K32" s="28" t="s">
        <v>131</v>
      </c>
      <c r="L32" s="97">
        <v>2250</v>
      </c>
      <c r="M32" s="131">
        <v>2019</v>
      </c>
      <c r="N32" s="79" t="s">
        <v>47</v>
      </c>
      <c r="O32" s="28">
        <v>900</v>
      </c>
      <c r="P32" s="29" t="s">
        <v>121</v>
      </c>
      <c r="Q32" s="84" t="s">
        <v>94</v>
      </c>
      <c r="R32" s="116" t="s">
        <v>104</v>
      </c>
    </row>
    <row r="33" spans="1:16" x14ac:dyDescent="0.25">
      <c r="C33" s="3"/>
      <c r="D33" s="4"/>
      <c r="E33" s="100"/>
      <c r="F33" s="101"/>
      <c r="G33" s="101"/>
      <c r="H33" s="5"/>
      <c r="I33" s="6"/>
      <c r="J33" s="6"/>
      <c r="K33" s="5"/>
      <c r="L33" s="11"/>
      <c r="N33" s="101"/>
      <c r="O33" s="101"/>
      <c r="P33" s="1"/>
    </row>
    <row r="34" spans="1:16" ht="0.75" customHeight="1" x14ac:dyDescent="0.25">
      <c r="C34" s="3"/>
      <c r="D34" s="4"/>
      <c r="E34" s="100"/>
      <c r="F34" s="101"/>
      <c r="G34" s="101"/>
      <c r="H34" s="5"/>
      <c r="I34" s="6"/>
      <c r="J34" s="6"/>
      <c r="K34" s="5"/>
    </row>
    <row r="35" spans="1:16" x14ac:dyDescent="0.25">
      <c r="C35" s="3"/>
      <c r="D35" s="4"/>
      <c r="E35" s="100"/>
      <c r="F35" s="101"/>
      <c r="G35" s="101"/>
      <c r="H35" s="5"/>
      <c r="I35" s="6"/>
      <c r="J35" s="6"/>
      <c r="K35" s="5"/>
    </row>
    <row r="36" spans="1:16" x14ac:dyDescent="0.25">
      <c r="A36" s="2"/>
      <c r="B36" s="17"/>
      <c r="C36" s="3"/>
      <c r="D36" s="4"/>
      <c r="E36" s="100"/>
      <c r="F36" s="101"/>
      <c r="G36" s="101"/>
      <c r="H36" s="5"/>
      <c r="I36" s="6"/>
      <c r="J36" s="6"/>
      <c r="K36" s="5"/>
    </row>
    <row r="37" spans="1:16" ht="26.25" customHeight="1" x14ac:dyDescent="0.25">
      <c r="A37" s="92" t="s">
        <v>143</v>
      </c>
      <c r="B37" s="51" t="s">
        <v>142</v>
      </c>
      <c r="C37" s="92" t="s">
        <v>116</v>
      </c>
      <c r="D37" s="92" t="s">
        <v>140</v>
      </c>
      <c r="E37" s="92" t="s">
        <v>112</v>
      </c>
      <c r="F37" s="92" t="s">
        <v>115</v>
      </c>
      <c r="G37" s="92" t="s">
        <v>141</v>
      </c>
      <c r="H37" s="92" t="s">
        <v>124</v>
      </c>
      <c r="I37" s="92" t="s">
        <v>123</v>
      </c>
      <c r="J37" s="202" t="s">
        <v>222</v>
      </c>
      <c r="K37" s="5"/>
    </row>
    <row r="38" spans="1:16" ht="49.5" customHeight="1" x14ac:dyDescent="0.25">
      <c r="A38" s="72" t="s">
        <v>36</v>
      </c>
      <c r="B38" s="149" t="s">
        <v>154</v>
      </c>
      <c r="C38" s="28" t="s">
        <v>131</v>
      </c>
      <c r="D38" s="74">
        <f>SUM(L7+L10+L14+L15+L26+L32)</f>
        <v>582771</v>
      </c>
      <c r="E38" s="52" t="s">
        <v>119</v>
      </c>
      <c r="F38" s="72" t="s">
        <v>24</v>
      </c>
      <c r="G38" s="52">
        <v>2019</v>
      </c>
      <c r="H38" s="73" t="s">
        <v>47</v>
      </c>
      <c r="I38" s="73">
        <f>SUM(O7+O10+O14+O15+O26+O32)</f>
        <v>44865</v>
      </c>
      <c r="J38" s="201">
        <f>SUM(D38-I38)</f>
        <v>537906</v>
      </c>
      <c r="K38" s="5"/>
    </row>
    <row r="39" spans="1:16" ht="52.5" customHeight="1" x14ac:dyDescent="0.25">
      <c r="A39" s="72" t="s">
        <v>36</v>
      </c>
      <c r="B39" s="149" t="s">
        <v>154</v>
      </c>
      <c r="C39" s="28" t="s">
        <v>131</v>
      </c>
      <c r="D39" s="74">
        <f>SUM(L22+L30)</f>
        <v>67344</v>
      </c>
      <c r="E39" s="103" t="s">
        <v>160</v>
      </c>
      <c r="F39" s="72" t="s">
        <v>16</v>
      </c>
      <c r="G39" s="52">
        <v>2019</v>
      </c>
      <c r="H39" s="73" t="s">
        <v>47</v>
      </c>
      <c r="I39" s="73">
        <f>SUM(O22+O30)</f>
        <v>16880</v>
      </c>
      <c r="J39" s="201">
        <f>SUM(D39-I39)</f>
        <v>50464</v>
      </c>
      <c r="K39" s="5"/>
    </row>
    <row r="40" spans="1:16" ht="43.5" customHeight="1" x14ac:dyDescent="0.25">
      <c r="A40" s="492" t="s">
        <v>31</v>
      </c>
      <c r="B40" s="497" t="s">
        <v>155</v>
      </c>
      <c r="C40" s="78" t="s">
        <v>138</v>
      </c>
      <c r="D40" s="52">
        <v>0</v>
      </c>
      <c r="E40" s="52" t="s">
        <v>119</v>
      </c>
      <c r="F40" s="52" t="s">
        <v>24</v>
      </c>
      <c r="G40" s="50"/>
      <c r="H40" s="71">
        <f>SUM(N6+N9+N24)</f>
        <v>85.08</v>
      </c>
      <c r="I40" s="71">
        <f>SUM(O6+O9+O24)</f>
        <v>283.60000000000002</v>
      </c>
      <c r="J40" s="6"/>
      <c r="K40" s="5"/>
    </row>
    <row r="41" spans="1:16" ht="61.5" customHeight="1" x14ac:dyDescent="0.25">
      <c r="A41" s="493"/>
      <c r="B41" s="498"/>
      <c r="C41" s="83" t="s">
        <v>130</v>
      </c>
      <c r="D41" s="52">
        <v>0</v>
      </c>
      <c r="E41" s="52" t="s">
        <v>119</v>
      </c>
      <c r="F41" s="52" t="s">
        <v>24</v>
      </c>
      <c r="G41" s="50"/>
      <c r="H41" s="71">
        <f>SUM(N11+N17+N25+N31)</f>
        <v>101</v>
      </c>
      <c r="I41" s="71">
        <f>SUM(O11+O17+O25+O31)</f>
        <v>348.5</v>
      </c>
      <c r="J41" s="6"/>
      <c r="K41" s="5"/>
    </row>
    <row r="42" spans="1:16" ht="47.25" customHeight="1" x14ac:dyDescent="0.25">
      <c r="A42" s="492" t="s">
        <v>31</v>
      </c>
      <c r="B42" s="497" t="s">
        <v>155</v>
      </c>
      <c r="C42" s="78" t="s">
        <v>138</v>
      </c>
      <c r="D42" s="52">
        <v>0</v>
      </c>
      <c r="E42" s="103" t="s">
        <v>160</v>
      </c>
      <c r="F42" s="52" t="s">
        <v>16</v>
      </c>
      <c r="G42" s="50"/>
      <c r="H42" s="71">
        <f>SUM(N20+N28)</f>
        <v>2.2999999999999998</v>
      </c>
      <c r="I42" s="71">
        <f>SUM(O20+O28)</f>
        <v>11.7</v>
      </c>
      <c r="J42" s="7"/>
      <c r="K42" s="7"/>
    </row>
    <row r="43" spans="1:16" ht="74.25" customHeight="1" x14ac:dyDescent="0.25">
      <c r="A43" s="493"/>
      <c r="B43" s="498"/>
      <c r="C43" s="78" t="s">
        <v>130</v>
      </c>
      <c r="D43" s="52">
        <v>0</v>
      </c>
      <c r="E43" s="103" t="s">
        <v>160</v>
      </c>
      <c r="F43" s="52" t="s">
        <v>16</v>
      </c>
      <c r="G43" s="50"/>
      <c r="H43" s="71">
        <f>SUM(N21+N29)</f>
        <v>30</v>
      </c>
      <c r="I43" s="71">
        <f>SUM(O21+O29)</f>
        <v>152.80000000000001</v>
      </c>
      <c r="J43" s="7"/>
      <c r="K43" s="7"/>
    </row>
    <row r="44" spans="1:16" ht="35.25" customHeight="1" x14ac:dyDescent="0.25">
      <c r="A44" s="70" t="s">
        <v>118</v>
      </c>
      <c r="B44" s="140" t="s">
        <v>139</v>
      </c>
      <c r="C44" s="141" t="s">
        <v>29</v>
      </c>
      <c r="D44" s="31">
        <v>0</v>
      </c>
      <c r="E44" s="52" t="s">
        <v>119</v>
      </c>
      <c r="F44" s="141" t="s">
        <v>24</v>
      </c>
      <c r="G44" s="70"/>
      <c r="H44" s="45">
        <f>SUM(N5+N8+N23)</f>
        <v>94.759999999999991</v>
      </c>
      <c r="I44" s="45">
        <f>SUM(O5+O8+O23)</f>
        <v>402.2</v>
      </c>
      <c r="J44" s="7"/>
      <c r="K44" s="1"/>
    </row>
    <row r="45" spans="1:16" ht="31.5" customHeight="1" x14ac:dyDescent="0.25">
      <c r="A45" s="70" t="s">
        <v>118</v>
      </c>
      <c r="B45" s="140" t="s">
        <v>139</v>
      </c>
      <c r="C45" s="141" t="s">
        <v>29</v>
      </c>
      <c r="D45" s="31">
        <v>0</v>
      </c>
      <c r="E45" s="103" t="s">
        <v>160</v>
      </c>
      <c r="F45" s="70" t="s">
        <v>16</v>
      </c>
      <c r="G45" s="70"/>
      <c r="H45" s="64">
        <f>SUM(N19+N27)</f>
        <v>513</v>
      </c>
      <c r="I45" s="64">
        <f>SUM(O19+O27)</f>
        <v>2568</v>
      </c>
      <c r="J45" s="7"/>
      <c r="K45" s="1"/>
    </row>
    <row r="46" spans="1:16" x14ac:dyDescent="0.25">
      <c r="A46" s="1"/>
      <c r="B46" s="13"/>
      <c r="C46" s="494"/>
      <c r="D46" s="8"/>
      <c r="E46" s="9"/>
      <c r="F46" s="495"/>
      <c r="G46" s="1"/>
      <c r="H46" s="1"/>
      <c r="I46" s="1"/>
      <c r="J46" s="7"/>
      <c r="K46" s="1"/>
    </row>
    <row r="47" spans="1:16" x14ac:dyDescent="0.25">
      <c r="A47" s="1"/>
      <c r="B47" s="13"/>
      <c r="C47" s="494"/>
      <c r="D47" s="8"/>
      <c r="E47" s="10"/>
      <c r="F47" s="496"/>
      <c r="G47" s="1"/>
      <c r="H47" s="7"/>
      <c r="I47" s="7"/>
      <c r="J47" s="7"/>
      <c r="K47" s="1"/>
    </row>
    <row r="48" spans="1:16" x14ac:dyDescent="0.25">
      <c r="A48" s="1"/>
      <c r="B48" s="13"/>
      <c r="C48" s="494"/>
      <c r="D48" s="8"/>
      <c r="E48" s="10"/>
      <c r="F48" s="496"/>
      <c r="G48" s="1"/>
      <c r="H48" s="7"/>
      <c r="I48" s="7"/>
      <c r="J48" s="1"/>
      <c r="K48" s="1"/>
    </row>
    <row r="49" spans="1:11" x14ac:dyDescent="0.25">
      <c r="A49" s="1"/>
      <c r="B49" s="13"/>
      <c r="C49" s="494"/>
      <c r="D49" s="8"/>
      <c r="E49" s="10"/>
      <c r="F49" s="496"/>
      <c r="G49" s="1"/>
      <c r="H49" s="7"/>
      <c r="I49" s="7"/>
      <c r="J49" s="1"/>
      <c r="K49" s="1"/>
    </row>
    <row r="50" spans="1:11" x14ac:dyDescent="0.25">
      <c r="A50" s="1"/>
      <c r="B50" s="13"/>
      <c r="C50" s="494"/>
      <c r="D50" s="8"/>
      <c r="E50" s="10"/>
      <c r="F50" s="496"/>
      <c r="G50" s="1"/>
      <c r="H50" s="7"/>
      <c r="I50" s="7"/>
      <c r="J50" s="1"/>
      <c r="K50" s="1"/>
    </row>
    <row r="51" spans="1:11" x14ac:dyDescent="0.25">
      <c r="A51" s="1"/>
      <c r="B51" s="13"/>
      <c r="C51" s="99"/>
      <c r="D51" s="8"/>
      <c r="E51" s="10"/>
      <c r="F51" s="101"/>
      <c r="G51" s="1"/>
      <c r="H51" s="7"/>
      <c r="I51" s="7"/>
      <c r="J51" s="1"/>
      <c r="K51" s="1"/>
    </row>
    <row r="52" spans="1:11" x14ac:dyDescent="0.25">
      <c r="A52" s="1"/>
      <c r="B52" s="13"/>
      <c r="C52" s="99"/>
      <c r="D52" s="8"/>
      <c r="E52" s="10"/>
      <c r="F52" s="101"/>
      <c r="G52" s="1"/>
      <c r="H52" s="7"/>
      <c r="I52" s="7"/>
      <c r="J52" s="1"/>
      <c r="K52" s="1"/>
    </row>
    <row r="53" spans="1:11" x14ac:dyDescent="0.25">
      <c r="A53" s="1"/>
      <c r="B53" s="13"/>
      <c r="C53" s="99"/>
      <c r="D53" s="8"/>
      <c r="E53" s="10"/>
      <c r="F53" s="101"/>
      <c r="G53" s="1"/>
      <c r="H53" s="7"/>
      <c r="I53" s="7"/>
      <c r="J53" s="1"/>
      <c r="K53" s="1"/>
    </row>
    <row r="54" spans="1:11" x14ac:dyDescent="0.25">
      <c r="A54" s="1"/>
      <c r="B54" s="13"/>
      <c r="C54" s="4"/>
      <c r="D54" s="8"/>
      <c r="E54" s="10"/>
      <c r="F54" s="101"/>
      <c r="G54" s="1"/>
      <c r="H54" s="7"/>
      <c r="I54" s="7"/>
      <c r="J54" s="1"/>
      <c r="K54" s="1"/>
    </row>
    <row r="55" spans="1:11" x14ac:dyDescent="0.25">
      <c r="A55" s="1"/>
      <c r="B55" s="13"/>
      <c r="C55" s="1"/>
      <c r="D55" s="1"/>
      <c r="E55" s="1"/>
      <c r="F55" s="1"/>
      <c r="G55" s="1"/>
      <c r="H55" s="1"/>
      <c r="I55" s="1"/>
      <c r="J55" s="1"/>
      <c r="K55" s="1"/>
    </row>
    <row r="56" spans="1:11" x14ac:dyDescent="0.25">
      <c r="A56" s="1"/>
      <c r="B56" s="13"/>
      <c r="C56" s="1"/>
      <c r="D56" s="1"/>
      <c r="E56" s="1"/>
      <c r="F56" s="1"/>
      <c r="G56" s="1"/>
      <c r="H56" s="1"/>
      <c r="I56" s="1"/>
      <c r="J56" s="1"/>
      <c r="K56" s="1"/>
    </row>
    <row r="57" spans="1:11" x14ac:dyDescent="0.25">
      <c r="A57" s="1"/>
      <c r="B57" s="13"/>
      <c r="C57" s="2"/>
      <c r="D57" s="2"/>
      <c r="E57" s="2"/>
      <c r="F57" s="2"/>
      <c r="G57" s="2"/>
      <c r="H57" s="2"/>
      <c r="I57" s="2"/>
      <c r="J57" s="1"/>
      <c r="K57" s="1"/>
    </row>
    <row r="58" spans="1:11" x14ac:dyDescent="0.25">
      <c r="A58" s="1"/>
      <c r="B58" s="13"/>
      <c r="C58" s="1"/>
      <c r="D58" s="1"/>
      <c r="E58" s="1"/>
      <c r="F58" s="1"/>
      <c r="G58" s="1"/>
      <c r="H58" s="1"/>
      <c r="I58" s="1"/>
      <c r="J58" s="1"/>
      <c r="K58" s="1"/>
    </row>
    <row r="59" spans="1:11" x14ac:dyDescent="0.25">
      <c r="A59" s="1"/>
      <c r="B59" s="13"/>
      <c r="C59" s="1"/>
      <c r="D59" s="1"/>
      <c r="E59" s="1"/>
      <c r="F59" s="1"/>
      <c r="G59" s="1"/>
      <c r="H59" s="1"/>
      <c r="I59" s="1"/>
      <c r="J59" s="1"/>
      <c r="K59" s="1"/>
    </row>
    <row r="60" spans="1:11" x14ac:dyDescent="0.25">
      <c r="A60" s="1"/>
      <c r="B60" s="13"/>
      <c r="C60" s="7"/>
      <c r="D60" s="1"/>
      <c r="E60" s="1"/>
      <c r="F60" s="1"/>
      <c r="G60" s="1"/>
      <c r="H60" s="1"/>
      <c r="I60" s="1"/>
      <c r="J60" s="1"/>
      <c r="K60" s="1"/>
    </row>
    <row r="61" spans="1:11" x14ac:dyDescent="0.25">
      <c r="A61" s="1"/>
      <c r="B61" s="13"/>
      <c r="C61" s="1"/>
      <c r="D61" s="1"/>
      <c r="E61" s="1"/>
      <c r="F61" s="1"/>
      <c r="G61" s="1"/>
      <c r="H61" s="1"/>
      <c r="I61" s="1"/>
      <c r="J61" s="1"/>
      <c r="K61" s="1"/>
    </row>
    <row r="62" spans="1:11" x14ac:dyDescent="0.25">
      <c r="A62" s="1"/>
      <c r="B62" s="13"/>
      <c r="C62" s="7"/>
      <c r="D62" s="1"/>
      <c r="E62" s="1"/>
      <c r="F62" s="1"/>
      <c r="G62" s="1"/>
      <c r="H62" s="1"/>
      <c r="I62" s="1"/>
    </row>
    <row r="63" spans="1:11" x14ac:dyDescent="0.25">
      <c r="A63" s="1"/>
      <c r="B63" s="13"/>
      <c r="C63" s="1"/>
      <c r="D63" s="1"/>
      <c r="E63" s="1"/>
      <c r="F63" s="1"/>
      <c r="G63" s="1"/>
      <c r="H63" s="1"/>
      <c r="I63" s="1"/>
    </row>
    <row r="64" spans="1:11" x14ac:dyDescent="0.25">
      <c r="A64" s="1"/>
      <c r="B64" s="13"/>
      <c r="C64" s="1"/>
      <c r="D64" s="1"/>
      <c r="E64" s="1"/>
      <c r="F64" s="1"/>
      <c r="G64" s="1"/>
      <c r="H64" s="1"/>
      <c r="I64" s="1"/>
    </row>
    <row r="65" spans="1:9" x14ac:dyDescent="0.25">
      <c r="A65" s="1"/>
      <c r="B65" s="13"/>
      <c r="C65" s="1"/>
      <c r="D65" s="1"/>
      <c r="E65" s="1"/>
      <c r="F65" s="1"/>
      <c r="G65" s="1"/>
      <c r="H65" s="1"/>
      <c r="I65" s="1"/>
    </row>
    <row r="66" spans="1:9" x14ac:dyDescent="0.25">
      <c r="A66" s="1"/>
      <c r="B66" s="13"/>
      <c r="C66" s="1"/>
      <c r="D66" s="1"/>
      <c r="E66" s="1"/>
      <c r="F66" s="1"/>
      <c r="G66" s="1"/>
      <c r="H66" s="1"/>
      <c r="I66" s="1"/>
    </row>
    <row r="67" spans="1:9" x14ac:dyDescent="0.25">
      <c r="A67" s="1"/>
      <c r="B67" s="13"/>
      <c r="C67" s="1"/>
      <c r="D67" s="1"/>
      <c r="E67" s="1"/>
      <c r="F67" s="1"/>
      <c r="G67" s="1"/>
      <c r="H67" s="1"/>
      <c r="I67" s="1"/>
    </row>
    <row r="68" spans="1:9" x14ac:dyDescent="0.25">
      <c r="A68" s="1"/>
      <c r="B68" s="13"/>
      <c r="C68" s="1"/>
      <c r="D68" s="1"/>
      <c r="E68" s="1"/>
      <c r="F68" s="1"/>
      <c r="G68" s="1"/>
      <c r="H68" s="1"/>
      <c r="I68" s="1"/>
    </row>
  </sheetData>
  <mergeCells count="126">
    <mergeCell ref="A42:A43"/>
    <mergeCell ref="C46:C50"/>
    <mergeCell ref="F46:F50"/>
    <mergeCell ref="B40:B41"/>
    <mergeCell ref="B42:B43"/>
    <mergeCell ref="B31:B32"/>
    <mergeCell ref="C31:C32"/>
    <mergeCell ref="D31:D32"/>
    <mergeCell ref="E31:E32"/>
    <mergeCell ref="F31:F32"/>
    <mergeCell ref="A40:A41"/>
    <mergeCell ref="R27:R29"/>
    <mergeCell ref="G28:G29"/>
    <mergeCell ref="H28:H29"/>
    <mergeCell ref="I28:I29"/>
    <mergeCell ref="J28:J29"/>
    <mergeCell ref="M28:M29"/>
    <mergeCell ref="P28:P29"/>
    <mergeCell ref="B27:B30"/>
    <mergeCell ref="C27:C30"/>
    <mergeCell ref="D27:D30"/>
    <mergeCell ref="E27:E30"/>
    <mergeCell ref="F27:F30"/>
    <mergeCell ref="Q27:Q29"/>
    <mergeCell ref="R23:R25"/>
    <mergeCell ref="G24:G25"/>
    <mergeCell ref="H24:H25"/>
    <mergeCell ref="I24:I25"/>
    <mergeCell ref="J24:J25"/>
    <mergeCell ref="L24:L25"/>
    <mergeCell ref="M24:M25"/>
    <mergeCell ref="P24:P25"/>
    <mergeCell ref="B23:B26"/>
    <mergeCell ref="C23:C26"/>
    <mergeCell ref="D23:D26"/>
    <mergeCell ref="E23:E26"/>
    <mergeCell ref="F23:F26"/>
    <mergeCell ref="Q23:Q25"/>
    <mergeCell ref="H20:H21"/>
    <mergeCell ref="I20:I21"/>
    <mergeCell ref="J20:J21"/>
    <mergeCell ref="L20:L21"/>
    <mergeCell ref="M20:M21"/>
    <mergeCell ref="P20:P21"/>
    <mergeCell ref="R17:R18"/>
    <mergeCell ref="A19:A32"/>
    <mergeCell ref="B19:B22"/>
    <mergeCell ref="C19:C22"/>
    <mergeCell ref="D19:D22"/>
    <mergeCell ref="E19:E22"/>
    <mergeCell ref="F19:F22"/>
    <mergeCell ref="Q19:Q21"/>
    <mergeCell ref="R19:R21"/>
    <mergeCell ref="G20:G21"/>
    <mergeCell ref="L17:L18"/>
    <mergeCell ref="M17:M18"/>
    <mergeCell ref="N17:N18"/>
    <mergeCell ref="O17:O18"/>
    <mergeCell ref="P17:P18"/>
    <mergeCell ref="Q17:Q18"/>
    <mergeCell ref="B15:B18"/>
    <mergeCell ref="C15:C18"/>
    <mergeCell ref="N15:N16"/>
    <mergeCell ref="O15:O16"/>
    <mergeCell ref="P15:P16"/>
    <mergeCell ref="Q15:Q16"/>
    <mergeCell ref="R15:R16"/>
    <mergeCell ref="G17:G18"/>
    <mergeCell ref="H17:H18"/>
    <mergeCell ref="I17:I18"/>
    <mergeCell ref="J17:J18"/>
    <mergeCell ref="K17:K18"/>
    <mergeCell ref="H15:H16"/>
    <mergeCell ref="I15:I16"/>
    <mergeCell ref="J15:J16"/>
    <mergeCell ref="K15:K16"/>
    <mergeCell ref="L15:L16"/>
    <mergeCell ref="M15:M16"/>
    <mergeCell ref="R11:R13"/>
    <mergeCell ref="G11:G13"/>
    <mergeCell ref="H11:H13"/>
    <mergeCell ref="I11:I13"/>
    <mergeCell ref="J11:J13"/>
    <mergeCell ref="K11:K13"/>
    <mergeCell ref="L11:L13"/>
    <mergeCell ref="C8:C10"/>
    <mergeCell ref="D8:D10"/>
    <mergeCell ref="E8:E10"/>
    <mergeCell ref="F8:F10"/>
    <mergeCell ref="M11:M13"/>
    <mergeCell ref="N11:N13"/>
    <mergeCell ref="O11:O13"/>
    <mergeCell ref="P11:P13"/>
    <mergeCell ref="Q11:Q13"/>
    <mergeCell ref="P3:P4"/>
    <mergeCell ref="Q3:Q4"/>
    <mergeCell ref="R3:R4"/>
    <mergeCell ref="A5:A10"/>
    <mergeCell ref="B5:B7"/>
    <mergeCell ref="C5:C7"/>
    <mergeCell ref="D5:D7"/>
    <mergeCell ref="E5:E7"/>
    <mergeCell ref="F5:F7"/>
    <mergeCell ref="B8:B10"/>
    <mergeCell ref="I3:I4"/>
    <mergeCell ref="J3:J4"/>
    <mergeCell ref="K3:K4"/>
    <mergeCell ref="L3:M3"/>
    <mergeCell ref="N3:N4"/>
    <mergeCell ref="O3:O4"/>
    <mergeCell ref="A1:E1"/>
    <mergeCell ref="A3:A4"/>
    <mergeCell ref="B3:B4"/>
    <mergeCell ref="C3:E3"/>
    <mergeCell ref="F3:F4"/>
    <mergeCell ref="G3:H3"/>
    <mergeCell ref="A11:A18"/>
    <mergeCell ref="B11:B14"/>
    <mergeCell ref="C11:C14"/>
    <mergeCell ref="D11:D14"/>
    <mergeCell ref="E11:E14"/>
    <mergeCell ref="F11:F14"/>
    <mergeCell ref="D15:D18"/>
    <mergeCell ref="E15:E18"/>
    <mergeCell ref="F15:F18"/>
    <mergeCell ref="G15:G1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0"/>
  <sheetViews>
    <sheetView tabSelected="1" zoomScale="75" zoomScaleNormal="75" workbookViewId="0">
      <selection activeCell="A10" sqref="A10"/>
    </sheetView>
  </sheetViews>
  <sheetFormatPr defaultRowHeight="15" x14ac:dyDescent="0.25"/>
  <cols>
    <col min="1" max="1" width="21" customWidth="1"/>
    <col min="2" max="2" width="22.28515625" customWidth="1"/>
    <col min="3" max="3" width="21" customWidth="1"/>
    <col min="4" max="4" width="33.7109375" customWidth="1"/>
    <col min="5" max="5" width="17.5703125" customWidth="1"/>
    <col min="6" max="6" width="15.28515625" customWidth="1"/>
    <col min="7" max="7" width="15.140625" customWidth="1"/>
    <col min="8" max="8" width="15.85546875" customWidth="1"/>
    <col min="9" max="9" width="25.5703125" customWidth="1"/>
    <col min="10" max="10" width="18.28515625" customWidth="1"/>
    <col min="11" max="11" width="14.5703125" customWidth="1"/>
    <col min="12" max="12" width="15.7109375" style="268" customWidth="1"/>
    <col min="13" max="13" width="11" customWidth="1"/>
    <col min="14" max="14" width="10.42578125" customWidth="1"/>
    <col min="16" max="16" width="12.85546875" customWidth="1"/>
    <col min="17" max="17" width="13.7109375" style="211" customWidth="1"/>
    <col min="18" max="18" width="97.42578125" customWidth="1"/>
    <col min="19" max="19" width="16.7109375" customWidth="1"/>
  </cols>
  <sheetData>
    <row r="1" spans="1:20" x14ac:dyDescent="0.25">
      <c r="A1" s="292" t="s">
        <v>291</v>
      </c>
    </row>
    <row r="2" spans="1:20" s="40" customFormat="1" ht="13.5" customHeight="1" x14ac:dyDescent="0.2">
      <c r="A2" s="304" t="s">
        <v>298</v>
      </c>
      <c r="B2" s="38"/>
      <c r="C2" s="38"/>
      <c r="D2" s="38"/>
      <c r="E2" s="38"/>
      <c r="F2" s="38"/>
      <c r="G2" s="38"/>
      <c r="H2" s="38"/>
      <c r="I2" s="38"/>
      <c r="J2" s="38"/>
      <c r="K2" s="38"/>
      <c r="L2" s="193"/>
    </row>
    <row r="3" spans="1:20" s="40" customFormat="1" ht="13.5" thickBot="1" x14ac:dyDescent="0.25">
      <c r="A3" s="254" t="s">
        <v>251</v>
      </c>
      <c r="L3" s="193"/>
    </row>
    <row r="4" spans="1:20" ht="25.5" customHeight="1" thickBot="1" x14ac:dyDescent="0.3">
      <c r="A4" s="524" t="s">
        <v>136</v>
      </c>
      <c r="B4" s="513" t="s">
        <v>48</v>
      </c>
      <c r="C4" s="513" t="s">
        <v>246</v>
      </c>
      <c r="D4" s="526" t="s">
        <v>2</v>
      </c>
      <c r="E4" s="527"/>
      <c r="F4" s="527"/>
      <c r="G4" s="526" t="s">
        <v>20</v>
      </c>
      <c r="H4" s="519" t="s">
        <v>111</v>
      </c>
      <c r="I4" s="519"/>
      <c r="J4" s="509" t="s">
        <v>181</v>
      </c>
      <c r="K4" s="519" t="s">
        <v>115</v>
      </c>
      <c r="L4" s="509" t="s">
        <v>182</v>
      </c>
      <c r="M4" s="509" t="s">
        <v>140</v>
      </c>
      <c r="N4" s="509"/>
      <c r="O4" s="509" t="s">
        <v>247</v>
      </c>
      <c r="P4" s="509" t="s">
        <v>123</v>
      </c>
      <c r="Q4" s="511" t="s">
        <v>122</v>
      </c>
      <c r="R4" s="521" t="s">
        <v>61</v>
      </c>
      <c r="S4" s="211"/>
      <c r="T4" s="211"/>
    </row>
    <row r="5" spans="1:20" ht="41.25" customHeight="1" thickBot="1" x14ac:dyDescent="0.3">
      <c r="A5" s="525"/>
      <c r="B5" s="514"/>
      <c r="C5" s="514"/>
      <c r="D5" s="269" t="s">
        <v>10</v>
      </c>
      <c r="E5" s="270" t="s">
        <v>49</v>
      </c>
      <c r="F5" s="271" t="s">
        <v>250</v>
      </c>
      <c r="G5" s="525"/>
      <c r="H5" s="272" t="s">
        <v>248</v>
      </c>
      <c r="I5" s="272" t="s">
        <v>249</v>
      </c>
      <c r="J5" s="510"/>
      <c r="K5" s="520"/>
      <c r="L5" s="510"/>
      <c r="M5" s="273" t="s">
        <v>126</v>
      </c>
      <c r="N5" s="273" t="s">
        <v>125</v>
      </c>
      <c r="O5" s="510"/>
      <c r="P5" s="510"/>
      <c r="Q5" s="512"/>
      <c r="R5" s="522"/>
      <c r="S5" s="211"/>
      <c r="T5" s="211"/>
    </row>
    <row r="6" spans="1:20" ht="195" customHeight="1" x14ac:dyDescent="0.25">
      <c r="A6" s="528" t="s">
        <v>262</v>
      </c>
      <c r="B6" s="515">
        <f>F6</f>
        <v>28235294.117647059</v>
      </c>
      <c r="C6" s="531">
        <v>24000000</v>
      </c>
      <c r="D6" s="533" t="s">
        <v>263</v>
      </c>
      <c r="E6" s="515">
        <f>C6*15/85</f>
        <v>4235294.1176470593</v>
      </c>
      <c r="F6" s="515">
        <f>C6+E6</f>
        <v>28235294.117647059</v>
      </c>
      <c r="G6" s="518">
        <f>F6</f>
        <v>28235294.117647059</v>
      </c>
      <c r="H6" s="152" t="s">
        <v>292</v>
      </c>
      <c r="I6" s="152" t="s">
        <v>265</v>
      </c>
      <c r="J6" s="516" t="s">
        <v>119</v>
      </c>
      <c r="K6" s="517" t="s">
        <v>120</v>
      </c>
      <c r="L6" s="298" t="s">
        <v>295</v>
      </c>
      <c r="M6" s="218">
        <v>0</v>
      </c>
      <c r="N6" s="218">
        <v>2020</v>
      </c>
      <c r="O6" s="139" t="s">
        <v>47</v>
      </c>
      <c r="P6" s="274">
        <v>75174</v>
      </c>
      <c r="Q6" s="220" t="s">
        <v>296</v>
      </c>
      <c r="R6" s="285" t="s">
        <v>288</v>
      </c>
      <c r="S6" s="211"/>
      <c r="T6" s="211"/>
    </row>
    <row r="7" spans="1:20" ht="255.75" customHeight="1" x14ac:dyDescent="0.25">
      <c r="A7" s="529"/>
      <c r="B7" s="501"/>
      <c r="C7" s="532"/>
      <c r="D7" s="534"/>
      <c r="E7" s="501"/>
      <c r="F7" s="501"/>
      <c r="G7" s="507"/>
      <c r="H7" s="151" t="s">
        <v>254</v>
      </c>
      <c r="I7" s="151" t="s">
        <v>255</v>
      </c>
      <c r="J7" s="503"/>
      <c r="K7" s="505"/>
      <c r="L7" s="299" t="s">
        <v>297</v>
      </c>
      <c r="M7" s="70">
        <v>0</v>
      </c>
      <c r="N7" s="70" t="s">
        <v>47</v>
      </c>
      <c r="O7" s="293">
        <v>0</v>
      </c>
      <c r="P7" s="186">
        <v>1315</v>
      </c>
      <c r="Q7" s="297" t="s">
        <v>296</v>
      </c>
      <c r="R7" s="286" t="s">
        <v>293</v>
      </c>
      <c r="S7" s="278"/>
      <c r="T7" s="211"/>
    </row>
    <row r="8" spans="1:20" ht="210" customHeight="1" x14ac:dyDescent="0.25">
      <c r="A8" s="529"/>
      <c r="B8" s="501">
        <f>F8</f>
        <v>68823529.411764711</v>
      </c>
      <c r="C8" s="501">
        <v>58500000</v>
      </c>
      <c r="D8" s="535" t="s">
        <v>263</v>
      </c>
      <c r="E8" s="501">
        <f>C8*15/85</f>
        <v>10323529.411764706</v>
      </c>
      <c r="F8" s="501">
        <f>C8+E8</f>
        <v>68823529.411764711</v>
      </c>
      <c r="G8" s="507">
        <f>F8</f>
        <v>68823529.411764711</v>
      </c>
      <c r="H8" s="151" t="s">
        <v>292</v>
      </c>
      <c r="I8" s="151" t="s">
        <v>265</v>
      </c>
      <c r="J8" s="503" t="s">
        <v>252</v>
      </c>
      <c r="K8" s="505" t="s">
        <v>144</v>
      </c>
      <c r="L8" s="299" t="s">
        <v>295</v>
      </c>
      <c r="M8" s="229">
        <v>0</v>
      </c>
      <c r="N8" s="229">
        <v>2020</v>
      </c>
      <c r="O8" s="70" t="s">
        <v>47</v>
      </c>
      <c r="P8" s="186">
        <v>183362</v>
      </c>
      <c r="Q8" s="297" t="s">
        <v>296</v>
      </c>
      <c r="R8" s="286" t="s">
        <v>289</v>
      </c>
      <c r="S8" s="211"/>
      <c r="T8" s="211"/>
    </row>
    <row r="9" spans="1:20" ht="225" customHeight="1" thickBot="1" x14ac:dyDescent="0.3">
      <c r="A9" s="530"/>
      <c r="B9" s="502"/>
      <c r="C9" s="502"/>
      <c r="D9" s="536"/>
      <c r="E9" s="502"/>
      <c r="F9" s="502"/>
      <c r="G9" s="508"/>
      <c r="H9" s="169" t="s">
        <v>254</v>
      </c>
      <c r="I9" s="169" t="s">
        <v>255</v>
      </c>
      <c r="J9" s="504"/>
      <c r="K9" s="506"/>
      <c r="L9" s="300" t="s">
        <v>297</v>
      </c>
      <c r="M9" s="275">
        <v>0</v>
      </c>
      <c r="N9" s="275" t="s">
        <v>47</v>
      </c>
      <c r="O9" s="294">
        <v>0</v>
      </c>
      <c r="P9" s="276">
        <v>2950</v>
      </c>
      <c r="Q9" s="277" t="s">
        <v>296</v>
      </c>
      <c r="R9" s="295" t="s">
        <v>294</v>
      </c>
      <c r="S9" s="284"/>
      <c r="T9" s="211"/>
    </row>
    <row r="10" spans="1:20" ht="16.5" customHeight="1" x14ac:dyDescent="0.25">
      <c r="A10" s="255"/>
      <c r="B10" s="255" t="s">
        <v>119</v>
      </c>
      <c r="C10" s="301">
        <f>C6</f>
        <v>24000000</v>
      </c>
      <c r="D10" s="302"/>
      <c r="E10" s="301">
        <f>E6</f>
        <v>4235294.1176470593</v>
      </c>
      <c r="F10" s="301">
        <f>F6</f>
        <v>28235294.117647059</v>
      </c>
      <c r="G10" s="303">
        <f>G6</f>
        <v>28235294.117647059</v>
      </c>
      <c r="H10" s="256"/>
      <c r="I10" s="256"/>
      <c r="J10" s="257"/>
      <c r="K10" s="256"/>
      <c r="L10" s="256"/>
      <c r="M10" s="258"/>
      <c r="N10" s="258"/>
      <c r="O10" s="259">
        <f>SUM(O6:O9)</f>
        <v>0</v>
      </c>
      <c r="P10" s="264">
        <f>SUM(P6:P9)</f>
        <v>262801</v>
      </c>
      <c r="Q10" s="260"/>
      <c r="R10" s="211"/>
      <c r="S10" s="211"/>
      <c r="T10" s="211"/>
    </row>
    <row r="11" spans="1:20" x14ac:dyDescent="0.25">
      <c r="A11" s="211"/>
      <c r="B11" s="261" t="s">
        <v>253</v>
      </c>
      <c r="C11" s="266">
        <f>C8</f>
        <v>58500000</v>
      </c>
      <c r="D11" s="266"/>
      <c r="E11" s="266">
        <f>E8</f>
        <v>10323529.411764706</v>
      </c>
      <c r="F11" s="266">
        <f>F8</f>
        <v>68823529.411764711</v>
      </c>
      <c r="G11" s="266">
        <f>G8</f>
        <v>68823529.411764711</v>
      </c>
      <c r="H11" s="25"/>
      <c r="I11" s="25"/>
      <c r="J11" s="25"/>
      <c r="K11" s="25"/>
      <c r="L11" s="267"/>
      <c r="M11" s="25"/>
      <c r="N11" s="25"/>
      <c r="O11" s="25"/>
      <c r="P11" s="262"/>
      <c r="Q11" s="224"/>
      <c r="R11" s="211"/>
      <c r="S11" s="211"/>
    </row>
    <row r="12" spans="1:20" x14ac:dyDescent="0.25">
      <c r="A12" s="211"/>
      <c r="B12" s="261"/>
      <c r="C12" s="262"/>
      <c r="D12" s="262"/>
      <c r="E12" s="262"/>
      <c r="F12" s="262"/>
      <c r="G12" s="262"/>
      <c r="H12" s="25"/>
      <c r="I12" s="25"/>
      <c r="J12" s="25"/>
      <c r="K12" s="25"/>
      <c r="L12" s="267"/>
      <c r="M12" s="25"/>
      <c r="N12" s="25"/>
      <c r="O12" s="25"/>
      <c r="P12" s="25"/>
      <c r="Q12" s="224"/>
      <c r="R12" s="211"/>
      <c r="S12" s="211"/>
    </row>
    <row r="13" spans="1:20" ht="30" x14ac:dyDescent="0.25">
      <c r="A13" s="265" t="s">
        <v>257</v>
      </c>
      <c r="B13" s="265" t="s">
        <v>258</v>
      </c>
      <c r="C13" s="265" t="s">
        <v>259</v>
      </c>
      <c r="D13" s="265" t="s">
        <v>260</v>
      </c>
      <c r="E13" s="265" t="s">
        <v>181</v>
      </c>
      <c r="F13" s="265" t="s">
        <v>115</v>
      </c>
      <c r="G13" s="265" t="s">
        <v>261</v>
      </c>
      <c r="H13" s="265" t="s">
        <v>247</v>
      </c>
      <c r="I13" s="60" t="s">
        <v>123</v>
      </c>
      <c r="J13" s="25"/>
      <c r="K13" s="25"/>
      <c r="L13" s="267"/>
      <c r="M13" s="25"/>
      <c r="N13" s="25"/>
      <c r="O13" s="25"/>
      <c r="P13" s="25"/>
      <c r="Q13" s="25"/>
      <c r="R13" s="211"/>
      <c r="S13" s="211"/>
    </row>
    <row r="14" spans="1:20" ht="91.5" customHeight="1" x14ac:dyDescent="0.25">
      <c r="A14" s="151" t="str">
        <f>H7</f>
        <v xml:space="preserve"> RCO23</v>
      </c>
      <c r="B14" s="151" t="str">
        <f>I7</f>
        <v>Digital management systems for smart energy systems (pažangiųjų energetikos sistemų skaitmeninio valdymo sistemos)</v>
      </c>
      <c r="C14" s="62" t="str">
        <f>L7</f>
        <v>System components (sistemos sudedamosios dalys)</v>
      </c>
      <c r="D14" s="228">
        <v>0</v>
      </c>
      <c r="E14" s="228" t="s">
        <v>119</v>
      </c>
      <c r="F14" s="228" t="s">
        <v>120</v>
      </c>
      <c r="G14" s="228" t="s">
        <v>47</v>
      </c>
      <c r="H14" s="296">
        <f>O7</f>
        <v>0</v>
      </c>
      <c r="I14" s="263">
        <f>P7</f>
        <v>1315</v>
      </c>
      <c r="J14" s="25"/>
      <c r="K14" s="25"/>
      <c r="L14" s="267"/>
      <c r="M14" s="25"/>
      <c r="N14" s="25"/>
      <c r="O14" s="25"/>
      <c r="P14" s="25"/>
      <c r="Q14" s="25"/>
      <c r="R14" s="211"/>
      <c r="S14" s="211"/>
    </row>
    <row r="15" spans="1:20" ht="81.75" customHeight="1" x14ac:dyDescent="0.25">
      <c r="A15" s="151" t="str">
        <f>H9</f>
        <v xml:space="preserve"> RCO23</v>
      </c>
      <c r="B15" s="151" t="str">
        <f>I9</f>
        <v>Digital management systems for smart energy systems (pažangiųjų energetikos sistemų skaitmeninio valdymo sistemos)</v>
      </c>
      <c r="C15" s="62" t="str">
        <f>L9</f>
        <v>System components (sistemos sudedamosios dalys)</v>
      </c>
      <c r="D15" s="228">
        <v>0</v>
      </c>
      <c r="E15" s="228" t="s">
        <v>252</v>
      </c>
      <c r="F15" s="228" t="s">
        <v>144</v>
      </c>
      <c r="G15" s="228" t="s">
        <v>47</v>
      </c>
      <c r="H15" s="296">
        <f>O9</f>
        <v>0</v>
      </c>
      <c r="I15" s="263">
        <f>P9</f>
        <v>2950</v>
      </c>
      <c r="J15" s="25"/>
      <c r="K15" s="25"/>
      <c r="L15" s="267"/>
      <c r="M15" s="25"/>
      <c r="N15" s="25"/>
      <c r="O15" s="25"/>
      <c r="P15" s="25"/>
      <c r="Q15" s="25"/>
      <c r="R15" s="211"/>
      <c r="S15" s="211"/>
    </row>
    <row r="16" spans="1:20" ht="84.75" customHeight="1" x14ac:dyDescent="0.25">
      <c r="A16" s="151" t="str">
        <f>H6</f>
        <v>specific result</v>
      </c>
      <c r="B16" s="151" t="str">
        <f>I6</f>
        <v>Users benefiting  from higher quality electricity supply (Vartotojai, kuriems pagerėjo tiekiamos elektros energijos kokybė)</v>
      </c>
      <c r="C16" s="228" t="str">
        <f>L6</f>
        <v>end users/ year
(galutiniai vartotojai per metus)</v>
      </c>
      <c r="D16" s="228">
        <f>M6</f>
        <v>0</v>
      </c>
      <c r="E16" s="228" t="s">
        <v>119</v>
      </c>
      <c r="F16" s="228" t="s">
        <v>120</v>
      </c>
      <c r="G16" s="228">
        <v>2020</v>
      </c>
      <c r="H16" s="263" t="s">
        <v>47</v>
      </c>
      <c r="I16" s="263">
        <f>P6</f>
        <v>75174</v>
      </c>
      <c r="J16" s="25"/>
      <c r="K16" s="25"/>
      <c r="L16" s="523"/>
      <c r="M16" s="523"/>
      <c r="N16" s="523"/>
      <c r="O16" s="523"/>
      <c r="P16" s="523"/>
      <c r="Q16" s="25"/>
      <c r="R16" s="211"/>
      <c r="S16" s="211"/>
    </row>
    <row r="17" spans="1:19" ht="79.5" customHeight="1" x14ac:dyDescent="0.25">
      <c r="A17" s="151" t="str">
        <f>H8</f>
        <v>specific result</v>
      </c>
      <c r="B17" s="151" t="str">
        <f>I8</f>
        <v>Users benefiting  from higher quality electricity supply (Vartotojai, kuriems pagerėjo tiekiamos elektros energijos kokybė)</v>
      </c>
      <c r="C17" s="228" t="str">
        <f>L8</f>
        <v>end users/ year
(galutiniai vartotojai per metus)</v>
      </c>
      <c r="D17" s="228">
        <f>M8</f>
        <v>0</v>
      </c>
      <c r="E17" s="228" t="s">
        <v>252</v>
      </c>
      <c r="F17" s="228" t="s">
        <v>144</v>
      </c>
      <c r="G17" s="228">
        <v>2020</v>
      </c>
      <c r="H17" s="263" t="s">
        <v>47</v>
      </c>
      <c r="I17" s="263">
        <f>P8</f>
        <v>183362</v>
      </c>
      <c r="J17" s="25"/>
      <c r="K17" s="25"/>
      <c r="L17" s="267"/>
      <c r="M17" s="25"/>
      <c r="N17" s="25"/>
      <c r="O17" s="25"/>
      <c r="P17" s="25"/>
      <c r="Q17" s="25"/>
      <c r="R17" s="211"/>
      <c r="S17" s="211"/>
    </row>
    <row r="18" spans="1:19" x14ac:dyDescent="0.25">
      <c r="A18" s="227"/>
      <c r="B18" s="212"/>
      <c r="C18" s="25"/>
      <c r="D18" s="25"/>
      <c r="E18" s="25"/>
      <c r="F18" s="25"/>
      <c r="G18" s="25"/>
      <c r="H18" s="25">
        <f>SUM(H14:H17)</f>
        <v>0</v>
      </c>
      <c r="I18" s="266">
        <f>SUM(I14:I17)</f>
        <v>262801</v>
      </c>
      <c r="J18" s="25" t="b">
        <f>I18=P10</f>
        <v>1</v>
      </c>
      <c r="K18" s="25"/>
      <c r="L18" s="267"/>
      <c r="M18" s="25"/>
      <c r="N18" s="25"/>
      <c r="O18" s="25"/>
      <c r="P18" s="25"/>
      <c r="Q18" s="25"/>
    </row>
    <row r="19" spans="1:19" x14ac:dyDescent="0.25">
      <c r="A19" s="211"/>
      <c r="B19" s="211"/>
      <c r="C19" s="25"/>
      <c r="D19" s="25"/>
      <c r="E19" s="25"/>
      <c r="F19" s="25"/>
      <c r="G19" s="25"/>
      <c r="H19" s="25"/>
      <c r="I19" s="25"/>
      <c r="J19" s="25"/>
      <c r="K19" s="25"/>
      <c r="L19" s="267"/>
      <c r="M19" s="25"/>
      <c r="N19" s="25"/>
      <c r="O19" s="25"/>
      <c r="P19" s="25"/>
      <c r="Q19" s="25"/>
    </row>
    <row r="20" spans="1:19" x14ac:dyDescent="0.25">
      <c r="C20" s="25"/>
      <c r="D20" s="25"/>
      <c r="E20" s="25"/>
      <c r="F20" s="25"/>
      <c r="G20" s="25"/>
      <c r="H20" s="25"/>
      <c r="I20" s="25"/>
      <c r="J20" s="25"/>
      <c r="K20" s="25"/>
      <c r="L20" s="267"/>
      <c r="M20" s="25"/>
      <c r="N20" s="25"/>
      <c r="O20" s="25"/>
      <c r="P20" s="25"/>
      <c r="Q20" s="25"/>
    </row>
  </sheetData>
  <mergeCells count="32">
    <mergeCell ref="R4:R5"/>
    <mergeCell ref="L16:P16"/>
    <mergeCell ref="A4:A5"/>
    <mergeCell ref="C4:C5"/>
    <mergeCell ref="D4:F4"/>
    <mergeCell ref="G4:G5"/>
    <mergeCell ref="H4:I4"/>
    <mergeCell ref="A6:A9"/>
    <mergeCell ref="C6:C7"/>
    <mergeCell ref="D6:D7"/>
    <mergeCell ref="E6:E7"/>
    <mergeCell ref="F6:F7"/>
    <mergeCell ref="C8:C9"/>
    <mergeCell ref="D8:D9"/>
    <mergeCell ref="E8:E9"/>
    <mergeCell ref="F8:F9"/>
    <mergeCell ref="Q4:Q5"/>
    <mergeCell ref="J4:J5"/>
    <mergeCell ref="B4:B5"/>
    <mergeCell ref="B6:B7"/>
    <mergeCell ref="J6:J7"/>
    <mergeCell ref="K6:K7"/>
    <mergeCell ref="G6:G7"/>
    <mergeCell ref="K4:K5"/>
    <mergeCell ref="L4:L5"/>
    <mergeCell ref="M4:N4"/>
    <mergeCell ref="O4:O5"/>
    <mergeCell ref="B8:B9"/>
    <mergeCell ref="J8:J9"/>
    <mergeCell ref="K8:K9"/>
    <mergeCell ref="G8:G9"/>
    <mergeCell ref="P4:P5"/>
  </mergeCells>
  <phoneticPr fontId="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16" zoomScale="80" zoomScaleNormal="80" workbookViewId="0">
      <selection activeCell="A5" sqref="A5:A8"/>
    </sheetView>
  </sheetViews>
  <sheetFormatPr defaultRowHeight="15" x14ac:dyDescent="0.25"/>
  <cols>
    <col min="1" max="1" width="18.42578125" style="19" customWidth="1"/>
    <col min="2" max="2" width="20.5703125" style="19" customWidth="1"/>
    <col min="3" max="3" width="43.42578125" style="19" customWidth="1"/>
    <col min="4" max="4" width="17.42578125" style="19" customWidth="1"/>
    <col min="5" max="5" width="20.5703125" style="19" customWidth="1"/>
    <col min="6" max="6" width="13.42578125" style="19" bestFit="1" customWidth="1"/>
    <col min="7" max="7" width="11.42578125" style="19" customWidth="1"/>
    <col min="8" max="8" width="15.5703125" style="19" customWidth="1"/>
    <col min="9" max="9" width="15.85546875" style="19" customWidth="1"/>
    <col min="10" max="10" width="9.140625" style="19"/>
    <col min="11" max="11" width="14.42578125" style="19" customWidth="1"/>
    <col min="12" max="12" width="9.140625" style="19"/>
    <col min="13" max="13" width="8.5703125" style="19" customWidth="1"/>
    <col min="14" max="14" width="11.85546875" style="19" customWidth="1"/>
    <col min="15" max="15" width="11.42578125" style="19" customWidth="1"/>
    <col min="16" max="16" width="17.85546875" style="19" customWidth="1"/>
    <col min="17" max="17" width="0.140625" style="19" customWidth="1"/>
    <col min="18" max="18" width="66.5703125" style="115" customWidth="1"/>
  </cols>
  <sheetData>
    <row r="1" spans="1:19" ht="21" x14ac:dyDescent="0.35">
      <c r="A1" s="24" t="s">
        <v>42</v>
      </c>
      <c r="B1" s="24"/>
      <c r="C1" s="24"/>
      <c r="D1" s="24"/>
      <c r="E1" s="24"/>
      <c r="F1" s="24"/>
      <c r="G1" s="24"/>
      <c r="H1" s="24"/>
      <c r="I1" s="24"/>
      <c r="J1" s="24"/>
      <c r="K1" s="24"/>
    </row>
    <row r="2" spans="1:19" ht="15.75" thickBot="1" x14ac:dyDescent="0.3"/>
    <row r="3" spans="1:19" ht="14.85" customHeight="1" thickBot="1" x14ac:dyDescent="0.3">
      <c r="A3" s="539" t="s">
        <v>0</v>
      </c>
      <c r="B3" s="537" t="s">
        <v>1</v>
      </c>
      <c r="C3" s="527" t="s">
        <v>2</v>
      </c>
      <c r="D3" s="541"/>
      <c r="E3" s="542"/>
      <c r="F3" s="543" t="s">
        <v>20</v>
      </c>
      <c r="G3" s="545" t="s">
        <v>111</v>
      </c>
      <c r="H3" s="546"/>
      <c r="I3" s="537" t="s">
        <v>181</v>
      </c>
      <c r="J3" s="560" t="s">
        <v>115</v>
      </c>
      <c r="K3" s="537" t="s">
        <v>182</v>
      </c>
      <c r="L3" s="527" t="s">
        <v>140</v>
      </c>
      <c r="M3" s="542"/>
      <c r="N3" s="537" t="s">
        <v>124</v>
      </c>
      <c r="O3" s="537" t="s">
        <v>123</v>
      </c>
      <c r="P3" s="537" t="s">
        <v>172</v>
      </c>
      <c r="Q3" s="547" t="s">
        <v>9</v>
      </c>
      <c r="R3" s="549" t="s">
        <v>61</v>
      </c>
    </row>
    <row r="4" spans="1:19" ht="75.95" customHeight="1" thickBot="1" x14ac:dyDescent="0.3">
      <c r="A4" s="540"/>
      <c r="B4" s="538"/>
      <c r="C4" s="163" t="s">
        <v>10</v>
      </c>
      <c r="D4" s="164" t="s">
        <v>183</v>
      </c>
      <c r="E4" s="165" t="s">
        <v>44</v>
      </c>
      <c r="F4" s="544"/>
      <c r="G4" s="166" t="s">
        <v>113</v>
      </c>
      <c r="H4" s="166" t="s">
        <v>114</v>
      </c>
      <c r="I4" s="538"/>
      <c r="J4" s="561"/>
      <c r="K4" s="538"/>
      <c r="L4" s="167" t="s">
        <v>126</v>
      </c>
      <c r="M4" s="167" t="s">
        <v>125</v>
      </c>
      <c r="N4" s="538"/>
      <c r="O4" s="538"/>
      <c r="P4" s="538"/>
      <c r="Q4" s="548"/>
      <c r="R4" s="550"/>
    </row>
    <row r="5" spans="1:19" ht="100.5" customHeight="1" x14ac:dyDescent="0.25">
      <c r="A5" s="551" t="s">
        <v>167</v>
      </c>
      <c r="B5" s="554">
        <v>8750000</v>
      </c>
      <c r="C5" s="555" t="s">
        <v>168</v>
      </c>
      <c r="D5" s="554">
        <f>B5</f>
        <v>8750000</v>
      </c>
      <c r="E5" s="557">
        <f>B5+D5</f>
        <v>17500000</v>
      </c>
      <c r="F5" s="558">
        <f>E5</f>
        <v>17500000</v>
      </c>
      <c r="G5" s="79" t="s">
        <v>28</v>
      </c>
      <c r="H5" s="151" t="s">
        <v>169</v>
      </c>
      <c r="I5" s="28" t="s">
        <v>119</v>
      </c>
      <c r="J5" s="28" t="s">
        <v>120</v>
      </c>
      <c r="K5" s="28" t="s">
        <v>162</v>
      </c>
      <c r="L5" s="79">
        <v>26250</v>
      </c>
      <c r="M5" s="79">
        <v>2021</v>
      </c>
      <c r="N5" s="154" t="s">
        <v>47</v>
      </c>
      <c r="O5" s="152">
        <v>26250</v>
      </c>
      <c r="P5" s="152" t="s">
        <v>121</v>
      </c>
      <c r="Q5" s="157" t="s">
        <v>173</v>
      </c>
      <c r="R5" s="120" t="s">
        <v>163</v>
      </c>
      <c r="S5" s="173"/>
    </row>
    <row r="6" spans="1:19" ht="168" customHeight="1" thickBot="1" x14ac:dyDescent="0.3">
      <c r="A6" s="552"/>
      <c r="B6" s="458"/>
      <c r="C6" s="556"/>
      <c r="D6" s="442"/>
      <c r="E6" s="490"/>
      <c r="F6" s="559"/>
      <c r="G6" s="32" t="s">
        <v>118</v>
      </c>
      <c r="H6" s="169" t="s">
        <v>170</v>
      </c>
      <c r="I6" s="32" t="s">
        <v>119</v>
      </c>
      <c r="J6" s="32" t="s">
        <v>120</v>
      </c>
      <c r="K6" s="32" t="s">
        <v>161</v>
      </c>
      <c r="L6" s="146">
        <v>0</v>
      </c>
      <c r="M6" s="146" t="s">
        <v>47</v>
      </c>
      <c r="N6" s="169">
        <v>78</v>
      </c>
      <c r="O6" s="169">
        <v>391</v>
      </c>
      <c r="P6" s="170" t="s">
        <v>121</v>
      </c>
      <c r="Q6" s="158" t="s">
        <v>174</v>
      </c>
      <c r="R6" s="184" t="s">
        <v>188</v>
      </c>
      <c r="S6" s="173"/>
    </row>
    <row r="7" spans="1:19" ht="89.25" customHeight="1" x14ac:dyDescent="0.25">
      <c r="A7" s="553"/>
      <c r="B7" s="490">
        <v>16250000</v>
      </c>
      <c r="C7" s="555" t="s">
        <v>168</v>
      </c>
      <c r="D7" s="554">
        <f>B7</f>
        <v>16250000</v>
      </c>
      <c r="E7" s="557">
        <f>B7+D7</f>
        <v>32500000</v>
      </c>
      <c r="F7" s="570">
        <f>E7</f>
        <v>32500000</v>
      </c>
      <c r="G7" s="108" t="s">
        <v>28</v>
      </c>
      <c r="H7" s="153" t="s">
        <v>169</v>
      </c>
      <c r="I7" s="97" t="s">
        <v>160</v>
      </c>
      <c r="J7" s="97" t="s">
        <v>144</v>
      </c>
      <c r="K7" s="97" t="s">
        <v>162</v>
      </c>
      <c r="L7" s="108">
        <v>50800</v>
      </c>
      <c r="M7" s="108">
        <v>2021</v>
      </c>
      <c r="N7" s="155" t="s">
        <v>47</v>
      </c>
      <c r="O7" s="150">
        <v>50800</v>
      </c>
      <c r="P7" s="177" t="s">
        <v>121</v>
      </c>
      <c r="Q7" s="159" t="s">
        <v>175</v>
      </c>
      <c r="R7" s="178" t="s">
        <v>164</v>
      </c>
      <c r="S7" s="173"/>
    </row>
    <row r="8" spans="1:19" ht="137.25" customHeight="1" thickBot="1" x14ac:dyDescent="0.3">
      <c r="A8" s="553"/>
      <c r="B8" s="490"/>
      <c r="C8" s="556"/>
      <c r="D8" s="442"/>
      <c r="E8" s="490"/>
      <c r="F8" s="559"/>
      <c r="G8" s="32" t="s">
        <v>118</v>
      </c>
      <c r="H8" s="169" t="s">
        <v>170</v>
      </c>
      <c r="I8" s="32" t="s">
        <v>160</v>
      </c>
      <c r="J8" s="32" t="s">
        <v>144</v>
      </c>
      <c r="K8" s="32" t="s">
        <v>161</v>
      </c>
      <c r="L8" s="146">
        <v>0</v>
      </c>
      <c r="M8" s="146" t="s">
        <v>47</v>
      </c>
      <c r="N8" s="169">
        <v>153</v>
      </c>
      <c r="O8" s="169">
        <v>767</v>
      </c>
      <c r="P8" s="169" t="s">
        <v>121</v>
      </c>
      <c r="Q8" s="158" t="s">
        <v>176</v>
      </c>
      <c r="R8" s="183" t="s">
        <v>187</v>
      </c>
      <c r="S8" s="173"/>
    </row>
    <row r="9" spans="1:19" ht="118.5" customHeight="1" x14ac:dyDescent="0.25">
      <c r="A9" s="551" t="s">
        <v>166</v>
      </c>
      <c r="B9" s="557">
        <v>8750000</v>
      </c>
      <c r="C9" s="563" t="s">
        <v>168</v>
      </c>
      <c r="D9" s="565">
        <f>B9</f>
        <v>8750000</v>
      </c>
      <c r="E9" s="567">
        <f>B9+D9</f>
        <v>17500000</v>
      </c>
      <c r="F9" s="570">
        <f>E9</f>
        <v>17500000</v>
      </c>
      <c r="G9" s="108" t="s">
        <v>28</v>
      </c>
      <c r="H9" s="150" t="s">
        <v>169</v>
      </c>
      <c r="I9" s="97" t="s">
        <v>119</v>
      </c>
      <c r="J9" s="97" t="s">
        <v>120</v>
      </c>
      <c r="K9" s="97" t="s">
        <v>162</v>
      </c>
      <c r="L9" s="108">
        <v>28600</v>
      </c>
      <c r="M9" s="108">
        <v>2021</v>
      </c>
      <c r="N9" s="156" t="s">
        <v>47</v>
      </c>
      <c r="O9" s="150">
        <v>28600</v>
      </c>
      <c r="P9" s="150" t="s">
        <v>121</v>
      </c>
      <c r="Q9" s="157" t="s">
        <v>177</v>
      </c>
      <c r="R9" s="176" t="s">
        <v>171</v>
      </c>
      <c r="S9" s="173"/>
    </row>
    <row r="10" spans="1:19" ht="165.75" customHeight="1" thickBot="1" x14ac:dyDescent="0.3">
      <c r="A10" s="552"/>
      <c r="B10" s="458"/>
      <c r="C10" s="564"/>
      <c r="D10" s="566"/>
      <c r="E10" s="568"/>
      <c r="F10" s="559"/>
      <c r="G10" s="96" t="s">
        <v>118</v>
      </c>
      <c r="H10" s="169" t="s">
        <v>170</v>
      </c>
      <c r="I10" s="32" t="s">
        <v>119</v>
      </c>
      <c r="J10" s="32" t="s">
        <v>120</v>
      </c>
      <c r="K10" s="96" t="s">
        <v>161</v>
      </c>
      <c r="L10" s="107">
        <v>0</v>
      </c>
      <c r="M10" s="107" t="s">
        <v>47</v>
      </c>
      <c r="N10" s="170">
        <v>100</v>
      </c>
      <c r="O10" s="170">
        <v>498</v>
      </c>
      <c r="P10" s="170" t="s">
        <v>121</v>
      </c>
      <c r="Q10" s="160" t="s">
        <v>178</v>
      </c>
      <c r="R10" s="175" t="s">
        <v>184</v>
      </c>
    </row>
    <row r="11" spans="1:19" ht="120.75" customHeight="1" x14ac:dyDescent="0.25">
      <c r="A11" s="553"/>
      <c r="B11" s="557">
        <v>16250000</v>
      </c>
      <c r="C11" s="563" t="s">
        <v>168</v>
      </c>
      <c r="D11" s="565">
        <f>B11</f>
        <v>16250000</v>
      </c>
      <c r="E11" s="567">
        <f>B11+D11</f>
        <v>32500000</v>
      </c>
      <c r="F11" s="558">
        <f>E11</f>
        <v>32500000</v>
      </c>
      <c r="G11" s="136" t="s">
        <v>39</v>
      </c>
      <c r="H11" s="150" t="s">
        <v>169</v>
      </c>
      <c r="I11" s="97" t="s">
        <v>160</v>
      </c>
      <c r="J11" s="97" t="s">
        <v>144</v>
      </c>
      <c r="K11" s="148" t="s">
        <v>162</v>
      </c>
      <c r="L11" s="136">
        <v>53104</v>
      </c>
      <c r="M11" s="136">
        <v>2021</v>
      </c>
      <c r="N11" s="154" t="s">
        <v>47</v>
      </c>
      <c r="O11" s="152">
        <v>53104</v>
      </c>
      <c r="P11" s="152" t="s">
        <v>121</v>
      </c>
      <c r="Q11" s="161" t="s">
        <v>179</v>
      </c>
      <c r="R11" s="174" t="s">
        <v>165</v>
      </c>
    </row>
    <row r="12" spans="1:19" ht="213.75" customHeight="1" thickBot="1" x14ac:dyDescent="0.3">
      <c r="A12" s="562"/>
      <c r="B12" s="569"/>
      <c r="C12" s="564"/>
      <c r="D12" s="566"/>
      <c r="E12" s="568"/>
      <c r="F12" s="559"/>
      <c r="G12" s="32" t="s">
        <v>118</v>
      </c>
      <c r="H12" s="169" t="s">
        <v>170</v>
      </c>
      <c r="I12" s="32" t="s">
        <v>160</v>
      </c>
      <c r="J12" s="32" t="s">
        <v>144</v>
      </c>
      <c r="K12" s="96" t="s">
        <v>161</v>
      </c>
      <c r="L12" s="146">
        <v>0</v>
      </c>
      <c r="M12" s="107" t="s">
        <v>47</v>
      </c>
      <c r="N12" s="170">
        <v>185</v>
      </c>
      <c r="O12" s="170">
        <v>925</v>
      </c>
      <c r="P12" s="170" t="s">
        <v>121</v>
      </c>
      <c r="Q12" s="162" t="s">
        <v>180</v>
      </c>
      <c r="R12" s="172" t="s">
        <v>185</v>
      </c>
      <c r="S12" s="173"/>
    </row>
    <row r="13" spans="1:19" ht="130.5" customHeight="1" x14ac:dyDescent="0.25">
      <c r="K13" s="22"/>
      <c r="M13" s="22"/>
      <c r="N13" s="22"/>
      <c r="O13" s="22"/>
      <c r="P13" s="22"/>
      <c r="Q13" s="26"/>
      <c r="R13" s="171"/>
    </row>
    <row r="14" spans="1:19" ht="42" customHeight="1" x14ac:dyDescent="0.25">
      <c r="A14" s="60" t="s">
        <v>143</v>
      </c>
      <c r="B14" s="61" t="s">
        <v>142</v>
      </c>
      <c r="C14" s="60" t="s">
        <v>116</v>
      </c>
      <c r="D14" s="60" t="s">
        <v>140</v>
      </c>
      <c r="E14" s="60" t="s">
        <v>112</v>
      </c>
      <c r="F14" s="60" t="s">
        <v>115</v>
      </c>
      <c r="G14" s="60" t="s">
        <v>141</v>
      </c>
      <c r="H14" s="60" t="s">
        <v>124</v>
      </c>
      <c r="I14" s="60" t="s">
        <v>123</v>
      </c>
    </row>
    <row r="15" spans="1:19" ht="42" customHeight="1" x14ac:dyDescent="0.25">
      <c r="A15" s="28" t="s">
        <v>118</v>
      </c>
      <c r="B15" s="151" t="s">
        <v>170</v>
      </c>
      <c r="C15" s="28" t="s">
        <v>161</v>
      </c>
      <c r="D15" s="20">
        <v>0</v>
      </c>
      <c r="E15" s="28" t="s">
        <v>119</v>
      </c>
      <c r="F15" s="182" t="s">
        <v>120</v>
      </c>
      <c r="G15" s="182" t="s">
        <v>47</v>
      </c>
      <c r="H15" s="180">
        <f>SUM(N6,N10)</f>
        <v>178</v>
      </c>
      <c r="I15" s="180">
        <f>SUM(O6,O10)</f>
        <v>889</v>
      </c>
    </row>
    <row r="16" spans="1:19" ht="54.75" customHeight="1" x14ac:dyDescent="0.25">
      <c r="A16" s="28" t="s">
        <v>118</v>
      </c>
      <c r="B16" s="151" t="s">
        <v>170</v>
      </c>
      <c r="C16" s="28" t="s">
        <v>161</v>
      </c>
      <c r="D16" s="20">
        <v>0</v>
      </c>
      <c r="E16" s="28" t="s">
        <v>160</v>
      </c>
      <c r="F16" s="182" t="s">
        <v>144</v>
      </c>
      <c r="G16" s="182" t="s">
        <v>47</v>
      </c>
      <c r="H16" s="180">
        <f>SUM(N8,N12)</f>
        <v>338</v>
      </c>
      <c r="I16" s="180">
        <f>SUM(O8,O12)</f>
        <v>1692</v>
      </c>
    </row>
    <row r="17" spans="1:9" ht="45.75" customHeight="1" x14ac:dyDescent="0.25">
      <c r="A17" s="20" t="s">
        <v>28</v>
      </c>
      <c r="B17" s="151" t="s">
        <v>169</v>
      </c>
      <c r="C17" s="28" t="s">
        <v>162</v>
      </c>
      <c r="D17" s="181">
        <f>SUM(L5,L9)</f>
        <v>54850</v>
      </c>
      <c r="E17" s="168" t="s">
        <v>186</v>
      </c>
      <c r="F17" s="168" t="s">
        <v>120</v>
      </c>
      <c r="G17" s="27">
        <v>2019</v>
      </c>
      <c r="H17" s="199" t="s">
        <v>47</v>
      </c>
      <c r="I17" s="181">
        <f>SUM(O5,O9)</f>
        <v>54850</v>
      </c>
    </row>
    <row r="18" spans="1:9" ht="55.5" customHeight="1" x14ac:dyDescent="0.25">
      <c r="A18" s="20" t="s">
        <v>28</v>
      </c>
      <c r="B18" s="151" t="s">
        <v>169</v>
      </c>
      <c r="C18" s="28" t="s">
        <v>162</v>
      </c>
      <c r="D18" s="181">
        <f>SUM(L7,L11)</f>
        <v>103904</v>
      </c>
      <c r="E18" s="28" t="s">
        <v>160</v>
      </c>
      <c r="F18" s="182" t="s">
        <v>144</v>
      </c>
      <c r="G18" s="20">
        <v>2019</v>
      </c>
      <c r="H18" s="200" t="s">
        <v>47</v>
      </c>
      <c r="I18" s="180">
        <f>SUM(O7,O11)</f>
        <v>103904</v>
      </c>
    </row>
    <row r="19" spans="1:9" x14ac:dyDescent="0.25">
      <c r="A19" s="179"/>
      <c r="B19" s="33"/>
      <c r="C19" s="21"/>
      <c r="D19" s="21"/>
      <c r="E19" s="21"/>
      <c r="F19" s="21"/>
      <c r="G19" s="21"/>
      <c r="H19" s="21"/>
      <c r="I19" s="21"/>
    </row>
    <row r="20" spans="1:9" x14ac:dyDescent="0.25">
      <c r="A20" s="21"/>
      <c r="B20" s="21"/>
      <c r="C20" s="21"/>
      <c r="D20" s="21"/>
      <c r="E20" s="21"/>
      <c r="F20" s="21"/>
      <c r="G20" s="21"/>
      <c r="H20" s="21"/>
      <c r="I20" s="21"/>
    </row>
    <row r="21" spans="1:9" x14ac:dyDescent="0.25">
      <c r="A21" s="21"/>
      <c r="B21" s="21"/>
      <c r="C21" s="21"/>
      <c r="D21" s="21"/>
      <c r="E21" s="21"/>
      <c r="F21" s="21"/>
      <c r="G21" s="21"/>
      <c r="H21" s="21"/>
      <c r="I21" s="21"/>
    </row>
    <row r="22" spans="1:9" x14ac:dyDescent="0.25">
      <c r="A22" s="21"/>
      <c r="B22" s="21"/>
      <c r="C22" s="21"/>
      <c r="D22" s="21"/>
      <c r="E22" s="21"/>
      <c r="F22" s="21"/>
      <c r="G22" s="21"/>
      <c r="H22" s="21"/>
      <c r="I22" s="21"/>
    </row>
    <row r="23" spans="1:9" x14ac:dyDescent="0.25">
      <c r="A23" s="21"/>
      <c r="B23" s="21"/>
      <c r="C23" s="21"/>
      <c r="D23" s="21"/>
      <c r="E23" s="21"/>
      <c r="F23" s="21"/>
      <c r="G23" s="21"/>
      <c r="H23" s="21"/>
      <c r="I23" s="21"/>
    </row>
  </sheetData>
  <mergeCells count="36">
    <mergeCell ref="F11:F12"/>
    <mergeCell ref="D7:D8"/>
    <mergeCell ref="E7:E8"/>
    <mergeCell ref="F7:F8"/>
    <mergeCell ref="F9:F10"/>
    <mergeCell ref="A9:A12"/>
    <mergeCell ref="B9:B10"/>
    <mergeCell ref="C9:C10"/>
    <mergeCell ref="D9:D10"/>
    <mergeCell ref="E9:E10"/>
    <mergeCell ref="B11:B12"/>
    <mergeCell ref="C11:C12"/>
    <mergeCell ref="D11:D12"/>
    <mergeCell ref="E11:E12"/>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I3:I4"/>
    <mergeCell ref="A3:A4"/>
    <mergeCell ref="B3:B4"/>
    <mergeCell ref="C3:E3"/>
    <mergeCell ref="F3:F4"/>
    <mergeCell ref="G3:H3"/>
  </mergeCells>
  <phoneticPr fontId="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1"/>
  <sheetViews>
    <sheetView zoomScale="75" zoomScaleNormal="75" workbookViewId="0">
      <selection activeCell="C6" sqref="C6:C13"/>
    </sheetView>
  </sheetViews>
  <sheetFormatPr defaultRowHeight="15" x14ac:dyDescent="0.25"/>
  <cols>
    <col min="1" max="1" width="8.7109375" customWidth="1"/>
    <col min="2" max="2" width="21.7109375" customWidth="1"/>
    <col min="3" max="3" width="77.140625" customWidth="1"/>
  </cols>
  <sheetData>
    <row r="3" spans="1:3" ht="15.75" x14ac:dyDescent="0.25">
      <c r="A3" s="279" t="s">
        <v>266</v>
      </c>
      <c r="B3" s="280" t="s">
        <v>267</v>
      </c>
      <c r="C3" s="281" t="s">
        <v>268</v>
      </c>
    </row>
    <row r="4" spans="1:3" ht="15.75" x14ac:dyDescent="0.25">
      <c r="A4" s="279">
        <v>1</v>
      </c>
      <c r="B4" s="280" t="s">
        <v>257</v>
      </c>
      <c r="C4" s="281" t="s">
        <v>269</v>
      </c>
    </row>
    <row r="5" spans="1:3" ht="15.75" x14ac:dyDescent="0.25">
      <c r="A5" s="279">
        <f>A4+1</f>
        <v>2</v>
      </c>
      <c r="B5" s="280" t="s">
        <v>258</v>
      </c>
      <c r="C5" s="281" t="s">
        <v>264</v>
      </c>
    </row>
    <row r="6" spans="1:3" ht="15.75" x14ac:dyDescent="0.25">
      <c r="A6" s="279">
        <f t="shared" ref="A6:A21" si="0">A5+1</f>
        <v>3</v>
      </c>
      <c r="B6" s="280" t="s">
        <v>116</v>
      </c>
      <c r="C6" s="287" t="s">
        <v>256</v>
      </c>
    </row>
    <row r="7" spans="1:3" ht="15.75" x14ac:dyDescent="0.25">
      <c r="A7" s="279">
        <f t="shared" si="0"/>
        <v>4</v>
      </c>
      <c r="B7" s="280" t="s">
        <v>270</v>
      </c>
      <c r="C7" s="288" t="s">
        <v>271</v>
      </c>
    </row>
    <row r="8" spans="1:3" ht="15.75" x14ac:dyDescent="0.25">
      <c r="A8" s="279">
        <f t="shared" si="0"/>
        <v>5</v>
      </c>
      <c r="B8" s="280" t="s">
        <v>140</v>
      </c>
      <c r="C8" s="289">
        <v>0</v>
      </c>
    </row>
    <row r="9" spans="1:3" ht="15.75" x14ac:dyDescent="0.25">
      <c r="A9" s="279">
        <f t="shared" si="0"/>
        <v>6</v>
      </c>
      <c r="B9" s="280" t="s">
        <v>124</v>
      </c>
      <c r="C9" s="288" t="s">
        <v>272</v>
      </c>
    </row>
    <row r="10" spans="1:3" ht="15.75" x14ac:dyDescent="0.25">
      <c r="A10" s="279">
        <f t="shared" si="0"/>
        <v>7</v>
      </c>
      <c r="B10" s="280" t="s">
        <v>123</v>
      </c>
      <c r="C10" s="288" t="s">
        <v>273</v>
      </c>
    </row>
    <row r="11" spans="1:3" ht="15.75" x14ac:dyDescent="0.25">
      <c r="A11" s="279">
        <f t="shared" si="0"/>
        <v>8</v>
      </c>
      <c r="B11" s="280" t="s">
        <v>274</v>
      </c>
      <c r="C11" s="290" t="s">
        <v>275</v>
      </c>
    </row>
    <row r="12" spans="1:3" ht="15.75" x14ac:dyDescent="0.25">
      <c r="A12" s="279">
        <f t="shared" si="0"/>
        <v>9</v>
      </c>
      <c r="B12" s="280" t="s">
        <v>276</v>
      </c>
      <c r="C12" s="291" t="s">
        <v>277</v>
      </c>
    </row>
    <row r="13" spans="1:3" ht="94.5" x14ac:dyDescent="0.25">
      <c r="A13" s="279">
        <f t="shared" si="0"/>
        <v>10</v>
      </c>
      <c r="B13" s="280" t="s">
        <v>278</v>
      </c>
      <c r="C13" s="291" t="s">
        <v>290</v>
      </c>
    </row>
    <row r="14" spans="1:3" ht="15.75" x14ac:dyDescent="0.25">
      <c r="A14" s="279">
        <f t="shared" si="0"/>
        <v>11</v>
      </c>
      <c r="B14" s="280" t="s">
        <v>279</v>
      </c>
      <c r="C14" s="281" t="s">
        <v>121</v>
      </c>
    </row>
    <row r="15" spans="1:3" ht="31.5" x14ac:dyDescent="0.25">
      <c r="A15" s="279">
        <f t="shared" si="0"/>
        <v>12</v>
      </c>
      <c r="B15" s="280" t="s">
        <v>280</v>
      </c>
      <c r="C15" s="282" t="s">
        <v>281</v>
      </c>
    </row>
    <row r="16" spans="1:3" ht="15.75" x14ac:dyDescent="0.25">
      <c r="A16" s="279">
        <f t="shared" si="0"/>
        <v>13</v>
      </c>
      <c r="B16" s="280" t="s">
        <v>282</v>
      </c>
      <c r="C16" s="281"/>
    </row>
    <row r="17" spans="1:3" ht="15.75" x14ac:dyDescent="0.25">
      <c r="A17" s="279">
        <f t="shared" si="0"/>
        <v>14</v>
      </c>
      <c r="B17" s="280" t="s">
        <v>283</v>
      </c>
      <c r="C17" s="281"/>
    </row>
    <row r="18" spans="1:3" ht="15.75" x14ac:dyDescent="0.25">
      <c r="A18" s="279">
        <f t="shared" si="0"/>
        <v>15</v>
      </c>
      <c r="B18" s="280" t="s">
        <v>284</v>
      </c>
      <c r="C18" s="283"/>
    </row>
    <row r="19" spans="1:3" ht="31.5" x14ac:dyDescent="0.25">
      <c r="A19" s="279">
        <f t="shared" si="0"/>
        <v>16</v>
      </c>
      <c r="B19" s="280" t="s">
        <v>285</v>
      </c>
      <c r="C19" s="281"/>
    </row>
    <row r="20" spans="1:3" ht="15.75" x14ac:dyDescent="0.25">
      <c r="A20" s="279">
        <f>A19+1</f>
        <v>17</v>
      </c>
      <c r="B20" s="280" t="s">
        <v>286</v>
      </c>
      <c r="C20" s="281"/>
    </row>
    <row r="21" spans="1:3" ht="15.75" x14ac:dyDescent="0.25">
      <c r="A21" s="279">
        <f t="shared" si="0"/>
        <v>18</v>
      </c>
      <c r="B21" s="280" t="s">
        <v>287</v>
      </c>
      <c r="C21" s="28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50B916-2488-43D2-8BF8-930DBC63F1D7}">
  <ds:schemaRefs>
    <ds:schemaRef ds:uri="http://schemas.microsoft.com/office/2006/metadata/properties"/>
    <ds:schemaRef ds:uri="http://purl.org/dc/terms/"/>
    <ds:schemaRef ds:uri="http://schemas.microsoft.com/office/2006/documentManagement/types"/>
    <ds:schemaRef ds:uri="d2426d7b-0fc7-434c-bfb8-842f1e3498f8"/>
    <ds:schemaRef ds:uri="http://schemas.openxmlformats.org/package/2006/metadata/core-properties"/>
    <ds:schemaRef ds:uri="http://purl.org/dc/elements/1.1/"/>
    <ds:schemaRef ds:uri="http://schemas.microsoft.com/office/infopath/2007/PartnerControls"/>
    <ds:schemaRef ds:uri="7e1cde7d-1d3d-42a6-b142-3e8b75033348"/>
    <ds:schemaRef ds:uri="http://www.w3.org/XML/1998/namespace"/>
    <ds:schemaRef ds:uri="http://purl.org/dc/dcmitype/"/>
  </ds:schemaRefs>
</ds:datastoreItem>
</file>

<file path=customXml/itemProps2.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328FB-344B-49E6-80F0-5AD1B8E393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2PO 2.1 (e)</vt:lpstr>
      <vt:lpstr>2PO 2.1 (eng)</vt:lpstr>
      <vt:lpstr>2PO 2.2 (eng)</vt:lpstr>
      <vt:lpstr>2PO 2.3</vt:lpstr>
      <vt:lpstr>2PO 2.3 (eng)</vt:lpstr>
      <vt:lpstr>F 2.3.1 Specific result</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