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60" yWindow="-15870" windowWidth="23280" windowHeight="13200" firstSheet="4" activeTab="4"/>
  </bookViews>
  <sheets>
    <sheet name="Intervencijų lėšos (2)" sheetId="17" state="hidden" r:id="rId1"/>
    <sheet name="2PO 2.2" sheetId="6" state="hidden" r:id="rId2"/>
    <sheet name="2PO 2.8" sheetId="12" state="hidden" r:id="rId3"/>
    <sheet name="3PO 3.1" sheetId="13" state="hidden" r:id="rId4"/>
    <sheet name="3.2" sheetId="15" r:id="rId5"/>
    <sheet name="5PO" sheetId="18" state="hidden" r:id="rId6"/>
    <sheet name="F Specific output 3.2.1 (1)" sheetId="19" r:id="rId7"/>
    <sheet name="F Specific result 3.2.1 (1)" sheetId="20" r:id="rId8"/>
    <sheet name="F Specific result 3.2.2 (1)" sheetId="21" r:id="rId9"/>
  </sheets>
  <externalReferences>
    <externalReference r:id="rId10"/>
  </externalReferences>
  <definedNames>
    <definedName name="_Hlk74169015" localSheetId="6">'F Specific output 3.2.1 (1)'!$A$1</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1" i="15" l="1"/>
  <c r="D20" i="15"/>
  <c r="C21" i="15"/>
  <c r="C20" i="15"/>
  <c r="I21" i="15"/>
  <c r="E6" i="15"/>
  <c r="F6" i="15" s="1"/>
  <c r="G12" i="15" l="1"/>
  <c r="G6" i="15"/>
  <c r="B14" i="15" l="1"/>
  <c r="E14" i="15"/>
  <c r="F14" i="15" s="1"/>
  <c r="H21" i="15"/>
  <c r="I20" i="15"/>
  <c r="H20" i="15"/>
  <c r="B21" i="15"/>
  <c r="A21" i="15"/>
  <c r="B20" i="15"/>
  <c r="A20" i="15"/>
  <c r="P16" i="15"/>
  <c r="G28" i="15" l="1"/>
  <c r="G27" i="15"/>
  <c r="G26" i="15"/>
  <c r="H26" i="15"/>
  <c r="G25" i="15"/>
  <c r="G24" i="15"/>
  <c r="G23" i="15"/>
  <c r="G22" i="15"/>
  <c r="M16" i="15" l="1"/>
  <c r="C27" i="15" l="1"/>
  <c r="C28" i="15"/>
  <c r="B28" i="15"/>
  <c r="A28" i="15"/>
  <c r="B27" i="15"/>
  <c r="A27" i="15"/>
  <c r="C26" i="15"/>
  <c r="B26" i="15"/>
  <c r="A26" i="15"/>
  <c r="C25" i="15"/>
  <c r="B25" i="15"/>
  <c r="A25" i="15"/>
  <c r="B24" i="15"/>
  <c r="A24" i="15"/>
  <c r="C23" i="15"/>
  <c r="B23" i="15"/>
  <c r="A23" i="15"/>
  <c r="C22" i="15"/>
  <c r="B22" i="15"/>
  <c r="A22" i="15"/>
  <c r="C16" i="15" l="1"/>
  <c r="D24" i="15" l="1"/>
  <c r="D23" i="15"/>
  <c r="D22" i="15"/>
  <c r="H18" i="18" l="1"/>
  <c r="C18" i="18"/>
  <c r="I17" i="18"/>
  <c r="F17" i="18"/>
  <c r="E17" i="18"/>
  <c r="D17" i="18"/>
  <c r="C12" i="18"/>
  <c r="P10" i="18"/>
  <c r="I18" i="18" s="1"/>
  <c r="M10" i="18"/>
  <c r="D18" i="18" s="1"/>
  <c r="O9" i="18"/>
  <c r="H17" i="18" s="1"/>
  <c r="E9" i="18"/>
  <c r="F9" i="18" s="1"/>
  <c r="G9" i="18" s="1"/>
  <c r="C7" i="18"/>
  <c r="C13" i="18"/>
  <c r="P12" i="12"/>
  <c r="P11" i="12"/>
  <c r="E7" i="18" l="1"/>
  <c r="F7" i="18" s="1"/>
  <c r="G7" i="18" s="1"/>
  <c r="C11" i="18"/>
  <c r="B9" i="18"/>
  <c r="M44" i="6" l="1"/>
  <c r="M42" i="6"/>
  <c r="P42" i="6"/>
  <c r="P44" i="6"/>
  <c r="J3" i="17"/>
  <c r="P11" i="13" l="1"/>
  <c r="P10" i="13"/>
  <c r="P27" i="13"/>
  <c r="P29" i="13" s="1"/>
  <c r="P26" i="13"/>
  <c r="P28" i="13" s="1"/>
  <c r="P19" i="13"/>
  <c r="P18" i="13"/>
  <c r="E26" i="13"/>
  <c r="E18" i="13"/>
  <c r="E10" i="13"/>
  <c r="I55" i="13" l="1"/>
  <c r="I54" i="13"/>
  <c r="I87" i="6"/>
  <c r="D86" i="6"/>
  <c r="I86" i="6"/>
  <c r="C43" i="6" l="1"/>
  <c r="C41" i="6"/>
  <c r="C7" i="12" l="1"/>
  <c r="C15" i="12" s="1"/>
  <c r="C47" i="6" l="1"/>
  <c r="C45" i="6"/>
  <c r="C67" i="6" s="1"/>
  <c r="J32" i="17"/>
  <c r="J31" i="17"/>
  <c r="J30" i="17"/>
  <c r="I5" i="17"/>
  <c r="P5" i="17" s="1"/>
  <c r="J19" i="17"/>
  <c r="I3" i="17"/>
  <c r="P4" i="17" s="1"/>
  <c r="I4" i="17"/>
  <c r="I7" i="17"/>
  <c r="I9" i="17"/>
  <c r="P20" i="17" s="1"/>
  <c r="I13" i="17"/>
  <c r="I15" i="17"/>
  <c r="I17" i="17"/>
  <c r="J17" i="17" s="1"/>
  <c r="I18" i="17"/>
  <c r="J18" i="17" s="1"/>
  <c r="S18" i="17"/>
  <c r="I19" i="17"/>
  <c r="S19" i="17"/>
  <c r="T19" i="17"/>
  <c r="I24" i="17"/>
  <c r="J24" i="17" s="1"/>
  <c r="I25" i="17"/>
  <c r="N25" i="17"/>
  <c r="N27" i="17"/>
  <c r="H30" i="17"/>
  <c r="H31" i="17"/>
  <c r="H32" i="17"/>
  <c r="H33" i="17"/>
  <c r="H38" i="17"/>
  <c r="H47" i="17" s="1"/>
  <c r="H39" i="17"/>
  <c r="H40" i="17"/>
  <c r="H42" i="17"/>
  <c r="H43" i="17"/>
  <c r="H50" i="17" s="1"/>
  <c r="H44" i="17"/>
  <c r="H45" i="17"/>
  <c r="K30" i="17" l="1"/>
  <c r="I30" i="17"/>
  <c r="H49" i="17"/>
  <c r="I33" i="17"/>
  <c r="H48" i="17"/>
  <c r="J33" i="17"/>
  <c r="K32" i="17" s="1"/>
  <c r="K34" i="17" s="1"/>
  <c r="I31" i="17"/>
  <c r="N18" i="17"/>
  <c r="I32" i="17"/>
  <c r="P21" i="17"/>
  <c r="I34" i="17" l="1"/>
  <c r="J34" i="17"/>
  <c r="P7" i="12" l="1"/>
  <c r="C33" i="13" l="1"/>
  <c r="C32" i="13"/>
  <c r="C34" i="13" s="1"/>
  <c r="I21" i="12"/>
  <c r="H25" i="12" l="1"/>
  <c r="M7" i="12" l="1"/>
  <c r="O10" i="12" l="1"/>
  <c r="I57" i="13"/>
  <c r="O27" i="13"/>
  <c r="O26" i="13"/>
  <c r="P25" i="13"/>
  <c r="P24" i="13"/>
  <c r="O23" i="13"/>
  <c r="O22" i="13"/>
  <c r="P21" i="13"/>
  <c r="P20" i="13"/>
  <c r="O19" i="13"/>
  <c r="O18" i="13"/>
  <c r="P17" i="13" l="1"/>
  <c r="P16" i="13"/>
  <c r="O14" i="13"/>
  <c r="O15" i="13"/>
  <c r="P13" i="13"/>
  <c r="I61" i="13" s="1"/>
  <c r="P12" i="13"/>
  <c r="I59" i="13" s="1"/>
  <c r="O11" i="13"/>
  <c r="H57" i="13" s="1"/>
  <c r="O10" i="13"/>
  <c r="H55" i="13" s="1"/>
  <c r="O7" i="13" l="1"/>
  <c r="O6" i="13"/>
  <c r="H54" i="13" s="1"/>
  <c r="D26" i="15" l="1"/>
  <c r="P8" i="13" l="1"/>
  <c r="P9" i="13"/>
  <c r="I60" i="13" s="1"/>
  <c r="F13" i="6" l="1"/>
  <c r="I91" i="6"/>
  <c r="I90" i="6"/>
  <c r="D87" i="6"/>
  <c r="H90" i="6"/>
  <c r="E47" i="6" l="1"/>
  <c r="F47" i="6" s="1"/>
  <c r="G47" i="6" s="1"/>
  <c r="B47" i="6" l="1"/>
  <c r="E43" i="6"/>
  <c r="H28" i="15" l="1"/>
  <c r="I28" i="15"/>
  <c r="D28" i="15"/>
  <c r="D27" i="15"/>
  <c r="I26" i="15"/>
  <c r="D25" i="15"/>
  <c r="H24" i="15"/>
  <c r="I24" i="15"/>
  <c r="C24" i="15"/>
  <c r="H23" i="15"/>
  <c r="I23" i="15"/>
  <c r="D29" i="15" l="1"/>
  <c r="D61" i="13"/>
  <c r="D60" i="13"/>
  <c r="D59" i="13"/>
  <c r="I58" i="13"/>
  <c r="D58" i="13"/>
  <c r="D57" i="13"/>
  <c r="I56" i="13"/>
  <c r="H56" i="13"/>
  <c r="D56" i="13"/>
  <c r="D55" i="13"/>
  <c r="D54" i="13"/>
  <c r="I25" i="12"/>
  <c r="D25" i="12"/>
  <c r="I24" i="12"/>
  <c r="H24" i="12"/>
  <c r="D24" i="12"/>
  <c r="D21" i="12"/>
  <c r="H91" i="6"/>
  <c r="E10" i="12" l="1"/>
  <c r="E48" i="13" l="1"/>
  <c r="F44" i="13"/>
  <c r="F42" i="13"/>
  <c r="E16" i="15"/>
  <c r="F26" i="13"/>
  <c r="E22" i="13"/>
  <c r="F22" i="13" s="1"/>
  <c r="G22" i="13" s="1"/>
  <c r="F18" i="13"/>
  <c r="G18" i="13" s="1"/>
  <c r="F10" i="13"/>
  <c r="E6" i="13"/>
  <c r="F6" i="13" s="1"/>
  <c r="G6" i="13" s="1"/>
  <c r="C30" i="13"/>
  <c r="C68" i="6"/>
  <c r="C17" i="12"/>
  <c r="B6" i="13" l="1"/>
  <c r="G10" i="13"/>
  <c r="B10" i="13"/>
  <c r="D42" i="13"/>
  <c r="G42" i="13" s="1"/>
  <c r="D44" i="13"/>
  <c r="G26" i="13"/>
  <c r="B26" i="13"/>
  <c r="E14" i="13"/>
  <c r="F14" i="13" s="1"/>
  <c r="B22" i="13"/>
  <c r="B18" i="13"/>
  <c r="G14" i="15"/>
  <c r="F16" i="15" l="1"/>
  <c r="O14" i="15"/>
  <c r="H27" i="15" s="1"/>
  <c r="I27" i="15"/>
  <c r="G14" i="13"/>
  <c r="B14" i="13"/>
  <c r="I25" i="15" l="1"/>
  <c r="O12" i="15"/>
  <c r="H25" i="15" s="1"/>
  <c r="G16" i="15"/>
  <c r="I22" i="15"/>
  <c r="O6" i="15"/>
  <c r="E7" i="12"/>
  <c r="F7" i="12" s="1"/>
  <c r="G7" i="12" s="1"/>
  <c r="P9" i="12" s="1"/>
  <c r="C13" i="12"/>
  <c r="F10" i="12"/>
  <c r="G10" i="12" s="1"/>
  <c r="I29" i="15" l="1"/>
  <c r="J29" i="15" s="1"/>
  <c r="O16" i="15"/>
  <c r="H22" i="15"/>
  <c r="H29" i="15" s="1"/>
  <c r="P8" i="12"/>
  <c r="B7" i="12"/>
  <c r="B10" i="12"/>
  <c r="E13" i="12"/>
  <c r="F13" i="12" s="1"/>
  <c r="G13" i="12" s="1"/>
  <c r="E45" i="6"/>
  <c r="E41" i="6"/>
  <c r="F35" i="6"/>
  <c r="O8" i="12" l="1"/>
  <c r="H22" i="12" s="1"/>
  <c r="I22" i="12"/>
  <c r="O9" i="12"/>
  <c r="H23" i="12" s="1"/>
  <c r="I23" i="12"/>
  <c r="F45" i="6"/>
  <c r="F41" i="6"/>
  <c r="F43" i="6"/>
  <c r="G43" i="6" l="1"/>
  <c r="P43" i="6" s="1"/>
  <c r="B43" i="6"/>
  <c r="G41" i="6"/>
  <c r="P41" i="6" s="1"/>
  <c r="B41" i="6"/>
  <c r="G45" i="6"/>
  <c r="B45" i="6"/>
  <c r="O43" i="6" l="1"/>
  <c r="H89" i="6" s="1"/>
  <c r="I89" i="6"/>
  <c r="I88" i="6"/>
  <c r="O41" i="6"/>
  <c r="H88" i="6" s="1"/>
  <c r="C50" i="13"/>
  <c r="C48" i="13"/>
  <c r="C45" i="13"/>
  <c r="C42" i="13"/>
  <c r="F65" i="6" l="1"/>
  <c r="F61" i="6"/>
  <c r="F57" i="6"/>
  <c r="F53" i="6"/>
  <c r="F49" i="6"/>
  <c r="F31" i="6"/>
  <c r="F27" i="6"/>
  <c r="F23" i="6"/>
  <c r="F18" i="6"/>
</calcChain>
</file>

<file path=xl/comments1.xml><?xml version="1.0" encoding="utf-8"?>
<comments xmlns="http://schemas.openxmlformats.org/spreadsheetml/2006/main">
  <authors>
    <author>Autorius</author>
  </authors>
  <commentList>
    <comment ref="I3"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Minusuojama, nes į 2 prioritetą grįžo dviračių infrastruktūra iš ERPF</t>
        </r>
      </text>
    </comment>
    <comment ref="J3"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nuo dvirašių takų infrastruktūros, kurie iškelti į 5PO</t>
        </r>
      </text>
    </comment>
    <comment ref="I6"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pridedam prie autobusų intervencijos, nes įkrovimo stotelės bus įrengiamos pagal poreikį.</t>
        </r>
      </text>
    </comment>
    <comment ref="J8" authorId="0">
      <text>
        <r>
          <rPr>
            <b/>
            <sz val="9"/>
            <color indexed="81"/>
            <rFont val="Tahoma"/>
            <family val="2"/>
            <charset val="186"/>
          </rPr>
          <t>Autorius:</t>
        </r>
        <r>
          <rPr>
            <sz val="9"/>
            <color indexed="81"/>
            <rFont val="Tahoma"/>
            <family val="2"/>
            <charset val="186"/>
          </rPr>
          <t xml:space="preserve">
Iškeliama į 5PO - 2020-12-10</t>
        </r>
      </text>
    </comment>
    <comment ref="I9"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iš 052 intervencijos</t>
        </r>
      </text>
    </comment>
    <comment ref="J9"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"Plačiajuostis internetas" skaičiuodamas reikšmes paskaidė</t>
        </r>
      </text>
    </comment>
    <comment ref="I17"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2 mln. pridęėta iš dviračių infrastruktūros. žr. wordinį lėšų paskirstymo failą 2020-10-05 su komentarais</t>
        </r>
      </text>
    </comment>
    <comment ref="I25"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Pridedama 10 mln LKAD dvitačių infrastruktūrai už miesto ribų. Atskiros veiklos nebus</t>
        </r>
      </text>
    </comment>
  </commentList>
</comments>
</file>

<file path=xl/comments2.xml><?xml version="1.0" encoding="utf-8"?>
<comments xmlns="http://schemas.openxmlformats.org/spreadsheetml/2006/main">
  <authors>
    <author>Autorius</author>
  </authors>
  <commentList>
    <comment ref="C13" authorId="0">
      <text>
        <r>
          <rPr>
            <b/>
            <sz val="9"/>
            <color indexed="81"/>
            <rFont val="Tahoma"/>
            <family val="2"/>
            <charset val="186"/>
          </rPr>
          <t>Autorius:</t>
        </r>
        <r>
          <rPr>
            <sz val="9"/>
            <color indexed="81"/>
            <rFont val="Tahoma"/>
            <family val="2"/>
            <charset val="186"/>
          </rPr>
          <t xml:space="preserve">
išskirkit kiekvienam intervencijos kodui</t>
        </r>
      </text>
    </comment>
    <comment ref="C23" authorId="0">
      <text>
        <r>
          <rPr>
            <b/>
            <sz val="9"/>
            <color indexed="81"/>
            <rFont val="Tahoma"/>
            <family val="2"/>
            <charset val="186"/>
          </rPr>
          <t>Autorius:</t>
        </r>
        <r>
          <rPr>
            <sz val="9"/>
            <color indexed="81"/>
            <rFont val="Tahoma"/>
            <family val="2"/>
            <charset val="186"/>
          </rPr>
          <t xml:space="preserve">
išskirkit kiekvienam intervencijos kodui</t>
        </r>
      </text>
    </comment>
    <comment ref="D23" authorId="0">
      <text>
        <r>
          <rPr>
            <b/>
            <sz val="9"/>
            <color indexed="81"/>
            <rFont val="Tahoma"/>
            <family val="2"/>
            <charset val="186"/>
          </rPr>
          <t>Autorius:</t>
        </r>
        <r>
          <rPr>
            <sz val="9"/>
            <color indexed="81"/>
            <rFont val="Tahoma"/>
            <family val="2"/>
            <charset val="186"/>
          </rPr>
          <t xml:space="preserve">
EK siūlo tik 2.1 uždaviniui</t>
        </r>
      </text>
    </comment>
    <comment ref="C35" authorId="0">
      <text>
        <r>
          <rPr>
            <b/>
            <sz val="9"/>
            <color indexed="81"/>
            <rFont val="Tahoma"/>
            <family val="2"/>
            <charset val="186"/>
          </rPr>
          <t>Autorius:</t>
        </r>
        <r>
          <rPr>
            <sz val="9"/>
            <color indexed="81"/>
            <rFont val="Tahoma"/>
            <family val="2"/>
            <charset val="186"/>
          </rPr>
          <t xml:space="preserve">
išskirkit kiekvienam intervencijos kodui</t>
        </r>
      </text>
    </comment>
    <comment ref="D41" authorId="0">
      <text>
        <r>
          <rPr>
            <b/>
            <sz val="9"/>
            <color indexed="81"/>
            <rFont val="Tahoma"/>
            <family val="2"/>
            <charset val="186"/>
          </rPr>
          <t>Autorius:</t>
        </r>
        <r>
          <rPr>
            <sz val="9"/>
            <color indexed="81"/>
            <rFont val="Tahoma"/>
            <family val="2"/>
            <charset val="186"/>
          </rPr>
          <t xml:space="preserve">
EK siulo 2.2 uzdav. Naudoti 28-32 intervencijos kodus.
</t>
        </r>
        <r>
          <rPr>
            <b/>
            <sz val="9"/>
            <color indexed="81"/>
            <rFont val="Tahoma"/>
            <family val="2"/>
            <charset val="186"/>
          </rPr>
          <t>Vaida Kazlauskienė:</t>
        </r>
        <r>
          <rPr>
            <sz val="9"/>
            <color indexed="81"/>
            <rFont val="Tahoma"/>
            <family val="2"/>
            <charset val="186"/>
          </rPr>
          <t xml:space="preserve"> netinka mums kiti kodai.</t>
        </r>
      </text>
    </comment>
    <comment ref="N41" authorId="0">
      <text>
        <r>
          <rPr>
            <b/>
            <sz val="9"/>
            <color indexed="81"/>
            <rFont val="Tahoma"/>
            <family val="2"/>
            <charset val="186"/>
          </rPr>
          <t>Autorius:</t>
        </r>
        <r>
          <rPr>
            <sz val="9"/>
            <color indexed="81"/>
            <rFont val="Tahoma"/>
            <family val="2"/>
            <charset val="186"/>
          </rPr>
          <t xml:space="preserve">
n/a produkto rodikliams</t>
        </r>
      </text>
    </comment>
    <comment ref="I42" authorId="0">
      <text>
        <r>
          <rPr>
            <b/>
            <sz val="9"/>
            <color indexed="81"/>
            <rFont val="Tahoma"/>
            <family val="2"/>
            <charset val="186"/>
          </rPr>
          <t>Autorius:</t>
        </r>
        <r>
          <rPr>
            <sz val="9"/>
            <color indexed="81"/>
            <rFont val="Tahoma"/>
            <family val="2"/>
            <charset val="186"/>
          </rPr>
          <t xml:space="preserve">
angliskai</t>
        </r>
      </text>
    </comment>
    <comment ref="J43" authorId="0">
      <text>
        <r>
          <rPr>
            <b/>
            <sz val="9"/>
            <color indexed="81"/>
            <rFont val="Tahoma"/>
            <family val="2"/>
            <charset val="186"/>
          </rPr>
          <t>Autorius:</t>
        </r>
        <r>
          <rPr>
            <sz val="9"/>
            <color indexed="81"/>
            <rFont val="Tahoma"/>
            <family val="2"/>
            <charset val="186"/>
          </rPr>
          <t xml:space="preserve">
Ar tikrai VVL? Nes ten, kur yra intervenciju lesos yra Visa Lietuva
</t>
        </r>
        <r>
          <rPr>
            <b/>
            <sz val="9"/>
            <color indexed="81"/>
            <rFont val="Tahoma"/>
            <family val="2"/>
            <charset val="186"/>
          </rPr>
          <t xml:space="preserve">Vaida Kazlauskienė: </t>
        </r>
        <r>
          <rPr>
            <sz val="9"/>
            <color indexed="81"/>
            <rFont val="Tahoma"/>
            <family val="2"/>
            <charset val="186"/>
          </rPr>
          <t>patikslinta</t>
        </r>
      </text>
    </comment>
    <comment ref="I44" authorId="0">
      <text>
        <r>
          <rPr>
            <b/>
            <sz val="9"/>
            <color indexed="81"/>
            <rFont val="Tahoma"/>
            <family val="2"/>
            <charset val="186"/>
          </rPr>
          <t>Autorius:</t>
        </r>
        <r>
          <rPr>
            <sz val="9"/>
            <color indexed="81"/>
            <rFont val="Tahoma"/>
            <family val="2"/>
            <charset val="186"/>
          </rPr>
          <t xml:space="preserve">
angliskai</t>
        </r>
      </text>
    </comment>
    <comment ref="D45" authorId="0">
      <text>
        <r>
          <rPr>
            <b/>
            <sz val="9"/>
            <color indexed="81"/>
            <rFont val="Tahoma"/>
            <family val="2"/>
            <charset val="186"/>
          </rPr>
          <t>Autorius:</t>
        </r>
        <r>
          <rPr>
            <sz val="9"/>
            <color indexed="81"/>
            <rFont val="Tahoma"/>
            <family val="2"/>
            <charset val="186"/>
          </rPr>
          <t xml:space="preserve">
EK siulo 2.2 uzdav. Naudoti 28-32 intervencijos kodus.
</t>
        </r>
        <r>
          <rPr>
            <b/>
            <sz val="9"/>
            <color indexed="81"/>
            <rFont val="Tahoma"/>
            <family val="2"/>
            <charset val="186"/>
          </rPr>
          <t>Vaida Kazlauskienė</t>
        </r>
        <r>
          <rPr>
            <sz val="9"/>
            <color indexed="81"/>
            <rFont val="Tahoma"/>
            <family val="2"/>
            <charset val="186"/>
          </rPr>
          <t xml:space="preserve">: netinka mums kiti kodai.
</t>
        </r>
      </text>
    </comment>
    <comment ref="I45" authorId="0">
      <text>
        <r>
          <rPr>
            <b/>
            <sz val="9"/>
            <color indexed="81"/>
            <rFont val="Tahoma"/>
            <family val="2"/>
            <charset val="186"/>
          </rPr>
          <t>Autorius:</t>
        </r>
        <r>
          <rPr>
            <sz val="9"/>
            <color indexed="81"/>
            <rFont val="Tahoma"/>
            <family val="2"/>
            <charset val="186"/>
          </rPr>
          <t xml:space="preserve">
angliskai</t>
        </r>
      </text>
    </comment>
    <comment ref="K45" authorId="0">
      <text>
        <r>
          <rPr>
            <b/>
            <sz val="9"/>
            <color indexed="81"/>
            <rFont val="Tahoma"/>
            <family val="2"/>
            <charset val="186"/>
          </rPr>
          <t>Autorius:</t>
        </r>
        <r>
          <rPr>
            <sz val="9"/>
            <color indexed="81"/>
            <rFont val="Tahoma"/>
            <family val="2"/>
            <charset val="186"/>
          </rPr>
          <t xml:space="preserve">
Ar tikrai ERPFL? Nes ten, kur yra intervenciju lesos yra SaF
</t>
        </r>
        <r>
          <rPr>
            <b/>
            <sz val="9"/>
            <color indexed="81"/>
            <rFont val="Tahoma"/>
            <family val="2"/>
            <charset val="186"/>
          </rPr>
          <t xml:space="preserve">Vaida Kazlauskienė: </t>
        </r>
        <r>
          <rPr>
            <sz val="9"/>
            <color indexed="81"/>
            <rFont val="Tahoma"/>
            <family val="2"/>
            <charset val="186"/>
          </rPr>
          <t>patikslinta.</t>
        </r>
      </text>
    </comment>
    <comment ref="H46" authorId="0">
      <text>
        <r>
          <rPr>
            <b/>
            <sz val="9"/>
            <color indexed="81"/>
            <rFont val="Tahoma"/>
            <family val="2"/>
            <charset val="186"/>
          </rPr>
          <t>Autorius:</t>
        </r>
        <r>
          <rPr>
            <sz val="9"/>
            <color indexed="81"/>
            <rFont val="Tahoma"/>
            <family val="2"/>
            <charset val="186"/>
          </rPr>
          <t xml:space="preserve">
produkto?</t>
        </r>
      </text>
    </comment>
    <comment ref="I47" authorId="0">
      <text>
        <r>
          <rPr>
            <b/>
            <sz val="9"/>
            <color indexed="81"/>
            <rFont val="Tahoma"/>
            <family val="2"/>
            <charset val="186"/>
          </rPr>
          <t>Autorius:</t>
        </r>
        <r>
          <rPr>
            <sz val="9"/>
            <color indexed="81"/>
            <rFont val="Tahoma"/>
            <family val="2"/>
            <charset val="186"/>
          </rPr>
          <t xml:space="preserve">
angliskai</t>
        </r>
      </text>
    </comment>
    <comment ref="J47" authorId="0">
      <text>
        <r>
          <rPr>
            <b/>
            <sz val="9"/>
            <color indexed="81"/>
            <rFont val="Tahoma"/>
            <family val="2"/>
            <charset val="186"/>
          </rPr>
          <t>Autorius:</t>
        </r>
        <r>
          <rPr>
            <sz val="9"/>
            <color indexed="81"/>
            <rFont val="Tahoma"/>
            <family val="2"/>
            <charset val="186"/>
          </rPr>
          <t xml:space="preserve">
Ar tikrai VVL? Nes ten, kur yra intervenciju lesos yra Visa Lietuva
</t>
        </r>
        <r>
          <rPr>
            <b/>
            <sz val="9"/>
            <color indexed="81"/>
            <rFont val="Tahoma"/>
            <family val="2"/>
            <charset val="186"/>
          </rPr>
          <t xml:space="preserve">Vaida Kazlauskienė: </t>
        </r>
        <r>
          <rPr>
            <sz val="9"/>
            <color indexed="81"/>
            <rFont val="Tahoma"/>
            <family val="2"/>
            <charset val="186"/>
          </rPr>
          <t>patikslinta</t>
        </r>
      </text>
    </comment>
    <comment ref="H48" authorId="0">
      <text>
        <r>
          <rPr>
            <b/>
            <sz val="9"/>
            <color indexed="81"/>
            <rFont val="Tahoma"/>
            <family val="2"/>
            <charset val="186"/>
          </rPr>
          <t>Autorius:</t>
        </r>
        <r>
          <rPr>
            <sz val="9"/>
            <color indexed="81"/>
            <rFont val="Tahoma"/>
            <family val="2"/>
            <charset val="186"/>
          </rPr>
          <t xml:space="preserve">
produkto?</t>
        </r>
      </text>
    </comment>
    <comment ref="C49" authorId="0">
      <text>
        <r>
          <rPr>
            <b/>
            <sz val="9"/>
            <color indexed="81"/>
            <rFont val="Tahoma"/>
            <family val="2"/>
            <charset val="186"/>
          </rPr>
          <t>Autorius:</t>
        </r>
        <r>
          <rPr>
            <sz val="9"/>
            <color indexed="81"/>
            <rFont val="Tahoma"/>
            <family val="2"/>
            <charset val="186"/>
          </rPr>
          <t xml:space="preserve">
išskirkit kiekvienam intervencijos kodui</t>
        </r>
      </text>
    </comment>
    <comment ref="D61" authorId="0">
      <text>
        <r>
          <rPr>
            <b/>
            <sz val="9"/>
            <color indexed="81"/>
            <rFont val="Tahoma"/>
            <family val="2"/>
            <charset val="186"/>
          </rPr>
          <t>Autorius:</t>
        </r>
        <r>
          <rPr>
            <sz val="9"/>
            <color indexed="81"/>
            <rFont val="Tahoma"/>
            <family val="2"/>
            <charset val="186"/>
          </rPr>
          <t xml:space="preserve">
EK siūlo naudoti 2.1 uzdavinyje</t>
        </r>
      </text>
    </comment>
    <comment ref="D65" authorId="0">
      <text>
        <r>
          <rPr>
            <b/>
            <sz val="9"/>
            <color indexed="81"/>
            <rFont val="Tahoma"/>
            <family val="2"/>
            <charset val="186"/>
          </rPr>
          <t>Autorius:</t>
        </r>
        <r>
          <rPr>
            <sz val="9"/>
            <color indexed="81"/>
            <rFont val="Tahoma"/>
            <family val="2"/>
            <charset val="186"/>
          </rPr>
          <t xml:space="preserve">
EK siūlo nadoti 2.3 uždavinyje</t>
        </r>
      </text>
    </comment>
    <comment ref="H65" authorId="0">
      <text>
        <r>
          <rPr>
            <b/>
            <sz val="9"/>
            <color indexed="81"/>
            <rFont val="Tahoma"/>
            <family val="2"/>
            <charset val="186"/>
          </rPr>
          <t>Autorius:</t>
        </r>
        <r>
          <rPr>
            <sz val="9"/>
            <color indexed="81"/>
            <rFont val="Tahoma"/>
            <family val="2"/>
            <charset val="186"/>
          </rPr>
          <t xml:space="preserve">
kuris produkto, kuris rezultato?</t>
        </r>
      </text>
    </comment>
    <comment ref="C67" authorId="0">
      <text>
        <r>
          <rPr>
            <b/>
            <sz val="9"/>
            <color indexed="81"/>
            <rFont val="Tahoma"/>
            <family val="2"/>
            <charset val="186"/>
          </rPr>
          <t>Autorius:</t>
        </r>
        <r>
          <rPr>
            <sz val="9"/>
            <color indexed="81"/>
            <rFont val="Tahoma"/>
            <family val="2"/>
            <charset val="186"/>
          </rPr>
          <t xml:space="preserve">
SM</t>
        </r>
      </text>
    </comment>
    <comment ref="C68" authorId="0">
      <text>
        <r>
          <rPr>
            <b/>
            <sz val="9"/>
            <color indexed="81"/>
            <rFont val="Tahoma"/>
            <family val="2"/>
            <charset val="186"/>
          </rPr>
          <t>Autorius:</t>
        </r>
        <r>
          <rPr>
            <sz val="9"/>
            <color indexed="81"/>
            <rFont val="Tahoma"/>
            <family val="2"/>
            <charset val="186"/>
          </rPr>
          <t xml:space="preserve">
Visa Lietuva</t>
        </r>
      </text>
    </comment>
  </commentList>
</comments>
</file>

<file path=xl/comments3.xml><?xml version="1.0" encoding="utf-8"?>
<comments xmlns="http://schemas.openxmlformats.org/spreadsheetml/2006/main">
  <authors>
    <author>Autorius</author>
  </authors>
  <commentList>
    <comment ref="E6" authorId="0">
      <text>
        <r>
          <rPr>
            <b/>
            <sz val="9"/>
            <color indexed="81"/>
            <rFont val="Tahoma"/>
            <family val="2"/>
            <charset val="186"/>
          </rPr>
          <t>Autorius:</t>
        </r>
        <r>
          <rPr>
            <sz val="9"/>
            <color indexed="81"/>
            <rFont val="Tahoma"/>
            <family val="2"/>
            <charset val="186"/>
          </rPr>
          <t xml:space="preserve">
LT dalis</t>
        </r>
      </text>
    </comment>
    <comment ref="F6" authorId="0">
      <text>
        <r>
          <rPr>
            <b/>
            <sz val="9"/>
            <color indexed="81"/>
            <rFont val="Tahoma"/>
            <family val="2"/>
            <charset val="186"/>
          </rPr>
          <t>Autorius:</t>
        </r>
        <r>
          <rPr>
            <sz val="9"/>
            <color indexed="81"/>
            <rFont val="Tahoma"/>
            <family val="2"/>
            <charset val="186"/>
          </rPr>
          <t xml:space="preserve">
ES+LT</t>
        </r>
      </text>
    </comment>
    <comment ref="E7" authorId="0">
      <text>
        <r>
          <rPr>
            <b/>
            <sz val="9"/>
            <color indexed="81"/>
            <rFont val="Tahoma"/>
            <family val="2"/>
            <charset val="186"/>
          </rPr>
          <t>Autorius:</t>
        </r>
        <r>
          <rPr>
            <sz val="9"/>
            <color indexed="81"/>
            <rFont val="Tahoma"/>
            <family val="2"/>
            <charset val="186"/>
          </rPr>
          <t xml:space="preserve">
Jus paskaiciavote 70, as randu, kad 85 proc.</t>
        </r>
      </text>
    </comment>
    <comment ref="I7" authorId="0">
      <text>
        <r>
          <rPr>
            <b/>
            <sz val="9"/>
            <color indexed="81"/>
            <rFont val="Tahoma"/>
            <family val="2"/>
            <charset val="186"/>
          </rPr>
          <t>Autorius:</t>
        </r>
        <r>
          <rPr>
            <sz val="9"/>
            <color indexed="81"/>
            <rFont val="Tahoma"/>
            <family val="2"/>
            <charset val="186"/>
          </rPr>
          <t xml:space="preserve">
angliskai</t>
        </r>
      </text>
    </comment>
    <comment ref="L7" authorId="0">
      <text>
        <r>
          <rPr>
            <b/>
            <sz val="9"/>
            <color indexed="81"/>
            <rFont val="Tahoma"/>
            <family val="2"/>
            <charset val="186"/>
          </rPr>
          <t>Autorius:</t>
        </r>
        <r>
          <rPr>
            <sz val="9"/>
            <color indexed="81"/>
            <rFont val="Tahoma"/>
            <family val="2"/>
            <charset val="186"/>
          </rPr>
          <t xml:space="preserve">
angliskai</t>
        </r>
      </text>
    </comment>
    <comment ref="O7" authorId="0">
      <text>
        <r>
          <rPr>
            <b/>
            <sz val="9"/>
            <color indexed="81"/>
            <rFont val="Tahoma"/>
            <family val="2"/>
            <charset val="186"/>
          </rPr>
          <t>Autorius:</t>
        </r>
        <r>
          <rPr>
            <sz val="9"/>
            <color indexed="81"/>
            <rFont val="Tahoma"/>
            <family val="2"/>
            <charset val="186"/>
          </rPr>
          <t xml:space="preserve">
n/a rezultato rodikliui</t>
        </r>
      </text>
    </comment>
    <comment ref="H8" authorId="0">
      <text>
        <r>
          <rPr>
            <b/>
            <sz val="9"/>
            <color indexed="81"/>
            <rFont val="Tahoma"/>
            <family val="2"/>
            <charset val="186"/>
          </rPr>
          <t>Autorius:</t>
        </r>
        <r>
          <rPr>
            <sz val="9"/>
            <color indexed="81"/>
            <rFont val="Tahoma"/>
            <family val="2"/>
            <charset val="186"/>
          </rPr>
          <t xml:space="preserve">
produkto?</t>
        </r>
      </text>
    </comment>
    <comment ref="N8" authorId="0">
      <text>
        <r>
          <rPr>
            <b/>
            <sz val="9"/>
            <color indexed="81"/>
            <rFont val="Tahoma"/>
            <family val="2"/>
            <charset val="186"/>
          </rPr>
          <t>Autorius:</t>
        </r>
        <r>
          <rPr>
            <sz val="9"/>
            <color indexed="81"/>
            <rFont val="Tahoma"/>
            <family val="2"/>
            <charset val="186"/>
          </rPr>
          <t xml:space="preserve">
n/a produkto rodikliui</t>
        </r>
      </text>
    </comment>
    <comment ref="H9" authorId="0">
      <text>
        <r>
          <rPr>
            <b/>
            <sz val="9"/>
            <color indexed="81"/>
            <rFont val="Tahoma"/>
            <family val="2"/>
            <charset val="186"/>
          </rPr>
          <t>Autorius:</t>
        </r>
        <r>
          <rPr>
            <sz val="9"/>
            <color indexed="81"/>
            <rFont val="Tahoma"/>
            <family val="2"/>
            <charset val="186"/>
          </rPr>
          <t xml:space="preserve">
produkto?</t>
        </r>
      </text>
    </comment>
    <comment ref="N9" authorId="0">
      <text>
        <r>
          <rPr>
            <b/>
            <sz val="9"/>
            <color indexed="81"/>
            <rFont val="Tahoma"/>
            <family val="2"/>
            <charset val="186"/>
          </rPr>
          <t>Autorius:</t>
        </r>
        <r>
          <rPr>
            <sz val="9"/>
            <color indexed="81"/>
            <rFont val="Tahoma"/>
            <family val="2"/>
            <charset val="186"/>
          </rPr>
          <t xml:space="preserve">
n/a produkto rodikliui</t>
        </r>
      </text>
    </comment>
    <comment ref="E10" authorId="0">
      <text>
        <r>
          <rPr>
            <b/>
            <sz val="9"/>
            <color indexed="81"/>
            <rFont val="Tahoma"/>
            <family val="2"/>
            <charset val="186"/>
          </rPr>
          <t>Autorius:</t>
        </r>
        <r>
          <rPr>
            <sz val="9"/>
            <color indexed="81"/>
            <rFont val="Tahoma"/>
            <family val="2"/>
            <charset val="186"/>
          </rPr>
          <t xml:space="preserve">
Jus paskaiciavote 70, as randu, kad 85 proc.</t>
        </r>
      </text>
    </comment>
    <comment ref="I10" authorId="0">
      <text>
        <r>
          <rPr>
            <b/>
            <sz val="9"/>
            <color indexed="81"/>
            <rFont val="Tahoma"/>
            <family val="2"/>
            <charset val="186"/>
          </rPr>
          <t>Autorius:</t>
        </r>
        <r>
          <rPr>
            <sz val="9"/>
            <color indexed="81"/>
            <rFont val="Tahoma"/>
            <family val="2"/>
            <charset val="186"/>
          </rPr>
          <t xml:space="preserve">
angliskai</t>
        </r>
      </text>
    </comment>
    <comment ref="L10" authorId="0">
      <text>
        <r>
          <rPr>
            <b/>
            <sz val="9"/>
            <color indexed="81"/>
            <rFont val="Tahoma"/>
            <family val="2"/>
            <charset val="186"/>
          </rPr>
          <t>Autorius:</t>
        </r>
        <r>
          <rPr>
            <sz val="9"/>
            <color indexed="81"/>
            <rFont val="Tahoma"/>
            <family val="2"/>
            <charset val="186"/>
          </rPr>
          <t xml:space="preserve">
a ngliskai</t>
        </r>
      </text>
    </comment>
    <comment ref="N10" authorId="0">
      <text>
        <r>
          <rPr>
            <b/>
            <sz val="9"/>
            <color indexed="81"/>
            <rFont val="Tahoma"/>
            <family val="2"/>
            <charset val="186"/>
          </rPr>
          <t>Autorius:</t>
        </r>
        <r>
          <rPr>
            <sz val="9"/>
            <color indexed="81"/>
            <rFont val="Tahoma"/>
            <family val="2"/>
            <charset val="186"/>
          </rPr>
          <t xml:space="preserve">
n/a produkto rodikliams</t>
        </r>
      </text>
    </comment>
    <comment ref="I11" authorId="0">
      <text>
        <r>
          <rPr>
            <b/>
            <sz val="9"/>
            <color indexed="81"/>
            <rFont val="Tahoma"/>
            <family val="2"/>
            <charset val="186"/>
          </rPr>
          <t>Autorius:</t>
        </r>
        <r>
          <rPr>
            <sz val="9"/>
            <color indexed="81"/>
            <rFont val="Tahoma"/>
            <family val="2"/>
            <charset val="186"/>
          </rPr>
          <t xml:space="preserve">
angliskai</t>
        </r>
      </text>
    </comment>
    <comment ref="L11" authorId="0">
      <text>
        <r>
          <rPr>
            <b/>
            <sz val="9"/>
            <color indexed="81"/>
            <rFont val="Tahoma"/>
            <family val="2"/>
            <charset val="186"/>
          </rPr>
          <t>Autorius:</t>
        </r>
        <r>
          <rPr>
            <sz val="9"/>
            <color indexed="81"/>
            <rFont val="Tahoma"/>
            <family val="2"/>
            <charset val="186"/>
          </rPr>
          <t xml:space="preserve">
angliskai</t>
        </r>
      </text>
    </comment>
    <comment ref="I12" authorId="0">
      <text>
        <r>
          <rPr>
            <b/>
            <sz val="9"/>
            <color indexed="81"/>
            <rFont val="Tahoma"/>
            <family val="2"/>
            <charset val="186"/>
          </rPr>
          <t>Autorius:</t>
        </r>
        <r>
          <rPr>
            <sz val="9"/>
            <color indexed="81"/>
            <rFont val="Tahoma"/>
            <family val="2"/>
            <charset val="186"/>
          </rPr>
          <t xml:space="preserve">
angliskai</t>
        </r>
      </text>
    </comment>
    <comment ref="L12" authorId="0">
      <text>
        <r>
          <rPr>
            <b/>
            <sz val="9"/>
            <color indexed="81"/>
            <rFont val="Tahoma"/>
            <family val="2"/>
            <charset val="186"/>
          </rPr>
          <t>Autorius:</t>
        </r>
        <r>
          <rPr>
            <sz val="9"/>
            <color indexed="81"/>
            <rFont val="Tahoma"/>
            <family val="2"/>
            <charset val="186"/>
          </rPr>
          <t xml:space="preserve">
users</t>
        </r>
      </text>
    </comment>
    <comment ref="C13"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prie autobusų</t>
        </r>
      </text>
    </comment>
    <comment ref="C16" authorId="0">
      <text>
        <r>
          <rPr>
            <b/>
            <sz val="9"/>
            <color indexed="81"/>
            <rFont val="Tahoma"/>
            <family val="2"/>
            <charset val="186"/>
          </rPr>
          <t>Autorius:</t>
        </r>
        <r>
          <rPr>
            <sz val="9"/>
            <color indexed="81"/>
            <rFont val="Tahoma"/>
            <family val="2"/>
            <charset val="186"/>
          </rPr>
          <t xml:space="preserve">
VVL</t>
        </r>
      </text>
    </comment>
    <comment ref="C17" authorId="0">
      <text>
        <r>
          <rPr>
            <b/>
            <sz val="9"/>
            <color indexed="81"/>
            <rFont val="Tahoma"/>
            <family val="2"/>
            <charset val="186"/>
          </rPr>
          <t>Autorius:</t>
        </r>
        <r>
          <rPr>
            <sz val="9"/>
            <color indexed="81"/>
            <rFont val="Tahoma"/>
            <family val="2"/>
            <charset val="186"/>
          </rPr>
          <t xml:space="preserve">
Visa Lietuva</t>
        </r>
      </text>
    </comment>
  </commentList>
</comments>
</file>

<file path=xl/comments4.xml><?xml version="1.0" encoding="utf-8"?>
<comments xmlns="http://schemas.openxmlformats.org/spreadsheetml/2006/main">
  <authors>
    <author>Autorius</author>
  </authors>
  <commentList>
    <comment ref="A6" authorId="0">
      <text>
        <r>
          <rPr>
            <b/>
            <sz val="9"/>
            <color indexed="81"/>
            <rFont val="Tahoma"/>
            <family val="2"/>
            <charset val="186"/>
          </rPr>
          <t>Autorius:
atitinkančius kibernetinio ir fizinio saugumo reikalavimus pagal atliktą investicinių poreikių analizę identifikuotuose „baltosiose dėmėse“, prioritetą teikiant vietovėse, kuriose tinklų diegimas nėra ekonomiškai naudingas, kad užtikrintų tolygią elektroninių ryšių tinklų plėtrą bei diegti naujas interneto ryšio technologijas (5G ir 6G), siekiant skaitmeninės ekonomikos transformacijos . Didelio pralaidumo plačiajuosčio ryšio tinklų plėtojimą numatoma įgyvendinti Vidurio ir Vakarų Lietuvos regione. Naujos interneto ryšio technologijos bus diegiamos Vidurio ir Vakarų Lietuvos regione ir Sostinės regione.</t>
        </r>
      </text>
    </comment>
    <comment ref="I6" authorId="0">
      <text>
        <r>
          <rPr>
            <b/>
            <sz val="9"/>
            <color indexed="81"/>
            <rFont val="Tahoma"/>
            <family val="2"/>
            <charset val="186"/>
          </rPr>
          <t>Autorius:</t>
        </r>
        <r>
          <rPr>
            <sz val="9"/>
            <color indexed="81"/>
            <rFont val="Tahoma"/>
            <family val="2"/>
            <charset val="186"/>
          </rPr>
          <t xml:space="preserve">
angliskai idekit</t>
        </r>
      </text>
    </comment>
    <comment ref="N6" authorId="0">
      <text>
        <r>
          <rPr>
            <b/>
            <sz val="9"/>
            <color indexed="81"/>
            <rFont val="Tahoma"/>
            <family val="2"/>
            <charset val="186"/>
          </rPr>
          <t>Autorius:</t>
        </r>
        <r>
          <rPr>
            <sz val="9"/>
            <color indexed="81"/>
            <rFont val="Tahoma"/>
            <family val="2"/>
            <charset val="186"/>
          </rPr>
          <t xml:space="preserve">
produkto rodikliams n/a</t>
        </r>
      </text>
    </comment>
    <comment ref="I7" authorId="0">
      <text>
        <r>
          <rPr>
            <b/>
            <sz val="9"/>
            <color indexed="81"/>
            <rFont val="Tahoma"/>
            <family val="2"/>
            <charset val="186"/>
          </rPr>
          <t>Autorius:</t>
        </r>
        <r>
          <rPr>
            <sz val="9"/>
            <color indexed="81"/>
            <rFont val="Tahoma"/>
            <family val="2"/>
            <charset val="186"/>
          </rPr>
          <t xml:space="preserve">
angliskai idekite</t>
        </r>
      </text>
    </comment>
    <comment ref="N7" authorId="0">
      <text>
        <r>
          <rPr>
            <b/>
            <sz val="9"/>
            <color indexed="81"/>
            <rFont val="Tahoma"/>
            <family val="2"/>
            <charset val="186"/>
          </rPr>
          <t>Autorius:</t>
        </r>
        <r>
          <rPr>
            <sz val="9"/>
            <color indexed="81"/>
            <rFont val="Tahoma"/>
            <family val="2"/>
            <charset val="186"/>
          </rPr>
          <t xml:space="preserve">
n/a</t>
        </r>
      </text>
    </comment>
    <comment ref="I8" authorId="0">
      <text>
        <r>
          <rPr>
            <b/>
            <sz val="9"/>
            <color indexed="81"/>
            <rFont val="Tahoma"/>
            <family val="2"/>
            <charset val="186"/>
          </rPr>
          <t>Autorius:</t>
        </r>
        <r>
          <rPr>
            <sz val="9"/>
            <color indexed="81"/>
            <rFont val="Tahoma"/>
            <family val="2"/>
            <charset val="186"/>
          </rPr>
          <t xml:space="preserve">
angliskai idekite</t>
        </r>
      </text>
    </comment>
    <comment ref="O8" authorId="0">
      <text>
        <r>
          <rPr>
            <b/>
            <sz val="9"/>
            <color indexed="81"/>
            <rFont val="Tahoma"/>
            <family val="2"/>
            <charset val="186"/>
          </rPr>
          <t>Autorius:</t>
        </r>
        <r>
          <rPr>
            <sz val="9"/>
            <color indexed="81"/>
            <rFont val="Tahoma"/>
            <family val="2"/>
            <charset val="186"/>
          </rPr>
          <t xml:space="preserve">
rezultato rodikliams n/a (ziureti fishes)</t>
        </r>
      </text>
    </comment>
    <comment ref="P8" authorId="0">
      <text>
        <r>
          <rPr>
            <b/>
            <sz val="9"/>
            <color indexed="81"/>
            <rFont val="Tahoma"/>
            <family val="2"/>
            <charset val="186"/>
          </rPr>
          <t>Autorius:</t>
        </r>
        <r>
          <rPr>
            <sz val="9"/>
            <color indexed="81"/>
            <rFont val="Tahoma"/>
            <family val="2"/>
            <charset val="186"/>
          </rPr>
          <t xml:space="preserve">
o kodel galvojate, kad tik 20 proc?
</t>
        </r>
        <r>
          <rPr>
            <b/>
            <sz val="9"/>
            <color indexed="81"/>
            <rFont val="Tahoma"/>
            <family val="2"/>
            <charset val="186"/>
          </rPr>
          <t>Vaida. Kazlauskienė</t>
        </r>
        <r>
          <rPr>
            <sz val="9"/>
            <color indexed="81"/>
            <rFont val="Tahoma"/>
            <family val="2"/>
            <charset val="186"/>
          </rPr>
          <t xml:space="preserve">: planuojama, kad prisijungs 80 proc. </t>
        </r>
      </text>
    </comment>
    <comment ref="O9" authorId="0">
      <text>
        <r>
          <rPr>
            <b/>
            <sz val="9"/>
            <color indexed="81"/>
            <rFont val="Tahoma"/>
            <family val="2"/>
            <charset val="186"/>
          </rPr>
          <t>Autorius:</t>
        </r>
        <r>
          <rPr>
            <sz val="9"/>
            <color indexed="81"/>
            <rFont val="Tahoma"/>
            <family val="2"/>
            <charset val="186"/>
          </rPr>
          <t xml:space="preserve">
n/a</t>
        </r>
      </text>
    </comment>
    <comment ref="P9" authorId="0">
      <text>
        <r>
          <rPr>
            <b/>
            <sz val="9"/>
            <color indexed="81"/>
            <rFont val="Tahoma"/>
            <family val="2"/>
            <charset val="186"/>
          </rPr>
          <t>Autorius:</t>
        </r>
        <r>
          <rPr>
            <sz val="9"/>
            <color indexed="81"/>
            <rFont val="Tahoma"/>
            <family val="2"/>
            <charset val="186"/>
          </rPr>
          <t xml:space="preserve">
kodel tik 20 proc.?
</t>
        </r>
        <r>
          <rPr>
            <b/>
            <sz val="9"/>
            <color indexed="81"/>
            <rFont val="Tahoma"/>
            <family val="2"/>
            <charset val="186"/>
          </rPr>
          <t xml:space="preserve">
Vaida Kazlauskienė: </t>
        </r>
        <r>
          <rPr>
            <sz val="9"/>
            <color indexed="81"/>
            <rFont val="Tahoma"/>
            <family val="2"/>
            <charset val="186"/>
          </rPr>
          <t xml:space="preserve">planuojama, kad prisijungs 80 proc. </t>
        </r>
      </text>
    </comment>
    <comment ref="I12" authorId="0">
      <text>
        <r>
          <rPr>
            <b/>
            <sz val="9"/>
            <color indexed="81"/>
            <rFont val="Tahoma"/>
            <family val="2"/>
            <charset val="186"/>
          </rPr>
          <t>Autorius:</t>
        </r>
        <r>
          <rPr>
            <sz val="9"/>
            <color indexed="81"/>
            <rFont val="Tahoma"/>
            <family val="2"/>
            <charset val="186"/>
          </rPr>
          <t xml:space="preserve">
angliskai idekite</t>
        </r>
      </text>
    </comment>
    <comment ref="I16" authorId="0">
      <text>
        <r>
          <rPr>
            <b/>
            <sz val="9"/>
            <color indexed="81"/>
            <rFont val="Tahoma"/>
            <family val="2"/>
            <charset val="186"/>
          </rPr>
          <t>Autorius:</t>
        </r>
        <r>
          <rPr>
            <sz val="9"/>
            <color indexed="81"/>
            <rFont val="Tahoma"/>
            <family val="2"/>
            <charset val="186"/>
          </rPr>
          <t xml:space="preserve">
angliskai idekite</t>
        </r>
      </text>
    </comment>
    <comment ref="I20" authorId="0">
      <text>
        <r>
          <rPr>
            <b/>
            <sz val="9"/>
            <color indexed="81"/>
            <rFont val="Tahoma"/>
            <family val="2"/>
            <charset val="186"/>
          </rPr>
          <t>Autorius:</t>
        </r>
        <r>
          <rPr>
            <sz val="9"/>
            <color indexed="81"/>
            <rFont val="Tahoma"/>
            <family val="2"/>
            <charset val="186"/>
          </rPr>
          <t xml:space="preserve">
angliskai idekite</t>
        </r>
      </text>
    </comment>
    <comment ref="I24" authorId="0">
      <text>
        <r>
          <rPr>
            <b/>
            <sz val="9"/>
            <color indexed="81"/>
            <rFont val="Tahoma"/>
            <family val="2"/>
            <charset val="186"/>
          </rPr>
          <t>Autorius:</t>
        </r>
        <r>
          <rPr>
            <sz val="9"/>
            <color indexed="81"/>
            <rFont val="Tahoma"/>
            <family val="2"/>
            <charset val="186"/>
          </rPr>
          <t xml:space="preserve">
angliskai idekite</t>
        </r>
      </text>
    </comment>
    <comment ref="I28" authorId="0">
      <text>
        <r>
          <rPr>
            <b/>
            <sz val="9"/>
            <color indexed="81"/>
            <rFont val="Tahoma"/>
            <family val="2"/>
            <charset val="186"/>
          </rPr>
          <t>Autorius:</t>
        </r>
        <r>
          <rPr>
            <sz val="9"/>
            <color indexed="81"/>
            <rFont val="Tahoma"/>
            <family val="2"/>
            <charset val="186"/>
          </rPr>
          <t xml:space="preserve">
angliskai idekite</t>
        </r>
      </text>
    </comment>
  </commentList>
</comments>
</file>

<file path=xl/comments5.xml><?xml version="1.0" encoding="utf-8"?>
<comments xmlns="http://schemas.openxmlformats.org/spreadsheetml/2006/main">
  <authors>
    <author>Autorius</author>
  </authors>
  <commentList>
    <comment ref="E6" authorId="0">
      <text>
        <r>
          <rPr>
            <b/>
            <sz val="9"/>
            <color indexed="81"/>
            <rFont val="Tahoma"/>
            <family val="2"/>
            <charset val="186"/>
          </rPr>
          <t>Autorius:</t>
        </r>
        <r>
          <rPr>
            <sz val="9"/>
            <color indexed="81"/>
            <rFont val="Tahoma"/>
            <family val="2"/>
            <charset val="186"/>
          </rPr>
          <t xml:space="preserve">
LT dalis</t>
        </r>
      </text>
    </comment>
    <comment ref="F6" authorId="0">
      <text>
        <r>
          <rPr>
            <b/>
            <sz val="9"/>
            <color indexed="81"/>
            <rFont val="Tahoma"/>
            <family val="2"/>
            <charset val="186"/>
          </rPr>
          <t>Autorius:</t>
        </r>
        <r>
          <rPr>
            <sz val="9"/>
            <color indexed="81"/>
            <rFont val="Tahoma"/>
            <family val="2"/>
            <charset val="186"/>
          </rPr>
          <t xml:space="preserve">
ES+LT</t>
        </r>
      </text>
    </comment>
    <comment ref="C7"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prie autobusų</t>
        </r>
      </text>
    </comment>
    <comment ref="A9" authorId="0">
      <text>
        <r>
          <rPr>
            <b/>
            <sz val="9"/>
            <color indexed="81"/>
            <rFont val="Tahoma"/>
            <family val="2"/>
            <charset val="186"/>
          </rPr>
          <t xml:space="preserve">Autorius:
</t>
        </r>
        <r>
          <rPr>
            <sz val="9"/>
            <color indexed="81"/>
            <rFont val="Tahoma"/>
            <family val="2"/>
            <charset val="186"/>
          </rPr>
          <t xml:space="preserve"> atsizvelgiant I EK komentara: Please also note that the investments to cycling and walking paths if they are in the city should be programmed under the SO 2.8 ‘Promoting sustainable multi-modal urban mobility’ and be part of the cities’ respective urban development strategies and SUMPs and the cycling paths outside of the cities could be programmed under the PO3 SO 3.3.
Perkelta veikla is 3.3.</t>
        </r>
      </text>
    </comment>
    <comment ref="L10" authorId="0">
      <text>
        <r>
          <rPr>
            <b/>
            <sz val="9"/>
            <color indexed="81"/>
            <rFont val="Tahoma"/>
            <family val="2"/>
            <charset val="186"/>
          </rPr>
          <t>Autorius:</t>
        </r>
        <r>
          <rPr>
            <sz val="9"/>
            <color indexed="81"/>
            <rFont val="Tahoma"/>
            <family val="2"/>
            <charset val="186"/>
          </rPr>
          <t xml:space="preserve">
users
</t>
        </r>
        <r>
          <rPr>
            <b/>
            <sz val="9"/>
            <color indexed="81"/>
            <rFont val="Tahoma"/>
            <family val="2"/>
            <charset val="186"/>
          </rPr>
          <t>Vaida Kazlauskienė</t>
        </r>
        <r>
          <rPr>
            <sz val="9"/>
            <color indexed="81"/>
            <rFont val="Tahoma"/>
            <family val="2"/>
            <charset val="186"/>
          </rPr>
          <t>: Naujausioje Jasper rodiklių apskaičiavimo metodikoje nurodyti patikslinti rodiklių matavimo vnt.</t>
        </r>
      </text>
    </comment>
    <comment ref="O10" authorId="0">
      <text>
        <r>
          <rPr>
            <b/>
            <sz val="9"/>
            <color indexed="81"/>
            <rFont val="Tahoma"/>
            <family val="2"/>
            <charset val="186"/>
          </rPr>
          <t>Autorius:</t>
        </r>
        <r>
          <rPr>
            <sz val="9"/>
            <color indexed="81"/>
            <rFont val="Tahoma"/>
            <family val="2"/>
            <charset val="186"/>
          </rPr>
          <t xml:space="preserve">
not required</t>
        </r>
      </text>
    </comment>
    <comment ref="C12" authorId="0">
      <text>
        <r>
          <rPr>
            <b/>
            <sz val="9"/>
            <color indexed="81"/>
            <rFont val="Tahoma"/>
            <family val="2"/>
            <charset val="186"/>
          </rPr>
          <t>Autorius:</t>
        </r>
        <r>
          <rPr>
            <sz val="9"/>
            <color indexed="81"/>
            <rFont val="Tahoma"/>
            <family val="2"/>
            <charset val="186"/>
          </rPr>
          <t xml:space="preserve">
VVL</t>
        </r>
      </text>
    </comment>
    <comment ref="C13" authorId="0">
      <text>
        <r>
          <rPr>
            <b/>
            <sz val="9"/>
            <color indexed="81"/>
            <rFont val="Tahoma"/>
            <family val="2"/>
            <charset val="186"/>
          </rPr>
          <t>Autorius:</t>
        </r>
        <r>
          <rPr>
            <sz val="9"/>
            <color indexed="81"/>
            <rFont val="Tahoma"/>
            <family val="2"/>
            <charset val="186"/>
          </rPr>
          <t xml:space="preserve">
Visa Lietuva</t>
        </r>
      </text>
    </comment>
  </commentList>
</comments>
</file>

<file path=xl/sharedStrings.xml><?xml version="1.0" encoding="utf-8"?>
<sst xmlns="http://schemas.openxmlformats.org/spreadsheetml/2006/main" count="1409" uniqueCount="427">
  <si>
    <t>Action Veiksmas</t>
  </si>
  <si>
    <t>Rodiklio matavimo vienetas</t>
  </si>
  <si>
    <t>Rodiklio tarpinė 2024 m. reikšmė</t>
  </si>
  <si>
    <t>Rodiklio siektina 2029 m. reikšmė</t>
  </si>
  <si>
    <t>Intervention field</t>
  </si>
  <si>
    <t>Rodiklio kodas</t>
  </si>
  <si>
    <t>Rodiklio pavadinimas</t>
  </si>
  <si>
    <t>code and name</t>
  </si>
  <si>
    <t>n/a</t>
  </si>
  <si>
    <t>Rodiklio pradinė reikšmė</t>
  </si>
  <si>
    <t>Rodiklio pradinės reikšmės metai</t>
  </si>
  <si>
    <t>Konkretus uždavinys – 2.2. Skatinti naudoti atsinaujinančiąją energiją</t>
  </si>
  <si>
    <t>Konkretus uždavinys – 2.8. Skatinti darnų įvairiarūšį judumą miestuose</t>
  </si>
  <si>
    <t>Konkretus uždavinys – 3.1. Gerinti skaitmeninį junglumą</t>
  </si>
  <si>
    <t>Fondas</t>
  </si>
  <si>
    <t>Regiono kategorija</t>
  </si>
  <si>
    <t>ERPF</t>
  </si>
  <si>
    <t>co-financing rate (Eur.)</t>
  </si>
  <si>
    <r>
      <t>allocation 2021-</t>
    </r>
    <r>
      <rPr>
        <b/>
        <sz val="11"/>
        <color theme="1"/>
        <rFont val="Calibri"/>
        <family val="2"/>
        <charset val="186"/>
        <scheme val="minor"/>
      </rPr>
      <t xml:space="preserve"> 2027 used for calculation of 2029 target </t>
    </r>
  </si>
  <si>
    <t>Indicator</t>
  </si>
  <si>
    <t>code</t>
  </si>
  <si>
    <t>name</t>
  </si>
  <si>
    <t>km</t>
  </si>
  <si>
    <t>SaF</t>
  </si>
  <si>
    <t>Action</t>
  </si>
  <si>
    <t>Amount (EU+ national)(Eur.)</t>
  </si>
  <si>
    <t>Baseline</t>
  </si>
  <si>
    <t>value</t>
  </si>
  <si>
    <t>year</t>
  </si>
  <si>
    <t xml:space="preserve">Milestone 2024 </t>
  </si>
  <si>
    <t>Target 2029</t>
  </si>
  <si>
    <t>Category of region</t>
  </si>
  <si>
    <t>M.U.</t>
  </si>
  <si>
    <t>Milestone 2024</t>
  </si>
  <si>
    <t>Supported projects</t>
  </si>
  <si>
    <t>SM</t>
  </si>
  <si>
    <t>enterprises</t>
  </si>
  <si>
    <t>Capital region</t>
  </si>
  <si>
    <t>Fund</t>
  </si>
  <si>
    <t>Data source</t>
  </si>
  <si>
    <t>Methodology for calculating the values for the indicator</t>
  </si>
  <si>
    <t>ERDF</t>
  </si>
  <si>
    <t>0</t>
  </si>
  <si>
    <t>Midle-West Lithuania region</t>
  </si>
  <si>
    <t>Code</t>
  </si>
  <si>
    <t>Midle- west Lithuania region</t>
  </si>
  <si>
    <t>2021</t>
  </si>
  <si>
    <t>Year</t>
  </si>
  <si>
    <t>Visa Lietuva</t>
  </si>
  <si>
    <t>Name</t>
  </si>
  <si>
    <t>Specialusis produkto</t>
  </si>
  <si>
    <t>Projektai</t>
  </si>
  <si>
    <t>Projects</t>
  </si>
  <si>
    <t>&gt; 0</t>
  </si>
  <si>
    <t>MWh/metus</t>
  </si>
  <si>
    <t>RCR 29</t>
  </si>
  <si>
    <t>Apskaičiuotas šiltnamio efektą sukeliančių dujų emisijos kiekis</t>
  </si>
  <si>
    <t>Vidurio ir Vakarų Lietuvos regionas</t>
  </si>
  <si>
    <t>034 - efektyvi kogeneracija, centrinis šildymas ir vėsinimas</t>
  </si>
  <si>
    <t>nac.</t>
  </si>
  <si>
    <r>
      <t>&gt;</t>
    </r>
    <r>
      <rPr>
        <sz val="11"/>
        <color rgb="FFFF0000"/>
        <rFont val="Calibri"/>
        <family val="2"/>
        <charset val="186"/>
      </rPr>
      <t>=</t>
    </r>
    <r>
      <rPr>
        <sz val="11"/>
        <color rgb="FFFF0000"/>
        <rFont val="Calibri"/>
        <family val="2"/>
        <charset val="186"/>
        <scheme val="minor"/>
      </rPr>
      <t>0</t>
    </r>
  </si>
  <si>
    <t>2.2.1. Skatinti elektros energijos gamybą iš AEI ir energijos kaupimo sprendimų diegimą namų ūkiuose, įmonėse bei AEI bendrijose</t>
  </si>
  <si>
    <t>RCR 32</t>
  </si>
  <si>
    <t>Papildomai veikiantys AEI gamybos pajėgumai</t>
  </si>
  <si>
    <t>MW</t>
  </si>
  <si>
    <t>RCR 31</t>
  </si>
  <si>
    <t>RCO 22</t>
  </si>
  <si>
    <t>RCO 97</t>
  </si>
  <si>
    <t>Paramą gavusių AEI bendrijų skaičius</t>
  </si>
  <si>
    <r>
      <t>&gt;</t>
    </r>
    <r>
      <rPr>
        <sz val="11"/>
        <color rgb="FFFF0000"/>
        <rFont val="Calibri"/>
        <family val="2"/>
      </rPr>
      <t>=</t>
    </r>
    <r>
      <rPr>
        <sz val="11"/>
        <color rgb="FFFF0000"/>
        <rFont val="Calibri"/>
        <family val="2"/>
        <scheme val="minor"/>
      </rPr>
      <t>0</t>
    </r>
  </si>
  <si>
    <t>RCR29</t>
  </si>
  <si>
    <t>2.2.2. Skatinti šilumos energijos gamybą iš AEI namų ūkiuose,įmonėse.</t>
  </si>
  <si>
    <t>Iš viso pagaminta atsinaujinančios energijos (tame tarpe: elektros, šilumos)</t>
  </si>
  <si>
    <t>Papildomi AEI pajėgumai</t>
  </si>
  <si>
    <t>033 - Pažangios elektros energijos sistemos (įskaitant išmaniuosius tinklus ir IT sistemas) ir susijęs kaupimas</t>
  </si>
  <si>
    <t>Naujai nutiesti elektros perdavimo tinklai</t>
  </si>
  <si>
    <t>Naujai pastatytų perdavimo tinklo elementų skaičius</t>
  </si>
  <si>
    <t>vnt</t>
  </si>
  <si>
    <t>Tonos CO2 ekvivalentu per metus</t>
  </si>
  <si>
    <t>dwellings</t>
  </si>
  <si>
    <t>Estimated greenhouse emissions</t>
  </si>
  <si>
    <t>tons of CO2eq/year</t>
  </si>
  <si>
    <t>Whole Lithuania</t>
  </si>
  <si>
    <r>
      <t xml:space="preserve">028 - Atsinaujinanti energija - vėjas. </t>
    </r>
    <r>
      <rPr>
        <b/>
        <sz val="11"/>
        <color theme="1"/>
        <rFont val="Calibri"/>
        <family val="2"/>
        <charset val="186"/>
        <scheme val="minor"/>
      </rPr>
      <t>Renewable energy: wind</t>
    </r>
  </si>
  <si>
    <r>
      <t xml:space="preserve">029 - Atsinaujinanti energija - saulė. </t>
    </r>
    <r>
      <rPr>
        <b/>
        <sz val="11"/>
        <color theme="1"/>
        <rFont val="Calibri"/>
        <family val="2"/>
        <charset val="186"/>
        <scheme val="minor"/>
      </rPr>
      <t>Renewable energy: solar</t>
    </r>
  </si>
  <si>
    <r>
      <t xml:space="preserve">030 - Atsinaujinanti energija - biomasė. </t>
    </r>
    <r>
      <rPr>
        <b/>
        <sz val="11"/>
        <color theme="1"/>
        <rFont val="Calibri"/>
        <family val="2"/>
        <charset val="186"/>
        <scheme val="minor"/>
      </rPr>
      <t>Renewable energy: biomass</t>
    </r>
  </si>
  <si>
    <r>
      <t xml:space="preserve">032 - Kita atsinaujinanti energija (tame tarpe geoterminė). </t>
    </r>
    <r>
      <rPr>
        <b/>
        <sz val="11"/>
        <color theme="1"/>
        <rFont val="Calibri"/>
        <family val="2"/>
        <charset val="186"/>
        <scheme val="minor"/>
      </rPr>
      <t>Other renewable energy (including geothermal energy)</t>
    </r>
  </si>
  <si>
    <r>
      <t xml:space="preserve">029 - Atsinaujinanti energija - saulė. </t>
    </r>
    <r>
      <rPr>
        <b/>
        <sz val="11"/>
        <rFont val="Calibri"/>
        <family val="2"/>
        <charset val="186"/>
        <scheme val="minor"/>
      </rPr>
      <t>Renewable energy: solar</t>
    </r>
  </si>
  <si>
    <r>
      <t xml:space="preserve">030 - Atsinaujinanti energija - biomasė. </t>
    </r>
    <r>
      <rPr>
        <b/>
        <sz val="11"/>
        <rFont val="Calibri"/>
        <family val="2"/>
        <charset val="186"/>
        <scheme val="minor"/>
      </rPr>
      <t>Renewable energy: biomass</t>
    </r>
  </si>
  <si>
    <r>
      <t xml:space="preserve">032 - Kita atsinaujinanti energija (tame tarpe geoterminė). </t>
    </r>
    <r>
      <rPr>
        <b/>
        <sz val="11"/>
        <rFont val="Calibri"/>
        <family val="2"/>
        <charset val="186"/>
        <scheme val="minor"/>
      </rPr>
      <t>Other renewable energy (including geothermal energy)</t>
    </r>
  </si>
  <si>
    <t>RCR32</t>
  </si>
  <si>
    <t>RCR31</t>
  </si>
  <si>
    <t>RCO22</t>
  </si>
  <si>
    <t>RCO97</t>
  </si>
  <si>
    <t>Additional production capacity for renewable energy (of which: electricity, thermal)</t>
  </si>
  <si>
    <t>Renewable energy communities supported</t>
  </si>
  <si>
    <t>renewable energy communities</t>
  </si>
  <si>
    <t>Total renewable energy produced (of which: electricity, thermal)</t>
  </si>
  <si>
    <t>MWh/year</t>
  </si>
  <si>
    <t>Additional operational capacity installed for renewable energy</t>
  </si>
  <si>
    <t>2.2.4. Skatinti transporto sektoriuje naudoti AEI, įrengiant alternatyvių degalų užpildymo / įkrovimo infrastruktūrą</t>
  </si>
  <si>
    <t>2.2.5. Skatinti transporto sektoriuje AEI naudojimą, įsigyjant, pagaminant ir (ar) pritaikant transporto priemones, naudojančias alternatyvius degalus</t>
  </si>
  <si>
    <t>2.2.6. Didinti AEI panaudojimą šilumos ir vėsumos gamybai CŠT</t>
  </si>
  <si>
    <t>2.8.1. Įgyvendinti Darnaus judumo planuose (angl. SUMP) numatytas darnaus judumo priemones miestuose bei rajonų savivaldybėse</t>
  </si>
  <si>
    <t>2.8.2. Skatinti gyventojus naudotis viešuoju transportu, įsigyjant AEI naudojančias vietinio susisiekimo viešojo transporto priemones</t>
  </si>
  <si>
    <t>3.1.1. Plėtoti itin didelio pralaidumo plačiajuosčio ryšio tinklus</t>
  </si>
  <si>
    <r>
      <t xml:space="preserve">2.2.1. Skatinti elektros energijos gamybą iš AEI ir energijos kaupimo sprendimų diegimą namų ūkiuose, įmonėse bei AIE bendrijose </t>
    </r>
    <r>
      <rPr>
        <b/>
        <sz val="11"/>
        <rFont val="Calibri"/>
        <family val="2"/>
        <charset val="186"/>
        <scheme val="minor"/>
      </rPr>
      <t>EM</t>
    </r>
  </si>
  <si>
    <r>
      <t xml:space="preserve">2.2.2. Skatinti šilumos energijos gamybą iš AEI namų ūkiuose, įmonėse </t>
    </r>
    <r>
      <rPr>
        <b/>
        <sz val="11"/>
        <rFont val="Calibri"/>
        <family val="2"/>
        <charset val="186"/>
        <scheme val="minor"/>
      </rPr>
      <t>EM</t>
    </r>
  </si>
  <si>
    <t>2.2.3.Diegti degalų iš AEI gamybos infrastruktūrą, mažinant neigiamą transporto sektoriaus poveikį aplinkai ir klimatui</t>
  </si>
  <si>
    <r>
      <t xml:space="preserve">2.2.3. Diegti degalų iš AEI gamybos infrastruktūrą, mažinant neigiamą transporto sektoriaus poveikį aplinkai ir klimatui </t>
    </r>
    <r>
      <rPr>
        <b/>
        <sz val="11"/>
        <rFont val="Calibri"/>
        <family val="2"/>
        <charset val="186"/>
        <scheme val="minor"/>
      </rPr>
      <t>EM</t>
    </r>
  </si>
  <si>
    <r>
      <t xml:space="preserve">2.2.6. Didinti AEI panaudojimą šilumos ir vėsumos gamybai CŠT sektoriuje </t>
    </r>
    <r>
      <rPr>
        <b/>
        <sz val="11"/>
        <rFont val="Calibri"/>
        <family val="2"/>
        <charset val="186"/>
        <scheme val="minor"/>
      </rPr>
      <t>EM</t>
    </r>
  </si>
  <si>
    <r>
      <t xml:space="preserve">2.2.7. Pažangios elektros energijos perdavimo infrastruktūros AEI integracijai plėtra </t>
    </r>
    <r>
      <rPr>
        <b/>
        <sz val="11"/>
        <rFont val="Calibri"/>
        <family val="2"/>
        <charset val="186"/>
        <scheme val="minor"/>
      </rPr>
      <t>EM</t>
    </r>
  </si>
  <si>
    <t>2.2.7. Pažangios elektros energijos perdavimo infrastruktūros AEI integracijai plėtra</t>
  </si>
  <si>
    <t>Km</t>
  </si>
  <si>
    <t>RCR55</t>
  </si>
  <si>
    <t>RCO46</t>
  </si>
  <si>
    <t>RCR56</t>
  </si>
  <si>
    <t>Dedicated cycling infrastructure supported</t>
  </si>
  <si>
    <t>Annual users of dedicated cycling infrastructure</t>
  </si>
  <si>
    <t>-</t>
  </si>
  <si>
    <t>RCO58</t>
  </si>
  <si>
    <t>RCR64</t>
  </si>
  <si>
    <t>2020</t>
  </si>
  <si>
    <t>Bendrai</t>
  </si>
  <si>
    <t>Sostonės</t>
  </si>
  <si>
    <t>VVL</t>
  </si>
  <si>
    <t>bendrai</t>
  </si>
  <si>
    <t>BJRS</t>
  </si>
  <si>
    <r>
      <t>finansavimo forma</t>
    </r>
    <r>
      <rPr>
        <sz val="11"/>
        <color theme="1"/>
        <rFont val="Times New Roman"/>
        <family val="1"/>
        <charset val="186"/>
      </rPr>
      <t xml:space="preserve"> – AEI plėtrai Lietuvoje yra subsidijos, o komercinės alternatyvių degalų infrastruktūros plėtrai ir AEI naudojančių komercinio transporto skatinimui planuojama taikyti finansinę priemonę. Be to, daliai investicijų į šilumos tinklus bus numatytas grąžinamosios subsidijos finansinis mechanizmas dėl ilgo investicijų atsiperkamumo laikotarpio, didelio reikalingų pradinių investicijų dydžio ir siekiamybės nedidinti šilumos kainos vartotojams.</t>
    </r>
  </si>
  <si>
    <r>
      <t>finansavimo forma</t>
    </r>
    <r>
      <rPr>
        <sz val="11"/>
        <color theme="1"/>
        <rFont val="Times New Roman"/>
        <family val="1"/>
        <charset val="186"/>
      </rPr>
      <t xml:space="preserve"> darnaus įvairiarūšio judumo veikloms įgyvendinti yra subsidijos, nes numatoma kurti viešąją infrastruktūrą, kuri negeneruos pajamų.</t>
    </r>
  </si>
  <si>
    <r>
      <t>finansavimo forma</t>
    </r>
    <r>
      <rPr>
        <sz val="11"/>
        <color theme="1"/>
        <rFont val="Times New Roman"/>
        <family val="1"/>
        <charset val="186"/>
      </rPr>
      <t xml:space="preserve"> – subsidija, dėl jos skatinamojo poveikio. Planuojamos vykdyti veiklos negeneruoja pajamų, nes yra numatomos viešųjų institucijų įgyvendinamiems projektams, todėl joms neplanuojama taikyti finansinių priemonių.</t>
    </r>
  </si>
  <si>
    <t>Total allocation at action level (indicative)</t>
  </si>
  <si>
    <t>EU Amount (EUR)</t>
  </si>
  <si>
    <t>Viso</t>
  </si>
  <si>
    <t>EM+SM+ EIM</t>
  </si>
  <si>
    <t>2.2.3. Skatinti AEI diegimą pramonės MVĮ EIM</t>
  </si>
  <si>
    <t>077 Alternative fuels infrastructure</t>
  </si>
  <si>
    <t>RCO 59</t>
  </si>
  <si>
    <t>Įsigytos, pritaitkytos ir (ar) pagamintos) AEI naudojančios transporto priemonės</t>
  </si>
  <si>
    <t>Skaičius</t>
  </si>
  <si>
    <t>RCO59</t>
  </si>
  <si>
    <t>Įgyvendintos darnaus judumo priemones</t>
  </si>
  <si>
    <t>Įdiegtos intelektinės transporto sistemos</t>
  </si>
  <si>
    <t xml:space="preserve">68             </t>
  </si>
  <si>
    <t>Rodiklis</t>
  </si>
  <si>
    <t xml:space="preserve">Rodiklio pradinė </t>
  </si>
  <si>
    <t>Duomenų šaltinis</t>
  </si>
  <si>
    <t>Rodiklio siektinų reikšmų apskaičiavimo metodika</t>
  </si>
  <si>
    <t>Finansinė proporcija (EU+ nacionalinis)(Eur.)</t>
  </si>
  <si>
    <t>reikšmė</t>
  </si>
  <si>
    <t>metai</t>
  </si>
  <si>
    <t>RCO57</t>
  </si>
  <si>
    <t>RCR62</t>
  </si>
  <si>
    <t>Users/Year</t>
  </si>
  <si>
    <r>
      <rPr>
        <b/>
        <sz val="11"/>
        <color theme="1"/>
        <rFont val="Calibri"/>
        <family val="2"/>
        <charset val="186"/>
        <scheme val="minor"/>
      </rPr>
      <t xml:space="preserve">073 </t>
    </r>
    <r>
      <rPr>
        <sz val="11"/>
        <color theme="1"/>
        <rFont val="Calibri"/>
        <family val="2"/>
        <scheme val="minor"/>
      </rPr>
      <t>Clean urban transport infrastructure</t>
    </r>
  </si>
  <si>
    <r>
      <rPr>
        <b/>
        <sz val="11"/>
        <color theme="1"/>
        <rFont val="Calibri"/>
        <family val="2"/>
        <charset val="186"/>
        <scheme val="minor"/>
      </rPr>
      <t>074</t>
    </r>
    <r>
      <rPr>
        <sz val="11"/>
        <color theme="1"/>
        <rFont val="Calibri"/>
        <family val="2"/>
        <scheme val="minor"/>
      </rPr>
      <t xml:space="preserve"> Clean urban transport rolling stock</t>
    </r>
  </si>
  <si>
    <t>RCO41</t>
  </si>
  <si>
    <t>RCO42</t>
  </si>
  <si>
    <r>
      <rPr>
        <b/>
        <sz val="11"/>
        <color theme="1"/>
        <rFont val="Calibri"/>
        <family val="2"/>
        <scheme val="minor"/>
      </rPr>
      <t>051</t>
    </r>
    <r>
      <rPr>
        <sz val="11"/>
        <color theme="1"/>
        <rFont val="Calibri"/>
        <family val="2"/>
        <scheme val="minor"/>
      </rPr>
      <t xml:space="preserve"> ICT: Very High-Capacity broadband network (backbone/backhaul network)  </t>
    </r>
  </si>
  <si>
    <r>
      <t xml:space="preserve"> </t>
    </r>
    <r>
      <rPr>
        <b/>
        <sz val="11"/>
        <rFont val="Calibri"/>
        <family val="2"/>
        <scheme val="minor"/>
      </rPr>
      <t xml:space="preserve">053 </t>
    </r>
    <r>
      <rPr>
        <sz val="11"/>
        <rFont val="Calibri"/>
        <family val="2"/>
        <scheme val="minor"/>
      </rPr>
      <t xml:space="preserve"> ICT: Very High-Capacity broadband network (access/local loop with a performance equivalent to an optical fibre installation up to the distribution point at the serving location for homes and business premises) equivalent to an optical fibre installation up to the distribution point at the serving location for multi-dwelling premises) </t>
    </r>
  </si>
  <si>
    <r>
      <rPr>
        <b/>
        <sz val="11"/>
        <rFont val="Calibri"/>
        <family val="2"/>
        <scheme val="minor"/>
      </rPr>
      <t xml:space="preserve"> 054</t>
    </r>
    <r>
      <rPr>
        <sz val="11"/>
        <rFont val="Calibri"/>
        <family val="2"/>
        <scheme val="minor"/>
      </rPr>
      <t xml:space="preserve"> ICT: Very High-Capacity broadband network (access/local loop with a performance equivalent to an optical fibre installation up to the base station for advanced wireless communication) </t>
    </r>
  </si>
  <si>
    <t>3.1</t>
  </si>
  <si>
    <t>3.2</t>
  </si>
  <si>
    <t>3.3</t>
  </si>
  <si>
    <t>RCR53</t>
  </si>
  <si>
    <t>RCR54</t>
  </si>
  <si>
    <t>Additional dwellings with broadband access of very high capacity</t>
  </si>
  <si>
    <t>Additional enterprises with broadband access of very high capacity</t>
  </si>
  <si>
    <t>Dwellings with broadband subscriptions to a very high capacity network</t>
  </si>
  <si>
    <t>Enterprises with broadband subscriptions to a very high capacity network</t>
  </si>
  <si>
    <t>Capacity of environmentally friendly rolling stock for collective public transport</t>
  </si>
  <si>
    <t>Annual users of new or modernised public transport</t>
  </si>
  <si>
    <t>Users</t>
  </si>
  <si>
    <t>Passengers</t>
  </si>
  <si>
    <t>Tons of CO2eq/year</t>
  </si>
  <si>
    <t>9900</t>
  </si>
  <si>
    <t>Alternative fuels infrastructure (refuelling/ recharging points)</t>
  </si>
  <si>
    <t>refuelling/recharging points</t>
  </si>
  <si>
    <r>
      <t xml:space="preserve">Priklausomai nuo elektra varomo autobuso tipo (baterijos vietos, jos tipo, įkrovimo tipo, autobuso ilgio ir pan.), </t>
    </r>
    <r>
      <rPr>
        <sz val="11"/>
        <rFont val="Calibri"/>
        <family val="2"/>
        <charset val="186"/>
        <scheme val="minor"/>
      </rPr>
      <t xml:space="preserve">vidutinė jo kaina yra 545 500 eurų. </t>
    </r>
    <r>
      <rPr>
        <sz val="11"/>
        <color theme="1"/>
        <rFont val="Calibri"/>
        <family val="2"/>
        <scheme val="minor"/>
      </rPr>
      <t>Planuojama įsigyti 99 autobusus (53764705,88/545 500</t>
    </r>
    <r>
      <rPr>
        <sz val="11"/>
        <color theme="1"/>
        <rFont val="Calibri"/>
        <family val="2"/>
        <charset val="186"/>
      </rPr>
      <t>≈</t>
    </r>
    <r>
      <rPr>
        <sz val="11"/>
        <color theme="1"/>
        <rFont val="Calibri"/>
        <family val="2"/>
        <scheme val="minor"/>
      </rPr>
      <t>99). Priklausomai nuo autobuso ilgio, vidutinis vietų skaičius yra 100. RCO 57 rodiklio reikšmė apskaičiuojama 100*99=9900. Tarpinė reikšmė 2024m. sudarys 10 proc.,  9900*0,1=990.</t>
    </r>
  </si>
  <si>
    <t>VVT</t>
  </si>
  <si>
    <t>Reikšmės nurodytos iš NECP skaičiavimo dokumentų. Skaičiavimuose nurodyta, kad pronozuojama, kad 2021 m. darnaus judumo miestuose planų įgyvendinimo ŠESD poveikis bus 60,96 ktCO2e, todėl 2021 m. rodiklio reikšmė skaičiuojama 60,96/1000=0,06096. Prognozuojama, kad 2029 m. ŠESD poveikis bus 223,54 ktCO2e, todėl rodiklio 2029 m. siektina reikšmė apskaičiuojama 223,54/1000=0,22354.</t>
  </si>
  <si>
    <r>
      <t>Reikšmės apskaičiuojamos iš NECP.  Vieno el. autobuso ŠESD kiekis yra 0,005 kt CO2 ekv.. Planuojama įsigyti 99 el. autobusų (Žr. RCO 57 rodiklio skaičiavimo metodiką). 2029 m. rodiklis apskaičiuojamas 99*0,005/1000</t>
    </r>
    <r>
      <rPr>
        <sz val="11"/>
        <color theme="1"/>
        <rFont val="Calibri"/>
        <family val="2"/>
        <charset val="186"/>
      </rPr>
      <t>≈</t>
    </r>
    <r>
      <rPr>
        <sz val="11"/>
        <color theme="1"/>
        <rFont val="Calibri"/>
        <family val="2"/>
        <scheme val="minor"/>
      </rPr>
      <t xml:space="preserve">0,0005. </t>
    </r>
  </si>
  <si>
    <t>Suma (EUR)</t>
  </si>
  <si>
    <t xml:space="preserve">Kodas </t>
  </si>
  <si>
    <t>Konkretus uždavinys</t>
  </si>
  <si>
    <t>Prioriteto Nr.</t>
  </si>
  <si>
    <t>7 lentelė. 6 matmuo. ESF+ antrinės temos</t>
  </si>
  <si>
    <t>6 lentelė. 3 matmuo. Teritorinės paramos paskirstymo priemonė ir teritorinė kryptis</t>
  </si>
  <si>
    <t>3SaF</t>
  </si>
  <si>
    <t>3ERPF</t>
  </si>
  <si>
    <t>2SaF</t>
  </si>
  <si>
    <t>2ERPF</t>
  </si>
  <si>
    <t>01</t>
  </si>
  <si>
    <t>Vidurio Vakarų Lietuva</t>
  </si>
  <si>
    <t>Dotacija</t>
  </si>
  <si>
    <t>2.8</t>
  </si>
  <si>
    <t>02, 03, 04, 05</t>
  </si>
  <si>
    <t>2.2</t>
  </si>
  <si>
    <t>02 Naudojantis finansinėmis priemonėmis teikimama parama: nuosavas kapitalas arba kvazinuosavas kapitalas                    03 Nauodjantis finansinėmis priemonėmis teikiama parama: paskola                                                             04 Naudojantis finansinėmis priemonėmis teikiama parama: garantija                                                                    05 Naudojantis finansinėmis priemonėmis teikiama parama: garantija</t>
  </si>
  <si>
    <t>5 lentelė. 2 matmuo. Finansavimo forma</t>
  </si>
  <si>
    <t>075</t>
  </si>
  <si>
    <t>Sostinės regionas</t>
  </si>
  <si>
    <t>075 Dviračių infrastruktūra</t>
  </si>
  <si>
    <t xml:space="preserve">Plėtoti dviračių ir pėsčiųjų infrastruktūrą miestuose ir priemiesčiose, kurie neįgyvendina Darnaus judumo mieste planų. </t>
  </si>
  <si>
    <t>3.3.2</t>
  </si>
  <si>
    <t>062 Kiti rekonstruoti ar pagerinti keliai (greitkeliai, nacionaliniai, regioniniai ar vietos keliai)</t>
  </si>
  <si>
    <t>062</t>
  </si>
  <si>
    <t xml:space="preserve">tiesti, atnaujinti tobulinti  ir rekonstruoti valstybinės reikšmės kelius (regionų jungtis su TEN-T tinklu), </t>
  </si>
  <si>
    <t>3.3.1</t>
  </si>
  <si>
    <t>078 Daugiarūšis transportas (TEN-T)</t>
  </si>
  <si>
    <t>078</t>
  </si>
  <si>
    <t>plėtoti skirtingų transporto rūšių (daugiarūšio vežimo jungčių) sąveikos efektyvumą didinančią infrastruktūrą</t>
  </si>
  <si>
    <t>3.2.3</t>
  </si>
  <si>
    <t>063 Transporto skaitmeninimas: kelias</t>
  </si>
  <si>
    <t>063</t>
  </si>
  <si>
    <t>061 Rekonstruoti ar pagerinti greitkeliai ir keliai – TEN-T visuotinis tinklas</t>
  </si>
  <si>
    <t>061</t>
  </si>
  <si>
    <t>Saf</t>
  </si>
  <si>
    <t>060 Rekonstruoti ar pagerinti greitkeliai ir keliai – TEN-T pagrindinis tinklas</t>
  </si>
  <si>
    <t>060</t>
  </si>
  <si>
    <t>056 Naujai nutiesti greitkeliai ir keliai – TEN-T pagrindinis tinklas</t>
  </si>
  <si>
    <t>056</t>
  </si>
  <si>
    <t xml:space="preserve">Tobulinti ir plėtoti TEN-T kelių tinklą, diegti ITS, eismo saugumo ir aplinkosaugines priemones, kad būtų pasiekti TEN-T kelių techniniai parametrai, kurie tenkintų kelių transporto apkrovimo reikalavimus, užtikrintų tinkamą TEN-T tinklo pralaidumą ir eismo saugumą </t>
  </si>
  <si>
    <t>3.2.2</t>
  </si>
  <si>
    <t>070 Transporto skaitmeninimas: geležinkelis</t>
  </si>
  <si>
    <t>070</t>
  </si>
  <si>
    <t>068 Rekonstruoti ar pagerinti geležinkeliai – TEN-T visuotinis tinklas</t>
  </si>
  <si>
    <t>068</t>
  </si>
  <si>
    <t xml:space="preserve">067 Rekonstruoti ar pagerinti geležinkeliai – TEN-T pagrindinis tinklas </t>
  </si>
  <si>
    <t>067</t>
  </si>
  <si>
    <t xml:space="preserve">tiesti, atnaujinti, tobulinti ir plėtoti TEN-T tinklo geležinkelių infrastruktūrą, diegti intelektines transporto sistemas (ITS), gerinti aplinkosauginius parametrus ir didinti eismo saugą TEN-T tinklo geležinkeliuose, užtikrinant sąveiką su kitais TEN-T tinklo koridoriais ir kitų transporto rūšių infrastruktūra (NECP: T2  ) </t>
  </si>
  <si>
    <t>3.2.1</t>
  </si>
  <si>
    <t xml:space="preserve">054 	IRT: itin didelio pajėgumo plačiajuosčio ryšio tinklas (prieigos / vietinė linija, kurios efektyvumas lygus optinių skaidulinių kabelių įrenginiams iki bazinės stoties pažangiam belaidžiam ryšiui) </t>
  </si>
  <si>
    <t>054</t>
  </si>
  <si>
    <t xml:space="preserve">053 IRT: itin didelio pajėgumo plačiajuosčio ryšio tinklas (prieigos / vietinė linija, kurios efektyvumas lygus optinių skaidulinių kabelių įrenginiams iki paskirstymo taško aptarnaujamojoje vietoje namuose ir verslo patalpose)  </t>
  </si>
  <si>
    <t>053</t>
  </si>
  <si>
    <t>052 IRT: itin didelio pajėgumo plačiajuosčio ryšio tinklas (prieigos / vietinė linija, kurios efektyvumas lygus optinių skaidulinių kabelių įrenginiams iki paskirstymo taško aptarnaujamojoje vietoje daugiabučiuose pastatuose)</t>
  </si>
  <si>
    <t>052</t>
  </si>
  <si>
    <t xml:space="preserve">3 prioritetas ERPF        110 017 360                 3 prioritetas SaF           406 290 000                   </t>
  </si>
  <si>
    <t xml:space="preserve"> 051 IRT: itin didelio pajėgumo plačiajuosčio ryšio tinklas (pagrindinis / tranzitinis tinklas) </t>
  </si>
  <si>
    <t>051</t>
  </si>
  <si>
    <t>Plėtoti itin didelio pralaidumo plačiajuosčio ryšio tinklus, atitinkančius kibernetinio ir fizinio saugumo reikalavimus pagal atliktą investicinių poreikių analizę identifikuotuose „baltosiose dėmėse</t>
  </si>
  <si>
    <t>3.1.1</t>
  </si>
  <si>
    <t>074 Švaraus miesto transporto riedmenys</t>
  </si>
  <si>
    <t>074</t>
  </si>
  <si>
    <t>077 Alternatyviųjų degalų infrastruktūra</t>
  </si>
  <si>
    <t>077</t>
  </si>
  <si>
    <t>Skatinti gyventojus naudotis viešuoju transportu, Įsigyjantti AEI naudojančias vietinio susisiekimo viešojo transporto priemones</t>
  </si>
  <si>
    <t>2.8.2</t>
  </si>
  <si>
    <t>SAF</t>
  </si>
  <si>
    <t>73 Švaraus miesto transporto infrastruktūra</t>
  </si>
  <si>
    <t>073</t>
  </si>
  <si>
    <t xml:space="preserve">Įgyvendinti Darnaus judumo planuose (angl. SUMP) numatytas darnaus judumo priemones miestuose bei rajonų savivaldybėse </t>
  </si>
  <si>
    <t>2.8.1</t>
  </si>
  <si>
    <t xml:space="preserve">2 prioritetas ERPF         103 039 200                       2 prioritetas SaF           175 682 600              </t>
  </si>
  <si>
    <t xml:space="preserve">1.Skatinti transporto sektoriuje naudoti AEI, įrengiant alternatyvių degalų užpildymo/įkrovimo infrastruktūrą                                                                                                                                                                                                      2.  Skatinti transporto sektoriuje AEI naudojimą, įsigyjant, pagaminant ir (ar) pritaikant transporto priemones, naudojančias alternatyvius degalus, </t>
  </si>
  <si>
    <t>2.2.3      2.2.4</t>
  </si>
  <si>
    <t>4 lentelė. 1 matmuo. Intervencinių priemonių sritis</t>
  </si>
  <si>
    <t>po korekcijos 11-18</t>
  </si>
  <si>
    <t>Plėtoti dviračių ir pėsčiųjų infrastruktūrą miestuose ir priemiesčiuose (savivaldybės)</t>
  </si>
  <si>
    <t xml:space="preserve">2.8.3. </t>
  </si>
  <si>
    <t>po korekcijos 10.01 = LAKD</t>
  </si>
  <si>
    <t>2019</t>
  </si>
  <si>
    <t>Apskaičiuotos reikšmės yra preliminarios. Jos bus patikslintos atlikus Išankstinio  ES fondų investicijų į skaitmeninio junglumo gerinimo veiklą 2021–2027 m. finansavimo laikotarpiu vertinimą. Galutinę ataskaitą planuojama gauti 2020 m. gruodžio mėn. viduryje. Apskaičiuota įvertinus vykdytų/vykdomų projektų rodiklius. Planuojama, kad prisijungusių bus apie 80% namų ūkių, turėjusių prisijungimo taškus. Todėl RCR53=800*0,8=640.</t>
  </si>
  <si>
    <t>Apskaičiuotos reikšmės yra preliminarios. Jos bus patikslintos atlikus Išankstinio  ES fondų investicijų į skaitmeninio junglumo gerinimo veiklą 2021–2027 m. finansavimo laikotarpiu vertinimą. Galutinę ataskaitą planuojama gauti 2020 m. gruodžio mėn. viduryje. Apskaičiuota įvertinus vykdytų/vykdomų projektų rodiklius. Planuojama, kad prisijungusių bus apie 80% įmonių, turėjusių prisijungimo taškus. Todėl RCR54=400*0,8=320.</t>
  </si>
  <si>
    <t>Apskaičiuotos reikšmės yra preliminarios. Jos bus patikslintos atlikus Išankstinio  ES fondų investicijų į skaitmeninio junglumo gerinimo veiklą 2021–2027 m. finansavimo laikotarpiu vertinimą. Galutinę ataskaitą planuojama gauti 2020 m. gruodžio mėn. viduryje. Apskaičiuota įvertinus vykdytų/vykdomų projektų rodiklius. Skaičiuojama, kad bus paklota apie 30 km šviesolaidinių linijų (ŠKL) iki paslaugų paskirstymo taškų už apie 450 000,00 Eur - apie 15 000 Eur už 1 km.  Daroma prielaida, kad vidutiniškai iki kiekvieno paskirstymo mazgo bus klojama ~2 km ŠKL, o nuo kiekvieno paskirstymo mazgo vidutiniškai bus suteikta galimybė prisijungti ~ 40 vartotojų (~ 66,7 proc. namų ūkiams ir ~33,3 proc.  įmonėms). Apie 132 400 Eur bus skirta tinklo įrangai, pagalbinei įrangai, projekto valdymui ir administravimui, viešinimo veikloms ir kt. Viso prie tinklo planuojama prijungti 30/2*40= 600 vartotojų. RCO41 =600*0,667≈400, o RCO42=600*0,333≈200. Planuojama, kad 2024 m. bus pasiekta 20 proc., todėl RCO41=400*0,2=80, o RCO42=200*0,2=40.</t>
  </si>
  <si>
    <t>Apskaičiuotos reikšmės yra preliminarios. Jos bus patikslintos atlikus Išankstinio  ES fondų investicijų į skaitmeninio junglumo gerinimo veiklą 2021–2027 m. finansavimo laikotarpiu vertinimą. Galutinę ataskaitą planuojamą gauti 2020 gruodžio mėn. viduryje. Apskaičiuota įvertinus vykdytų/vykdomų projektų rodiklius. Planuojama, kad prisijungusių bus apie 80% įmonių, turėjusių prisijungimo taškus. Todėl RCR53=200*0,8=160.</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</si>
  <si>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800 * 0.8 = 640. It should be noted that  value ​​have been calculated preliminarily. It will be revised following the evaluation of the Pre-investment of EU Funds in Digital Connectivity Activities for the 2021-2027 funding period. The final report  should be confirm untill 2021. </t>
    </r>
  </si>
  <si>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4700 * 0.8 = 3760. It should be noted that  value ​​have been calculated preliminarily. It will be revised following the evaluation of the Pre-investment of EU Funds in Digital Connectivity Activities for the 2021-2027 funding period. The final report  should be confirm untill 2021. </t>
    </r>
  </si>
  <si>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2300 * 0.8 = 1840. It should be noted that  value ​​have been calculated preliminarily. It will be revised following the evaluation of the Pre-investment of EU Funds in Digital Connectivity Activities for the 2021-2027 funding period. The final report  should be confirm untill 2021. </t>
    </r>
  </si>
  <si>
    <t xml:space="preserve"> </t>
  </si>
  <si>
    <r>
      <rPr>
        <b/>
        <sz val="11"/>
        <color rgb="FFFF0000"/>
        <rFont val="Calibri"/>
        <family val="2"/>
        <scheme val="minor"/>
      </rPr>
      <t>075</t>
    </r>
    <r>
      <rPr>
        <sz val="11"/>
        <color rgb="FFFF0000"/>
        <rFont val="Calibri"/>
        <family val="2"/>
        <scheme val="minor"/>
      </rPr>
      <t xml:space="preserve"> Cycling infrastructure</t>
    </r>
  </si>
  <si>
    <r>
      <t>Dviračių takų naudotojų pokytis skaičiuojamas, atsižvelgiant į  DJMP turinčių vidutinio dydžio miestų esamo ir planuojamo modalinio pasiskirstymo. 2018 m. atlikta savivaldybių reprezentatyvi gyventojų apklausa, kurios metu nustatyta, kad dviračių naudotojų yra 5,6 proc. DJMP numatytas tikslas 2030 m. 13,5 proc dviračių naudotojų. Procentų pokytis tolygiai išdalintas pamečiui, ir nustatyta, kad 2020 m. jis yra 6,9 proc., o 2029 m. bus 12,8 proc. Siektinai reikšmei nustatyti buvo vertintas likusių savivaldybių (neturinčių DJMP) gyventojų skaičius  - 369450 (2020 m. Statitikos departamento duomenys). Pradinė reikšmė 2020 m. apskaičiuojama 369450*0,069</t>
    </r>
    <r>
      <rPr>
        <sz val="11"/>
        <color rgb="FFFF0000"/>
        <rFont val="Calibri"/>
        <family val="2"/>
      </rPr>
      <t>≈25492. Siektina reikšmė 2029 m. apskaičiuojama 341224 (gyventojų sk. įvertinus Statiskos departamento prognozę dėl gyv. sk. sumažėjimo 7,64 proc. )*0,128≈43677.</t>
    </r>
  </si>
  <si>
    <t>The calculations of the indicator are performed on the basis of the calculations of the National energy and climate action plan (NECP) T13 measure "Promoting  the use of electric vehicles and developingt of the recharging infrastructure". The infrastructure itself does not reduce GHG emissions, it encourages the use of less polluting vehicles that reduce GHG emissions. GHG emissions are calculated per number of electric vehicles for which recharching  infrastructure is being developed. According to the RCO 59 values in ERDF (95.5 percent) and SaF  (4.5 percent), the values of RCO 29 indicator are divided proportionally.  2171 electric vehicles with a GHG impact of 6.21 ktCO2e are projected in 2021. The baseline value for 2021 is calculated  6.21 / 1000 * 0.045≈0.00028. 46005 electric vehicles with a GHG impact of 131.51 ktCO2e are forecast in 2029. The target value for 2029 is calculted  131.51 / 1000 * 0.045 = 0.00592.</t>
  </si>
  <si>
    <r>
      <t>Įvertinus skirtingo tipo pakrovimo stotelių įrengimo kaštus, skaičiuojama kad 1 stotelės įkainis yra apie 80 000 eurų,  todėl planuojama, kad 2029 m. rodiklio reikšmė 126618185,41/80 000</t>
    </r>
    <r>
      <rPr>
        <sz val="11"/>
        <rFont val="Calibri"/>
        <family val="2"/>
      </rPr>
      <t>≈</t>
    </r>
    <r>
      <rPr>
        <sz val="11"/>
        <rFont val="Calibri"/>
        <family val="2"/>
        <scheme val="minor"/>
      </rPr>
      <t>1583.  Skaičiuojama, kad 2024 m. bus pasiekta 10 proc., t. y. 1583*0,1</t>
    </r>
    <r>
      <rPr>
        <sz val="11"/>
        <rFont val="Calibri"/>
        <family val="2"/>
      </rPr>
      <t>≈</t>
    </r>
    <r>
      <rPr>
        <sz val="11"/>
        <rFont val="Calibri"/>
        <family val="2"/>
        <scheme val="minor"/>
      </rPr>
      <t>158.  Šie skaičiavimai pateikiami labai preliminarūs. Tikslūs skaičiai bus žinomi atlikus ex-ante vertinimą.</t>
    </r>
  </si>
  <si>
    <t xml:space="preserve">Rodiklio skaičiavimai atliekami remiantis NECP T13 "Elektromobilių naudojimo skatinimas ir jų įkrovimo infrastruktūros plėtra" priemonės skaičiavimais.  Pati infrastruktūra  nemažina ŠESD kiekio, ji skatina naudotis/rinktis mažiau taršias priemones, kurių naudojimas mažina ŠESD kiekį, todėl atskirai įkrovimo prieigų poveikis nebuvo vertintas.  ŠESD kiekis skaičiuojmas per elektromobilių, kuriems vystoma infrastruktūra, skaičių. Remiantis skaičiavimais 2021 m.  prognozuojama 2171 elektromobilių, kurių ŠESD poveikis yra 6,21 ktCO2e.Rodiklio reikšmės proporcingai nuo apskaičiuotų įkrovimo prieigų padalinamos ERDF (95,5 proc.) ir SaF (4,5 proc.) rodikliams. Skaičuojama, kad pradinė reikšmė 2021 m. yra 6,21/1000*0,955≈0,00593, 2029 m. prognozuojama 46005 elektromobiliai, kurių ŠESD poveikis yra 131,51 ktCO2e, todėl  2029 m. reikšmė skaičiuojama 131,51/1000*0,045=0,12559. </t>
  </si>
  <si>
    <r>
      <t>Įvertinus skirtingo tipo alternatyvaus kuro užpylimo/pakrovimo stotelių įrengimo kaštus, skaičiuojama kad 1 stotelės įkainis yra 80 000 eurų, todėl planuojama, kad 2029 m. rodiklio reikšmė 6023529,41/80 000</t>
    </r>
    <r>
      <rPr>
        <sz val="11"/>
        <rFont val="Calibri"/>
        <family val="2"/>
      </rPr>
      <t>≈</t>
    </r>
    <r>
      <rPr>
        <sz val="11"/>
        <rFont val="Calibri"/>
        <family val="2"/>
        <scheme val="minor"/>
      </rPr>
      <t>75. Skaičiuojama, kad 2024 m. bus pasiekta 10 proc., t. y. 7,5*0,1</t>
    </r>
    <r>
      <rPr>
        <sz val="11"/>
        <rFont val="Calibri"/>
        <family val="2"/>
      </rPr>
      <t>≈8</t>
    </r>
    <r>
      <rPr>
        <sz val="11"/>
        <rFont val="Calibri"/>
        <family val="2"/>
        <scheme val="minor"/>
      </rPr>
      <t>.  Šie skaičiavimai pateikiami labai preliminarūs. Tikslūs skaičiai bus žinomi atlikus ex-ante vertinimą.</t>
    </r>
  </si>
  <si>
    <t xml:space="preserve">Rodiklio skaičiavimai atliekami remiantis NECP T13 "Elektromobilių naudojimo skatinimas ir jų įkrovimo infrastruktūros plėtra" priemonės skaičiavimais.  Pati infrastruktūra  nemažina ŠESD kiekio, ji skatina naudotis/rinktis mažiau taršias priemones, kurių naudojimas mažina ŠESD kiekį, todėl atskirai įkrovimo prieigų poveikis nebuvo vertintas.  ŠESD kiekis skaičiuojmas per elektromobilių, kuriems vystoma infrastruktūra, skaičių. Remiantis skaičiavimais 2021 m.  prognozuojama 2171 elektromibilių, kurių ŠESD poveikis yra 6,21 ktCO2e.Rodiklio reikšmės proporcingai nuo apskaičiuotų įkrovimo prieigų padalinamos ERDF (95,5 proc.) ir SaF (4,5 proc.) rodikliams. Skaičuojama, kad pradinė reikšmė 2021 m. yra 6,21/1000*0,045≈0,00028, 2029 m. prognozuojama 46005 elektromobiliai, kurių ŠESD poveikis yra 131,51 ktCO2e, todėl  2029 m. reikšmė skaičiuojama 131,51/1000*0,045=0,00592. </t>
  </si>
  <si>
    <r>
      <t>Įgyvendintos darnaus judumo priemones/</t>
    </r>
    <r>
      <rPr>
        <sz val="11"/>
        <color rgb="FFFF0000"/>
        <rFont val="Calibri"/>
        <family val="2"/>
        <charset val="186"/>
        <scheme val="minor"/>
      </rPr>
      <t xml:space="preserve"> Sustainable mobility measures implemented</t>
    </r>
  </si>
  <si>
    <r>
      <t>Įdiegtos intelektinės transporto sistemos/</t>
    </r>
    <r>
      <rPr>
        <sz val="11"/>
        <color rgb="FFFF0000"/>
        <rFont val="Calibri"/>
        <family val="2"/>
        <charset val="186"/>
        <scheme val="minor"/>
      </rPr>
      <t>Intelligent transport systems introduced</t>
    </r>
  </si>
  <si>
    <r>
      <t>Įvertinus 2014-2020 m. laikotarpio projektus 1 darnaus judumo priemonės įgyvendinimo įkainis yra 1 900 000 Eur.  Planuojama, kad bus skiriama 67 proc. 073 intervencijos lėšų, todėl 143212698,82*0,67</t>
    </r>
    <r>
      <rPr>
        <sz val="11"/>
        <rFont val="Calibri"/>
        <family val="2"/>
      </rPr>
      <t>=9595208,21</t>
    </r>
    <r>
      <rPr>
        <sz val="11"/>
        <rFont val="Calibri"/>
        <family val="2"/>
        <scheme val="minor"/>
      </rPr>
      <t>.  Rodiklio siektina 2029 m. reikšmė apskaičiuojama 95952508,21/1 900 000</t>
    </r>
    <r>
      <rPr>
        <sz val="11"/>
        <rFont val="Calibri"/>
        <family val="2"/>
      </rPr>
      <t>≈</t>
    </r>
    <r>
      <rPr>
        <sz val="11"/>
        <rFont val="Calibri"/>
        <family val="2"/>
        <scheme val="minor"/>
      </rPr>
      <t>51. Planuojama, kad 2024 m. bus pasiekta 10 proc.  51*0,1</t>
    </r>
    <r>
      <rPr>
        <sz val="11"/>
        <rFont val="Calibri"/>
        <family val="2"/>
      </rPr>
      <t>≈</t>
    </r>
    <r>
      <rPr>
        <sz val="11"/>
        <rFont val="Calibri"/>
        <family val="2"/>
        <scheme val="minor"/>
      </rPr>
      <t>5.</t>
    </r>
  </si>
  <si>
    <r>
      <t>Įvertinus 2014-2020 m. laikotarpio projektus 1 intelektinės transporto sistemos diegimui  įkainis yra 1900000 Eur.  Planuojama, kad bus skiriama 33 proc. 073 intervencijos lėšų, todėl 143212698,82*0,33=47260190,61.  Rodiklio siektina 2029 m. reikšmė apskaičiuojama 47260190,61/1 900 000≈25. Planuojama, kad 2024 m. bus pasiekta 10 proc.  25*0,1</t>
    </r>
    <r>
      <rPr>
        <sz val="11"/>
        <rFont val="Calibri"/>
        <family val="2"/>
      </rPr>
      <t>≈</t>
    </r>
    <r>
      <rPr>
        <sz val="11"/>
        <rFont val="Calibri"/>
        <family val="2"/>
        <scheme val="minor"/>
      </rPr>
      <t>3.</t>
    </r>
  </si>
  <si>
    <t>After evaluating the completed projects of 2014-2020 period, the tariff  of 1  sustainable mobility measure implemented  is  1 900 000 Eur. 67 percent of intervension investments is allocated to this indicator. The target value fot 2029 is calculated  143212698.82 * 0.67  / 1 900 000≈51.  It is planned that the milestone value will be 10 percent in 2024 (51 * 0.1≈5).</t>
  </si>
  <si>
    <t>After evaluating the completed projects of 2014-2020 period, the tariff  of 1  intelligent transport systems introduced  is  1 900 000 Eur. 33 percent of intervension investments is allocated to this indicator. The target value fot 2029 is calculated  143212698.82 * 0.33  / 1 900 000≈25.  It is planned that the milestone value will be 10 percent in 2024 (25 * 0.1≈3).</t>
  </si>
  <si>
    <t>Depending on the type of public vehicle powered by electricity (battery location, type, charging type, length of the vehicle, etc.), the average price is 545 500 Eur. It is planned to purchase 99 public vehicles powered by electricity (53764705.88 / 545 500≈99). Depending on the length of the vehicle, the average number of seats is 100. The target value for 2029 is calculated 100 * 99 = 9900. It is planned, that the milestone value will be 10 percent in 2024  (9900 * 0.1 = 990).</t>
  </si>
  <si>
    <t>The calculations of the indicator are performed on the basis of the calculations of NECP T4 measure "Implementation of sustainableurban mobility plans (SUMP)".  According to the calculations, it is projected,  that the GHG impact of the implementation of the sustainable urban mobility plans will be 60.96 ktCO2eq in 2021 , therefore the baseline value for 2021  is calculated 60.96 / 1000 = 0.06096. The GHG impact  is projected to be 223.54 ktCO2eq in 2029, therefore the target value for 2029 m is calculated  223.54 / 1000 = 0.22354.</t>
  </si>
  <si>
    <r>
      <t>The calculations of the indicator are performed on the basis of the calculations of NECP T1 measure "Renewal of urban and suburban public transport fleets by promoting vehicles running on alternative fuels ". The GHG impact of public vehicle powered electricity is 0.005 kt CO2 eq. The targer value for 2029 is calculated  99*0,005/1000</t>
    </r>
    <r>
      <rPr>
        <sz val="11"/>
        <color theme="1"/>
        <rFont val="Calibri"/>
        <family val="2"/>
        <charset val="186"/>
      </rPr>
      <t>≈0,0005.</t>
    </r>
  </si>
  <si>
    <t>5 prioritetas</t>
  </si>
  <si>
    <r>
      <t>Statistikos departamentas/</t>
    </r>
    <r>
      <rPr>
        <sz val="11"/>
        <color rgb="FFFF0000"/>
        <rFont val="Calibri"/>
        <family val="2"/>
        <charset val="186"/>
        <scheme val="minor"/>
      </rPr>
      <t>Department of Statistics</t>
    </r>
  </si>
  <si>
    <t>CF</t>
  </si>
  <si>
    <t>number</t>
  </si>
  <si>
    <t>Number</t>
  </si>
  <si>
    <r>
      <t>Planuojamai reikšmei nustatyti naudojami Statistikos departamento 2017-2019 m. (2020 m. nevertinti dėl Covid-19 įtakos) laikotarpio duomenys: autobusų skaičius ir  pervežtų keleivių skaičius. Vidutiniškai yra 7442 autobusai, kurie vidutiniškai pervežė 290 344 533 keleivius. Apskaičiuota, kad vidutinškai 1 autobusas perveža 39 013 keleivių (290344533/7442</t>
    </r>
    <r>
      <rPr>
        <sz val="11"/>
        <rFont val="Calibri"/>
        <family val="2"/>
        <charset val="186"/>
      </rPr>
      <t>≈39013). Todėl skaičiuojama, kad 2029 m.  RCR62=39013*99 (planuojamų naujų autobusų sk., žr. RCO 57 skaičiavimo metodiką)≈3862287.</t>
    </r>
  </si>
  <si>
    <r>
      <t xml:space="preserve"> After evaluating the completed projects of 2014-2020 period, the tariff  of 1 km of cycling infrastructure in the city is 173 465 Eur.   The  target value for  2029   is   calculated 11 764 705,88/173 465</t>
    </r>
    <r>
      <rPr>
        <sz val="11"/>
        <color rgb="FFFF0000"/>
        <rFont val="Calibri"/>
        <family val="2"/>
      </rPr>
      <t>≈</t>
    </r>
    <r>
      <rPr>
        <sz val="11"/>
        <color rgb="FFFF0000"/>
        <rFont val="Calibri"/>
        <family val="2"/>
        <scheme val="minor"/>
      </rPr>
      <t xml:space="preserve"> 68. it is planned, that the milestone value  will be 10 percent in 2024 (68*0,1</t>
    </r>
    <r>
      <rPr>
        <sz val="11"/>
        <color rgb="FFFF0000"/>
        <rFont val="Calibri"/>
        <family val="2"/>
      </rPr>
      <t>≈7).</t>
    </r>
    <r>
      <rPr>
        <sz val="11"/>
        <color rgb="FFFF0000"/>
        <rFont val="Calibri"/>
        <family val="2"/>
        <scheme val="minor"/>
      </rPr>
      <t xml:space="preserve">                                                                                                                </t>
    </r>
  </si>
  <si>
    <t xml:space="preserve"> After evaluating the completed projects of 2014-2020 period, the tariff  of 1 km of cycling infrastructure in the city is 173 465 Eur.   The  target value for  2029   is   calculated 11 764 705,88/173 465≈ 68. it is planned, that the milestone value  will be 10 percent in 2024 (68*0,1≈7).                                                                                                                   </t>
  </si>
  <si>
    <r>
      <t>Thec calculation of value is based on  the current and planned modal distribution of medium-sized cities, whose have SUMP. According to the data of a representative survey of population of municipalities was conducted in 2018, the number of bicycle users is 5.6 per cent. The target for 2030  is  13.5 percent of bicycle users in SUMPS. The percentage change is evenly distributed over each year. It is calculated, that there are 6.9 percent of bicycle users in 2020 and 12.8 percent of bicycle users in 2029. To determine the target value, the population of the remaining municipalities (without DJMP) was estimated  (369450 (the Department of Statistics, 2020)). The baseline value in 2020 is calculated 369450 * 0.069≈25492. The target value for 2029 is calculated  341224 (population after estimating the forecast of the Department of Statistics for a decrease by 7.64%) * 0.128</t>
    </r>
    <r>
      <rPr>
        <sz val="11"/>
        <color rgb="FFFF0000"/>
        <rFont val="Calibri"/>
        <family val="2"/>
      </rPr>
      <t>≈</t>
    </r>
    <r>
      <rPr>
        <sz val="11"/>
        <color rgb="FFFF0000"/>
        <rFont val="Calibri"/>
        <family val="2"/>
        <scheme val="minor"/>
      </rPr>
      <t>43677.</t>
    </r>
  </si>
  <si>
    <t>In order to determine the planned value, the data of the Department of Statistics 2017-2019 ( number of buses and number of transported passengers) were used. After evaluating static data, it was found that an average  1 bus carried 39013 passengers per year (290344533 / 7442≈39013). The targer value for 2029 is calculated  39013 * 99 (number of planned new buses, see RCO 57 calculation methodology) ≈3862287.</t>
  </si>
  <si>
    <t>Rodiklių siektinos reikšmės bus nustatytos atlikus  ex-ante vertinimą.</t>
  </si>
  <si>
    <t>The target values will be known after ex-ante evaluation.</t>
  </si>
  <si>
    <t>After estimating the costs of installing different types of refuelling/recharching stations, the tariff of 1 refuelling/recharching station is about 80 000 euros. The target value for 2029 is calculated  6023529.41/80 000≈75.  It is planned, that the milestone value will be 10 percent in 2024 (75 * 0.1≈8). These calculations are very preliminary. The final values will be known after ex-ante evaluation.</t>
  </si>
  <si>
    <t>After estimating the costs of installing different types of refuelling/recharching stations, the tariff of 1 refuelling/recharching station is about 80 000 Eur. The target value for 2029 is calculated  126618185.41/80 000≈1583.  It is planned, that the milestone value will be 10 percent in 2024 (1583 * 0.1≈158). These calculations are very preliminary. The final values will be known after ex-ante evaluation.</t>
  </si>
  <si>
    <t xml:space="preserve">The calculations of the indicator are performed on the basis of the calculations of the National energy and climate action plan (NECP) T13 measure "Promoting  the use of electric vehicles and developingt of the recharging infrastructure". The infrastructure itself does not reduce GHG emissions, it encourages the use of less polluting vehicles that reduce GHG emissions. GHG emissions are calculated per number of electric vehicles for which recharching  infrastructure is being developed. According to the RCO 59 values in ERDF (95.5 percent) and SaF  (4.5 percent), the values of RCO 29 indicator are divided proportionally.  2171 electric vehicles with a GHG impact of 6.21 ktCO2eq are projected in 2021. The baseline value for 2021 is calculated  6.21 / 1000 * 0.955≈0.00593. 46005 electric vehicles with a GHG impact of 131.51 ktCO2eq are forecast in 2029. The target value for 2029 is calculated  131.51 / 1000 * 0.955 = 0.12559. </t>
  </si>
  <si>
    <t>Plėtoti dviračių ir pėsčiųjų infrastruktūrą miestuose ir priemiesčiose, kurie neįgyvendina Darnaus judumo mieste planų</t>
  </si>
  <si>
    <r>
      <t>Skaičiuojama, kad bus paklota apie 400 km šviesolaidinių linijų (ŠKL) iki bazinių stočių už apie 6 000 000,00 Eur - apie 15 000 Eur už 1 km.  Daroma prielaida, kad vidutiniškai iki kiekvienos bazinės stoties bus klojama ~5 km ŠKL, o nuo kiekvienos bazinės stoties vidutiniškai bus suteikta galimybė prisijungti ~ 90 vartotojų (~ 66,7 proc. namų ūkiams ir ~33,3 proc.  įmonėms). Apie 1 013 776,46 Eur bus skirta tinklo įrangai, pagalbinei įrangai, projekto valdymui ir administravimui, viešinimo veikloms ir kt. Viso prie tinklo planuojama prijungti 400/5*90</t>
    </r>
    <r>
      <rPr>
        <sz val="11"/>
        <color theme="1"/>
        <rFont val="Calibri"/>
        <family val="2"/>
      </rPr>
      <t>≈</t>
    </r>
    <r>
      <rPr>
        <sz val="11"/>
        <color theme="1"/>
        <rFont val="Calibri"/>
        <family val="2"/>
        <scheme val="minor"/>
      </rPr>
      <t xml:space="preserve"> 7200 vartotojų. RCO41 =7200*0,667≈4800, o RCO42=7200*0,333≈2400. Planuojama, kad 2024 m. bus pasiekta 20 proc., todėl RCO41=4800*0,2=960, o RCO42=2400*0,2=480.</t>
    </r>
  </si>
  <si>
    <r>
      <rPr>
        <sz val="11"/>
        <rFont val="Calibri"/>
        <family val="2"/>
        <charset val="186"/>
        <scheme val="minor"/>
      </rPr>
      <t xml:space="preserve"> It is estimated that ~ 30 km of fiber optic lines will be laid ( ~ 450 000 Eur, ~  15 000  Eur for 1 km) up to the distribution point.  It is assumed that  ~ 2 km of fiber-optic lines will be laid up to each distribution point,  40 users  (~ 66.7% dwellings and ~ 33.3% enterprises) will be able to connect from each distribution point.  ~132 400  Eur will be allocated for network equipment, ancillary equipment, project management and administration, publicity activities, etc. It is caculated  to connect  30/2*40 = 600 users. The target values for 2029 is calculated RCO41 = 600 * 0.667=400 and RCO42 = 600 * 0.333=200. It is planned, that the milestone value will be 20 percent in 2024 ( RCO41 = 400 * 0.2 = 80 and RCO42 = 200* 0.2 = 40). </t>
    </r>
    <r>
      <rPr>
        <sz val="11"/>
        <color rgb="FFFF0000"/>
        <rFont val="Calibri"/>
        <family val="2"/>
        <scheme val="minor"/>
      </rPr>
      <t xml:space="preserve"> </t>
    </r>
  </si>
  <si>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400 * 0.8 = 320. </t>
    </r>
  </si>
  <si>
    <t xml:space="preserve"> Planuojama, kad prisijungusių bus apie 80% namų ūkių, turėjusių prisijungimo taškus. Todėl RCR53=400*0,8=320.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</si>
  <si>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200 * 0.8 = 160.</t>
    </r>
  </si>
  <si>
    <r>
      <rPr>
        <sz val="11"/>
        <rFont val="Calibri"/>
        <family val="2"/>
        <charset val="186"/>
        <scheme val="minor"/>
      </rPr>
      <t xml:space="preserve"> It is estimated that ~ 400 km of fiber optic lines will be laid ( ~ 6 000 000 Eur, ~  15 000  Eur for 1 km) to the base stations.  It is assumed that  ~ 5 km of fiber-optic lines will be laid to each base station, and  ~ 90 (~ 66.7% dwellings and ~ 33.3% enterprises) users will be able to connect from each base station.~ 1 013 776,46 Eur will be allocated for network equipment, ancillary equipment, project management and administration, publicity activities, etc. It is caculated  to connect  400/5*90 = 7200 users. The target values for 2029 is calculated RCO41 = 7200*0,667≈4800 and  RCO42=7200*0,333≈2400. It is planned, that the milestone value will be 20 percent in 2024 ( RCO41 =4800 * 0.2 = 960 and RCO42 = 2400 * 0.2 = 480).</t>
    </r>
    <r>
      <rPr>
        <sz val="11"/>
        <color rgb="FFFF0000"/>
        <rFont val="Calibri"/>
        <family val="2"/>
        <scheme val="minor"/>
      </rPr>
      <t xml:space="preserve">  </t>
    </r>
  </si>
  <si>
    <t xml:space="preserve"> Planuojama, kad prisijungusių bus apie 80% namų ūkių, turėjusių prisijungimo taškus. Todėl RCR53=4800*0,8=3840.</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</si>
  <si>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4800 * 0.8 = 3840. </t>
    </r>
  </si>
  <si>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2400 * 0.8 = 1920.</t>
    </r>
    <r>
      <rPr>
        <sz val="11"/>
        <color rgb="FFFF0000"/>
        <rFont val="Calibri"/>
        <family val="2"/>
        <charset val="186"/>
        <scheme val="minor"/>
      </rPr>
      <t xml:space="preserve"> </t>
    </r>
  </si>
  <si>
    <t>Planuojama, kad prisijungusių bus apie 80% įmonių, turėjusių prisijungimo taškus. Todėl RCR54=2400*0,8=1920.</t>
  </si>
  <si>
    <t xml:space="preserve"> Skaičiuojama, kad bus paklota apie 32 km šviesolaidinių linijų (ŠKL) iki bazinių stočių už apie 480 000,00 Eur - apie 15 000 Eur už 1 km.  Daroma prielaida, kad vidutiniškai iki kiekvienos bazinės stoties bus klojama ~5 km ŠKL, o nuo kiekvienos bazinės stoties vidutiniškai bus suteikta galimybė prisijungti ~ 90 vartotojų (~ 66,7 proc. namų ūkiams ir ~33,3 proc.  įmonėms). Apie 101 000 Eur bus skirta tinklo įrangai, pagalbinei įrangai, projekto valdymui ir administravimui, viešinimo veikloms ir kt. Viso prie tinklo planuojama prijungti 32/5*90≈ 576 vartotojų. RCO41 =576*0,667=384, o RCO42=576*0,333=192. Planuojama, kad 2024 m. bus pasiekta 20 proc., todėl RCO41=384*0,2=77, o RCO42=192*0,2=38.</t>
  </si>
  <si>
    <r>
      <rPr>
        <sz val="11"/>
        <rFont val="Calibri"/>
        <family val="2"/>
        <charset val="186"/>
        <scheme val="minor"/>
      </rPr>
      <t xml:space="preserve"> It is estimated that ~ 32 km of fiber optic lines will be laid ( ~ 480 000 Eur, ~  15 000  Eur for 1 km) to the base stations.  It is assumed that  ~ 5 km of fiber-optic lines will be laid to each base station, and  ~ 90 (~ 66.7% dwellings and ~ 33.3% enterprises) users will be able to connect from each base station.~ 101 000 Eur will be allocated for network equipment, ancillary equipment, project management and administration, publicity activities, etc. It is caculated  to connect  32/5*90 = 576 users. The target values for 2029 is calculated RCO41 = 576*0,667≈384 and  RCO42=576*0,333≈192. It is planned, that the milestone value will be 20 percent in 2024 ( RCO41 =384* 0.2 = 77 and RCO42 = 192 * 0.2 = 38). </t>
    </r>
    <r>
      <rPr>
        <sz val="11"/>
        <color rgb="FFFF0000"/>
        <rFont val="Calibri"/>
        <family val="2"/>
        <scheme val="minor"/>
      </rPr>
      <t xml:space="preserve"> </t>
    </r>
  </si>
  <si>
    <t xml:space="preserve"> Planuojama, kad prisijungusių bus apie 80% namų ūkių, turėjusių prisijungimo taškus. Todėl RCR53=384*0,8=307.</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</si>
  <si>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384 * 0.8 = 307. </t>
    </r>
  </si>
  <si>
    <t>Planuojama, kad prisijungusių bus apie 80% įmonių, turėjusių prisijungimo taškus. Todėl RCR53=192*0,8=154.</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</si>
  <si>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192* 0.8 = 154.</t>
    </r>
  </si>
  <si>
    <t xml:space="preserve"> Skaičiuojama, kad bus paklota apie 350 km šviesolaidinių linijų (ŠKL) iki paslaugų paskirstymo taškų už apie 5 250 000,00 Eur - apie 15 000 Eur už 1 km.  Daroma prielaida, kad vidutiniškai iki kiekvieno paskirstymo mazgo bus klojama ~2 km ŠKL, o nuo kiekvieno paskirstymo mazgo vidutiniškai bus suteikta galimybė prisijungti ~ 40 vartotojų (~ 66,7 proc. namų ūkiams ir ~33,3 proc.  įmonėms). Apie 1 762 070,59 Eur bus skirta tinklo įrangai, pagalbinei įrangai, projekto valdymui ir administravimui, viešinimo veikloms ir kt. Viso prie tinklo planuojama prijungti 350/2*40= 7000 vartotojų. RCO41 =7000*0,667≈4700, o RCO42=7000*0,333≈2300. Planuojama, kad 2024 m. bus pasiekta 20 proc., todėl RCO41=4700*0,2=940, o RCO42=2300*0,2=460.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</si>
  <si>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400 * 0.8 = 320. I</t>
    </r>
  </si>
  <si>
    <r>
      <t xml:space="preserve"> It is estimated that </t>
    </r>
    <r>
      <rPr>
        <sz val="11"/>
        <rFont val="Calibri"/>
        <family val="2"/>
      </rPr>
      <t>~</t>
    </r>
    <r>
      <rPr>
        <sz val="11"/>
        <rFont val="Calibri"/>
        <family val="2"/>
        <scheme val="minor"/>
      </rPr>
      <t xml:space="preserve"> 350 km of fiber optic lines will be laid ( </t>
    </r>
    <r>
      <rPr>
        <sz val="11"/>
        <rFont val="Calibri"/>
        <family val="2"/>
      </rPr>
      <t>~</t>
    </r>
    <r>
      <rPr>
        <sz val="6.05"/>
        <rFont val="Calibri"/>
        <family val="2"/>
      </rPr>
      <t xml:space="preserve"> </t>
    </r>
    <r>
      <rPr>
        <sz val="11"/>
        <rFont val="Calibri"/>
        <family val="2"/>
        <scheme val="minor"/>
      </rPr>
      <t xml:space="preserve">5 250 000.00 Eur, </t>
    </r>
    <r>
      <rPr>
        <sz val="11"/>
        <rFont val="Calibri"/>
        <family val="2"/>
      </rPr>
      <t>~</t>
    </r>
    <r>
      <rPr>
        <sz val="11"/>
        <rFont val="Calibri"/>
        <family val="2"/>
        <scheme val="minor"/>
      </rPr>
      <t xml:space="preserve">  15 000  Eur for 1 km) up to the distribution point.  It is assumed that  ~ 2 km of fiber-optic lines will be laid up to each distribution point,  40 users  (~ 66.7% dwellings and ~ 33.3% enterprises) will be able to connect from each distribution point.  </t>
    </r>
    <r>
      <rPr>
        <sz val="11"/>
        <rFont val="Calibri"/>
        <family val="2"/>
      </rPr>
      <t>~</t>
    </r>
    <r>
      <rPr>
        <sz val="11"/>
        <rFont val="Calibri"/>
        <family val="2"/>
        <scheme val="minor"/>
      </rPr>
      <t xml:space="preserve">1 762 070.59  Eur will be allocated for network equipment, ancillary equipment, project management and administration, publicity activities, etc. It is caculated  to connect  350/2*40 = 7000 users. The target values for 2029 is calculated RCO41 = 7000 * 0.667=4700 and RCO42 = 7000 * 0.333=2300. It is planned, that the milestone value will be 20 percent in 2024 ( RCO41 = 4700 * 0.2 = 940 and RCO42 = 2300 * 0.2 = 460).  </t>
    </r>
  </si>
  <si>
    <r>
      <rPr>
        <sz val="11"/>
        <rFont val="Calibri"/>
        <family val="2"/>
        <charset val="186"/>
        <scheme val="minor"/>
      </rPr>
      <t xml:space="preserve"> It is estimated that ~ 48 km of fiber optic lines will be laid ( ~ 720 000 Eur)   - ~  15 000  Eur for 1 km. These lines  are intended for backbone network, additionally installing access points for nearby users. It is assumed that access points will be installed for ~ 25 users (~ 66.7% dwellings and ~ 33.3% enterprises) for each kilometer of fiber optic line. ~ 456 400 Eur will be allocated for network equipment, ancillary equipment, project management and administration, publicity activities, etc. It is caculated  to connect  48* 25 = 1200 users to the network. The target values for 2029 is calculated RCO41 = 1200 * 0.667=800 and RCO42 = 1200* 0.333=400. It is planned, that the milestone value will be 20 percent in 2024 ( RCO41 = 800* 0.2 = 160 and RCO42 = 1200 * 0.2 = 80)</t>
    </r>
    <r>
      <rPr>
        <sz val="11"/>
        <color rgb="FFFF0000"/>
        <rFont val="Calibri"/>
        <family val="2"/>
        <charset val="186"/>
        <scheme val="minor"/>
      </rPr>
      <t xml:space="preserve">.  </t>
    </r>
  </si>
  <si>
    <t>Skaičiuojama, kad bus paklota apie 48 km šviesolaidinių linijų (ŠKL) už apie 720 000,00 Eur - apie 15 000 Eur už 1 km. ŠKL skirta magistraliniam ryšiui, papildomai joje įrengiant prisijungimo taškus netoliese esantiems vartotojams. Daroma prielaida, kad kiekvienam paklotam ŠKL kilometrui vidutiniškai bus įrengti prisijungimo taškai 25 vartotojams (~ 66,7 proc. namų ūkiams ir ~33,3 proc.  įmonėms). Apie 456 400 Eur bus skirta tinklo įrangai, pagalbinei įrangai, projekto valdymui ir administravimui, viešinimo veikloms ir kt. Viso prie tinklo planuojama prijungti 48*25= 1200 vartotojų. RCO41 =1200*0,667≈800, o RCO42=1200*0,333≈400. Planuojama, kad 2024 m. prisijungs 20 proc, todėl RCO41=800*0,2=160, o RCO42=400*0,2=80.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</si>
  <si>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4750 * 0.8 = 3800. </t>
    </r>
  </si>
  <si>
    <t>\Planuojama, kad prisijungusių bus apie 80% namų ūkių, turėjusių prisijungimo taškus. Todėl RCR53=9500*0,8=7600.</t>
  </si>
  <si>
    <t xml:space="preserve"> Planuojama, kad prisijungusių bus apie 80% įmonių, turėjusių prisijungimo taškus. Todėl RCR54=4750*0,8=3800.</t>
  </si>
  <si>
    <r>
      <t xml:space="preserve"> Skaičiuojama, kad bus paklota apie 570 km šviesolaidinių linijų (ŠKL) už apie 8 550 000,00 Eur - apie 15 000 Eur už 1 km. ŠKL skirta magistraliniam ryšiui, papildomai joje įrengiant prisijungimo taškus netoliese esantiems vartotojams. Daroma prielaida, kad kiekvienam paklotam ŠKL kilometrui vidutiniškai bus įrengti prisijungimo taškai 25 vartotojams (</t>
    </r>
    <r>
      <rPr>
        <sz val="11"/>
        <color theme="1"/>
        <rFont val="Calibri"/>
        <family val="2"/>
        <charset val="186"/>
      </rPr>
      <t>~</t>
    </r>
    <r>
      <rPr>
        <sz val="8.25"/>
        <color theme="1"/>
        <rFont val="Calibri"/>
        <family val="2"/>
      </rPr>
      <t xml:space="preserve"> </t>
    </r>
    <r>
      <rPr>
        <sz val="11"/>
        <color theme="1"/>
        <rFont val="Calibri"/>
        <family val="2"/>
        <charset val="186"/>
      </rPr>
      <t>66,7</t>
    </r>
    <r>
      <rPr>
        <sz val="8.25"/>
        <color theme="1"/>
        <rFont val="Calibri"/>
        <family val="2"/>
      </rPr>
      <t xml:space="preserve"> </t>
    </r>
    <r>
      <rPr>
        <sz val="11"/>
        <color theme="1"/>
        <rFont val="Calibri"/>
        <family val="2"/>
        <charset val="186"/>
      </rPr>
      <t>proc.</t>
    </r>
    <r>
      <rPr>
        <sz val="8.25"/>
        <color theme="1"/>
        <rFont val="Calibri"/>
        <family val="2"/>
      </rPr>
      <t xml:space="preserve"> </t>
    </r>
    <r>
      <rPr>
        <sz val="11"/>
        <color theme="1"/>
        <rFont val="Calibri"/>
        <family val="2"/>
        <scheme val="minor"/>
      </rPr>
      <t xml:space="preserve">namų ūkiams ir </t>
    </r>
    <r>
      <rPr>
        <sz val="11"/>
        <color theme="1"/>
        <rFont val="Calibri"/>
        <family val="2"/>
        <charset val="186"/>
      </rPr>
      <t xml:space="preserve">~33,3 proc. </t>
    </r>
    <r>
      <rPr>
        <sz val="11"/>
        <color theme="1"/>
        <rFont val="Calibri"/>
        <family val="2"/>
        <charset val="186"/>
        <scheme val="minor"/>
      </rPr>
      <t xml:space="preserve"> į</t>
    </r>
    <r>
      <rPr>
        <sz val="11"/>
        <color theme="1"/>
        <rFont val="Calibri"/>
        <family val="2"/>
        <scheme val="minor"/>
      </rPr>
      <t xml:space="preserve">monėms). Apie 5 459 564,71 Eur bus skirta tinklo įrangai, pagalbinei įrangai, projekto valdymui ir administravimui, viešinimo veikloms ir kt. Viso prie tinklo planuojama prijungti 570*25= 14 250 vartotojų. </t>
    </r>
    <r>
      <rPr>
        <sz val="11"/>
        <color theme="1"/>
        <rFont val="Calibri"/>
        <family val="2"/>
        <charset val="186"/>
        <scheme val="minor"/>
      </rPr>
      <t>RCO41 =14 250*0,667</t>
    </r>
    <r>
      <rPr>
        <sz val="11"/>
        <color theme="1"/>
        <rFont val="Calibri"/>
        <family val="2"/>
        <charset val="186"/>
      </rPr>
      <t>≈9 500, o RCO42=14 250*0,333</t>
    </r>
    <r>
      <rPr>
        <sz val="8.25"/>
        <color theme="1"/>
        <rFont val="Calibri"/>
        <family val="2"/>
        <charset val="186"/>
      </rPr>
      <t>≈</t>
    </r>
    <r>
      <rPr>
        <sz val="11"/>
        <color theme="1"/>
        <rFont val="Calibri"/>
        <family val="2"/>
        <charset val="186"/>
      </rPr>
      <t xml:space="preserve">4750. </t>
    </r>
    <r>
      <rPr>
        <sz val="11"/>
        <color theme="1"/>
        <rFont val="Calibri"/>
        <family val="2"/>
        <scheme val="minor"/>
      </rPr>
      <t>Planuojama, kad 2024 m. prisijungs 20 proc, todėl RCO41=9500*0,2=1900, o RCO42=4750*0,2=950.</t>
    </r>
  </si>
  <si>
    <r>
      <t xml:space="preserve"> It is estimated that </t>
    </r>
    <r>
      <rPr>
        <sz val="11"/>
        <rFont val="Calibri"/>
        <family val="2"/>
      </rPr>
      <t>~</t>
    </r>
    <r>
      <rPr>
        <sz val="11"/>
        <rFont val="Calibri"/>
        <family val="2"/>
        <scheme val="minor"/>
      </rPr>
      <t xml:space="preserve"> 570 km of fiber optic lines will be laid ( </t>
    </r>
    <r>
      <rPr>
        <sz val="11"/>
        <rFont val="Calibri"/>
        <family val="2"/>
      </rPr>
      <t>~</t>
    </r>
    <r>
      <rPr>
        <sz val="6.05"/>
        <rFont val="Calibri"/>
        <family val="2"/>
      </rPr>
      <t xml:space="preserve"> </t>
    </r>
    <r>
      <rPr>
        <sz val="11"/>
        <rFont val="Calibri"/>
        <family val="2"/>
        <scheme val="minor"/>
      </rPr>
      <t xml:space="preserve">8 550 000.00 Eur)   - </t>
    </r>
    <r>
      <rPr>
        <sz val="11"/>
        <rFont val="Calibri"/>
        <family val="2"/>
      </rPr>
      <t>~</t>
    </r>
    <r>
      <rPr>
        <sz val="11"/>
        <rFont val="Calibri"/>
        <family val="2"/>
        <scheme val="minor"/>
      </rPr>
      <t xml:space="preserve">  15 000  Eur for 1 km. These lines  are intended for backbone network, additionally installing access points for nearby users. It is assumed that access points will be installed for </t>
    </r>
    <r>
      <rPr>
        <sz val="11"/>
        <rFont val="Calibri"/>
        <family val="2"/>
      </rPr>
      <t>~</t>
    </r>
    <r>
      <rPr>
        <sz val="11"/>
        <rFont val="Calibri"/>
        <family val="2"/>
        <scheme val="minor"/>
      </rPr>
      <t xml:space="preserve"> 25 users (~ 66.7% dwellings and ~ 33.3% enterprises) for each kilometer of fiber optic line. </t>
    </r>
    <r>
      <rPr>
        <sz val="11"/>
        <rFont val="Calibri"/>
        <family val="2"/>
      </rPr>
      <t>~</t>
    </r>
    <r>
      <rPr>
        <sz val="11"/>
        <rFont val="Calibri"/>
        <family val="2"/>
        <scheme val="minor"/>
      </rPr>
      <t xml:space="preserve"> 5 459 564.71 Eur will be allocated for network equipment, ancillary equipment, project management and administration, publicity activities, etc. It is caculated  to connect  570 * 25 = 14 250 users to the network. The target values for 2029 is calculated RCO41 = 14 250 * 0.667=9 500 and RCO42 = 14 250 * 0.333=4 750. It is planned, that the milestone value will be 20 percent in 2024 ( RCO41 = 9500 * 0.2 = 1 900 and RCO42 = 4750 * 0.2 = 950).</t>
    </r>
  </si>
  <si>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9500 * 0.8 = 7600. </t>
    </r>
  </si>
  <si>
    <t>A Planuojama, kad prisijungusių bus apie 80% namų ūkių, turėjusių prisijungimo taškus. Todėl RCR53=4700*0,8=3760.</t>
  </si>
  <si>
    <t xml:space="preserve"> Planuojama, kad prisijungusių bus apie 80% įmonių, turėjusių prisijungimo taškus. Todėl RCR54=2300*0,8=1840.</t>
  </si>
  <si>
    <t>Annual users of newly built, reconstructed, upgraded or modernised roads (naujai pastatytų, rekonstruotų, atnaujintų arba modernizuotų kelių naudotojų skaičius per metus)</t>
  </si>
  <si>
    <t>Time savings due to improved road infrastructures (dėl patobulintos kelių infrastruktūros sutaupytas laikas)</t>
  </si>
  <si>
    <t>Dedicated cycling infrastructure supported (dviračiams skirta infrastruktūra, kuriai suteikta parama)</t>
  </si>
  <si>
    <t>Length of roads reconstructed or modernised - non-TENT (rekonstruotų arba modernizuotų kelių ilgis – ne TEN-T)(rekonstruotų arba modernizuotų kelių ilgis – ne TEN-T)</t>
  </si>
  <si>
    <t>Ministry of transport</t>
  </si>
  <si>
    <t>MWR</t>
  </si>
  <si>
    <t>Indicator code</t>
  </si>
  <si>
    <t>Indicator name</t>
  </si>
  <si>
    <t>Indicator M.U.</t>
  </si>
  <si>
    <t>Indicator baseline value</t>
  </si>
  <si>
    <t>Indicator baseline year</t>
  </si>
  <si>
    <t>Row ID</t>
  </si>
  <si>
    <t>Field</t>
  </si>
  <si>
    <t>Indicator metadata</t>
  </si>
  <si>
    <t>Fund relevance</t>
  </si>
  <si>
    <t>2b</t>
  </si>
  <si>
    <t>Indicator code and short name</t>
  </si>
  <si>
    <t>(open data name)</t>
  </si>
  <si>
    <t>Measurement unit</t>
  </si>
  <si>
    <t>Type of indicator</t>
  </si>
  <si>
    <t>output</t>
  </si>
  <si>
    <t>&gt;=0</t>
  </si>
  <si>
    <t>&gt;0</t>
  </si>
  <si>
    <t>Policy objective</t>
  </si>
  <si>
    <t>PO3 Connected Europe</t>
  </si>
  <si>
    <t>Specific objective</t>
  </si>
  <si>
    <t>Definition and concepts</t>
  </si>
  <si>
    <t>Data collection</t>
  </si>
  <si>
    <t>Time measurement achieved</t>
  </si>
  <si>
    <t>Upon completion of output in the supported project.</t>
  </si>
  <si>
    <t>Aggregation issues</t>
  </si>
  <si>
    <t>Reporting</t>
  </si>
  <si>
    <t>Rule 1: Reporting by specific objective</t>
  </si>
  <si>
    <t>Forecast for selected projects and achieved values, both cumulative to date  (CPR Annex VII, Table 3).</t>
  </si>
  <si>
    <t>References</t>
  </si>
  <si>
    <t>Corresponding corporate indicator</t>
  </si>
  <si>
    <t>Notes</t>
  </si>
  <si>
    <t>P.S</t>
  </si>
  <si>
    <t>RSO 3.2 Sustainable transport</t>
  </si>
  <si>
    <t>Traffic safety is a set of road traffic characteristics that show the extent to which road users are protected from traffic accidents and their consequences (source: Law on Road Traffic Safety of the Republic of Lithuania).</t>
  </si>
  <si>
    <t>R.S</t>
  </si>
  <si>
    <t>Persons per year</t>
  </si>
  <si>
    <t>result</t>
  </si>
  <si>
    <t>Not required</t>
  </si>
  <si>
    <t>Road - an engineering structure for the traffic of vehicles and pesticides. Road elements include: embankment, carriageway, curbs, dividing strip, ditches and other drainage systems, intersections, bus stops, rest areas, pedestrian and bicycle paths, road structures, technical traffic control measures, greenery, lane , road weather monitoring and traffic accounting, lighting and other equipment with land occupied by these elements (source: Law on Roads of the Republic of Lithuania).</t>
  </si>
  <si>
    <t>Double counting should be removed at the level of the specific objective</t>
  </si>
  <si>
    <t xml:space="preserve">ERDF </t>
  </si>
  <si>
    <t>R.S.</t>
  </si>
  <si>
    <t>users/year</t>
  </si>
  <si>
    <t>not required</t>
  </si>
  <si>
    <t xml:space="preserve">Annual users of dedicated cycling infrastructure along state roads financed by supported projects. </t>
  </si>
  <si>
    <t>The baseline of the indicator is estimated as the annual number of users of the infrastructure for the year before the intervention starts, and it is zero for new infrastructure. The achieved values are estimated ex-post in terms of the number of users using the infrastructure for the year after the physical completion of the intervention.</t>
  </si>
  <si>
    <t>One year after the completion of output in the supported project.</t>
  </si>
  <si>
    <t>The target value is calculated using the methodology proposed by Jaspers on 16/10/2020: [Passenger-km] = Σ nj = 1 [AADTj] * [Lengthj] * Occupancy * 365. 
The baseline value of the indicator in 2021 was determined taking into account the current growth (change) of passenger traffic per year in existing country roads No. 173 Molėtai – Pabradė sections from 1.88 to 15.405 km and from 23.074 to 35.123 km, no. 119 Molėtai – Anykščiai section from 28,169 to 36,056 km, no. 179 Dusetos-Degučiai-Dūkštas sections from 6,040 to 15,988 km, no. 181 Seirijai – Simnas – Igliauka section from 0.00 to 17,260 km: (760*25,574*1,69*365)+(650*7,887*1,59*365)+(166*9,948*1,86*365)+(300*17,26*1,6*365)=19109504.
The target value of the indicator in 2029 was determined taking into account the growth (change) of the passenger traffic of the road to be reconstructed per year in 60.67 km: (803*25,574*1,69*365)+(687*7,887*1,59*365)+(175*9,948*1,86*365)+(317*17,26*1,6*365)=20189340.
The traffic flow forecast is based on forecasts prepared by the European Commission (source: https://ec.europa.eu/energy/sites/ener/files/documents/20160713%20draft_publication_REF2016_v13.pdf)</t>
  </si>
  <si>
    <t>man-days/year</t>
  </si>
  <si>
    <r>
      <rPr>
        <sz val="11"/>
        <rFont val="Calibri"/>
        <family val="2"/>
        <charset val="186"/>
      </rPr>
      <t>~</t>
    </r>
    <r>
      <rPr>
        <sz val="11"/>
        <rFont val="Calibri"/>
        <family val="2"/>
        <charset val="186"/>
        <scheme val="minor"/>
      </rPr>
      <t xml:space="preserve"> 72,59 percent ( </t>
    </r>
    <r>
      <rPr>
        <sz val="11"/>
        <rFont val="Calibri"/>
        <family val="2"/>
        <charset val="186"/>
      </rPr>
      <t>~</t>
    </r>
    <r>
      <rPr>
        <sz val="11"/>
        <rFont val="Calibri"/>
        <family val="2"/>
        <charset val="186"/>
        <scheme val="minor"/>
      </rPr>
      <t xml:space="preserve">62 304 412  Eur) of intervension investments is allocated to this indicator.
The target value of the indicator in 2029 is 60.669 </t>
    </r>
    <r>
      <rPr>
        <sz val="11"/>
        <rFont val="Calibri"/>
        <family val="2"/>
        <charset val="186"/>
      </rPr>
      <t xml:space="preserve">(≈60,67) </t>
    </r>
    <r>
      <rPr>
        <sz val="11"/>
        <rFont val="Calibri"/>
        <family val="2"/>
        <charset val="186"/>
        <scheme val="minor"/>
      </rPr>
      <t>km (11 sections) calculated as the length of the sections of the country roads No. 173 Molėtai – Pabradė sections from 1.88 to 15.405 km and from 23.074 to 35.123 km (6 sections in total, total length - 25.574 km), no. 119 Molėtai – Anykščiai section from 28,169 to 36,056 km (section 1, length - 7,887 km), Nr. 179 Duseta-Degučiai-Dūkštas sections from 6,040 to 15,988 km (3 sections in total, total length - 9,948 km), no. 181 Seirijai – Simnas – Igliauka section from 0.00 to 17,260 km (section 1, length - 17.26 km) planned to be reconstructed.  The required investments for the  reconstruction (62 304 412 Eur) of these sections are determined according to the tariff of 1 km  (~  1 048 462 Eur) set in technical work project of Reconstruction of National road no. 105 Pirčiupiai – Eišiškės section from 18.10 to 23.50 km. 
According to the allocation for this indicator and the fact that the reconstruction of 11 different sections will require different amounts of work the tariff of 1 km is calculated 62 304 412/60.669</t>
    </r>
    <r>
      <rPr>
        <sz val="11"/>
        <rFont val="Calibri"/>
        <family val="2"/>
        <charset val="186"/>
      </rPr>
      <t>≈</t>
    </r>
    <r>
      <rPr>
        <sz val="11"/>
        <rFont val="Calibri"/>
        <family val="2"/>
        <charset val="186"/>
        <scheme val="minor"/>
      </rPr>
      <t>1 026 956 Eur. 
 It is planned, that the milestone value will be  25,1 percent in 2024 (60.67* 0.251 = 15.23).</t>
    </r>
  </si>
  <si>
    <r>
      <t xml:space="preserve">New cycling infrastructure  is planned to be installed along the roads of state importance, where live </t>
    </r>
    <r>
      <rPr>
        <sz val="11"/>
        <rFont val="Calibri"/>
        <family val="2"/>
        <charset val="186"/>
      </rPr>
      <t>~</t>
    </r>
    <r>
      <rPr>
        <sz val="11"/>
        <rFont val="Calibri"/>
        <family val="2"/>
        <charset val="186"/>
        <scheme val="minor"/>
      </rPr>
      <t xml:space="preserve"> 631 000 inhabitans. The values ​​of the indicator are determined taking into account the population and the change of the indicator “Share of cycling and other non-motorized vehicles in the total travel structure” provided in the National Progress Plan from 5.7 percent  (2017) to 12.3 percent (2030). The change over the year is calculated (12.3-5.7 / 13 (years) ≈0.5 percent.
In 2021, the baseline value of the indicator is 0, because it is planned to install new infrastructure.
The target value of the indicator for 2029 has been determined taking into account the change of the mentioned indicator provided in the progress plan from 2021 (5.7 + 0.51 * 4 (years) = 7.7 percent) to 2029 (5.7 + 0.51 * 12 (years) = 11.82 percent). The change is calculated 11.82-7.74 = 4.08 percent. According to the forecasts of the Department of Statistics, the population In 2030 will be a decrease of 7.6 %, so there will be 583 044 inhabitants in the areas where new bicycle infrastructure is planned to be installed. The target value of the indicator in 2029 m is calculated  0.0408 * 583044≈23788.</t>
    </r>
  </si>
  <si>
    <t>Annual users of dedicated cycling infrastructure (dviračiams skirtos infrastruktūros metinis naudotojų skaičius)</t>
  </si>
  <si>
    <t>road passenger-km/ year</t>
  </si>
  <si>
    <t>Specific output</t>
  </si>
  <si>
    <t>Specific result</t>
  </si>
  <si>
    <t>specific result</t>
  </si>
  <si>
    <t>Policy objective - 3. A more connected Europe by enhancing mobility</t>
  </si>
  <si>
    <t>3.2.2.Improve cycling and pedestrian infrastructure along state roads  (Plėtoti dviračių ir pėsčiųjų infrastruktūrą šalia valstybinės reikšmės kelių)</t>
  </si>
  <si>
    <t>The target value is calculated using the methodology proposed by Jaspers on 16/10/2020: [Saved Passenger-hours / year] =Σ nj=1 ( [Lengthj b / Speedj b] – [Lengthj f/a / Speedj f/a)] )* Occupancy * AADTj f/a * DAYS.
The target value of the indicator in 2029 was determined taking into account the change in the average speed of the road traffic planned to be reconstructed in the current and planned situation, the growth (change) of passenger traffic per year in the 60.67 km section: (3,10/71,83-3,10/83,14)*1,69*803*365+(3,22/72,56-3,22/88,00)*1,69*803*365+(2,785/68,06-2,785/88,00)*1,69*803*365+(4,42/68,06-4,42/75,63)*1,69*803*365+(3,98/63,06-3,98/73,02)*1,69*803*365+(8,069/62,55-8,069/75,77)*1,69*803*365+(7,887/63,64-7,887 /83,25)*1,59*687*365+(4,24/63,56-4,24/83,12)*1,86*175*365+(3,348/65,57-3,348/87,14)*1,86*175*365+(2,36/59,71-2,36/78,91)*1,86*175*365+(17,26/81,75-17,26/83,75)*1,60*317*365=6066.
The calculations estimate the average working week in Lithuania - 38.8 hours =&gt; 1 day: 7.76 hours (source: https://stats.oecd.org/Index.aspx?DataSetCode=AVE_HRS).</t>
  </si>
  <si>
    <t>Roads : Implemented traffic safety improvement measures</t>
  </si>
  <si>
    <t>The total number of implemented traffic safety improvement  measures in municipalities roads.</t>
  </si>
  <si>
    <t>Accident place - an accident place that complies with the requirements set  in Chapter VIII of the Description of Requirements and Procedure for the Detection, Examination and Removal of Black Spots approved by Order No. 3-51 of the Minister of Transport and Communications  in 27 January 2022.</t>
  </si>
  <si>
    <t>Municipalities roads - local public roads and streets are owned by municipalities.</t>
  </si>
  <si>
    <t>Black spot - an accidental place on the road or street where the number of creditworthy accidents has reached the limit value set by the Minister of Transport.</t>
  </si>
  <si>
    <t>=0</t>
  </si>
  <si>
    <t xml:space="preserve"> After completion of output in the supported project.</t>
  </si>
  <si>
    <t>projects data</t>
  </si>
  <si>
    <t>Traffic safety experts from the Transport Competence Agency and the Ministry of Transport and Communications consider that 1 implemented traffic safety measure eliminates 1 black spot or accident place. Therefore the target value for 2029  is 14.</t>
  </si>
  <si>
    <t>14</t>
  </si>
  <si>
    <t xml:space="preserve">27,41  percent ( 23 529 412 Eur) of intervension investments is allocated to this indicator.
The tariff of 1  safety and measure is  ~ 1650000 Eur is determined accoording to the data of projects implemented in 2014-2020 period by measure Measure no. 06.2.1-TID-V-507  "Improving regional accessibility" in Priority 6 "Development of Sustainable Transport and Core Network Infrastructure". 
 The target value for 2029 is calculated   23529412/1650000≈14. The planning of the implementation (including deadlines) of traffic safety improvement measures is carried out in the way of regional planning and is not influenced by the Ministry of Transport and Communications, it is assumed that the milestone value for 2024 will be  20 percent (14 * 0.2≈3).  
</t>
  </si>
  <si>
    <r>
      <rPr>
        <b/>
        <sz val="11"/>
        <rFont val="Calibri"/>
        <family val="2"/>
        <charset val="186"/>
        <scheme val="minor"/>
      </rPr>
      <t>083</t>
    </r>
    <r>
      <rPr>
        <sz val="11"/>
        <rFont val="Calibri"/>
        <family val="2"/>
        <charset val="186"/>
        <scheme val="minor"/>
      </rPr>
      <t xml:space="preserve"> Cycling infrastructure (Dviračių infrastruktūra)</t>
    </r>
  </si>
  <si>
    <r>
      <t>2029 the target value of the indicator (98,039 km) was calculated as the length of the planned new cycling infrastructure.
The tariff of  1km  is ~ 293 315 Eur, is determined according to the contracts for the construction of pedestrian and bicycle paths near national roads: No. 146 Raseiniai-Šilinė 0.731–5.758 km, No. 148 Raseiniai – Tytuvėnai – Radviliškis 19.90–26.54 km; No. 172 Raudondvaris – Giedraičiai – Molėtai 28,668–28,682 km and 29,610–29,725 km; No. 150 Šiauliai – Pakruojis – Pasvalys 2.00–4.439 km).</t>
    </r>
    <r>
      <rPr>
        <sz val="11"/>
        <rFont val="Calibri"/>
        <family val="2"/>
        <charset val="186"/>
      </rPr>
      <t xml:space="preserve"> The final tariff is ~ </t>
    </r>
    <r>
      <rPr>
        <sz val="11"/>
        <rFont val="Calibri"/>
        <family val="2"/>
        <charset val="186"/>
        <scheme val="minor"/>
      </rPr>
      <t xml:space="preserve">300 000 Eur  ( indexed after estimating the price change before the planned start of works, calculated by estimating price changes over the last 10 years). 
The target value for 2029 is calculated  29411765 /300000≈98,04. It is planned to reach 15 percent in 2024 (98,04*0,15=14,71). </t>
    </r>
  </si>
  <si>
    <r>
      <t xml:space="preserve">Municipalities roads - local public </t>
    </r>
    <r>
      <rPr>
        <sz val="10"/>
        <color rgb="FFFF0000"/>
        <rFont val="Times New Roman"/>
        <family val="1"/>
        <charset val="186"/>
      </rPr>
      <t xml:space="preserve">roads (streets) </t>
    </r>
    <r>
      <rPr>
        <sz val="10"/>
        <rFont val="Times New Roman"/>
        <family val="1"/>
        <charset val="186"/>
      </rPr>
      <t>are owned by municipalities.</t>
    </r>
  </si>
  <si>
    <t>Implemented traffic safety improvement measures in municipalities roads (Įdiegtos saugų eismą gerinančios ir  priemonės  vietinės reikšmės keliuose (gatvėse))</t>
  </si>
  <si>
    <t xml:space="preserve"> Removed black spots or accident places on municipalities roads (Panaikintos juodosios dėmės ar avaringos vietos vietinės reikšmės keliuose (gatvėse) )</t>
  </si>
  <si>
    <t>Removed black spots and accident places on municipalities roads (Panaikintos juodosios dėmės ar avaringos vietos vietinės reikšmės keliuose (gatvėse))</t>
  </si>
  <si>
    <t>Implemented traffic safety improvement measures in municipalities roads (Įdiegtos saugų eismą gerinančios priemonės  vietinės reikšmės keliuose (gatvėse))</t>
  </si>
  <si>
    <t>Specific objective– 3.2. Developing and enhancing sustainable, climate resilient, intelligent and intermodal national, regional and local mobility, including improved access to TEN-T and cross-border mobility (Plėtoti ir stiprinti tvarų, klimato kaitai atsparų, pažangų ir įvairiarūšį nacionalinį, regioninį ir vietos judumą, įskaitant geresnes galimybes naudotis TEN-T ir tarpvalstybinį judumą)</t>
  </si>
  <si>
    <t>3.2.1. Improve and reconstruct roads of public significance (regional connections with the TEN-T network)(Tobulinti ir rekonstruoti valstybinės reikšmės kelius (regionų jungtis su TEN-T))</t>
  </si>
  <si>
    <t>RCO74</t>
  </si>
  <si>
    <t>Population covered by projects in the framework of strategies for integrated territorial development (gyventojai, kuriems taikomi projektai, vykdomi pagal integruotas teritorinio vystymo programas)</t>
  </si>
  <si>
    <t>RCO75</t>
  </si>
  <si>
    <t>Strategies for integrated territorial development (integruotos teritorinio vystymo strategijos, kurioms suteikta parama)</t>
  </si>
  <si>
    <t xml:space="preserve"> Persons</t>
  </si>
  <si>
    <t>contributions to strategies</t>
  </si>
  <si>
    <t>Specific activities shall target groups living in urban areas of Mid-West region (9 strategies with territorial delivery mechanism 02) or functional zones (or parts of it) of Mid-West region, other than urban areas (9 strategies with territorial delivery mechanism 08). The value of the target indicator is determined on the assumption that the specific problems of each of the inhabitants of city or functional zone be addressed by certain activities of the integrated strategies and when aggregating the final amount, double counting will be removed at the level of ITI. 
Therefore, the total number of the population covered is expected to be equal to population of territories concerned, adjusted to expected population change rate (see assumptions of RCO 74 indicator for SO 5.1 and 5.2) = 1 709 154, of which:
Kaunas city and suburbs (y2020 estimate population based on 2020 pilot census data (1 km2 grid cell) and CORINE land cover change 2012-2018 data ~ 339 284) + Klaipėda city and suburbs (y2020 estimate based on 2020 pilot census data (1 km2 grid cell) and CORINE land cover change 2012-2018 data ~ 185 150) + 7 cities and towns (start of y2021 number of inhabitants by Statistics Lithuania = 338 075 inh.) * 0,92 (expected population change rate) = (339 284 + 185 150 + 338 075) * 0,92 = 793 508 inh.
Total population of Mid-West region territories other than 9 cities and towns (centres of regions) and suburban area of  Kaunas and Klaipėda agglomerations (start of y2021 ~1 103 188  inh.) * population change rate (0,83) = 1 103 188 * 0,83 = 915 646
Therefore:
Average population per strategy (MWR) 1 709 154 / 18 =  94 953 
Target value was obtained by multiplying expected number of contributioms (RCO75) by Average population per strategy (LT) = 2*94 953 = 189 906
2024 target value = 0 due to the complexity of planning and implementation of integrated strategies (multiple sectors, multiple territories, multiple levels of governance)."</t>
  </si>
  <si>
    <t>093 Other reconstructed or modernised roads (motorway, national, regional or local)(Kiti rekonstruoti ar modernizuoti keliai (greitkeliai, nacionaliniai, regioniniai ar vietos keliai)</t>
  </si>
  <si>
    <t>Managing Authority monitoring system</t>
  </si>
  <si>
    <r>
      <t xml:space="preserve">Total expected number of territorial strategies is equal to number of territorial strategies for sustainable urban development (9) + functional zones strategies (9) = 18.
Maximum number of territorial strategies for sustainable urban development is equal to number of regional centres in a corresponding NUTS-2 region (9 in Mid-West Lithuania region), assuming that 3 biggest cities may draft a single strategy with neighboring municipalities of urban agglomeration.  Same territorial strategy applies to all actions of PO5 and ITI. When aggregating the final amount, double counting is removed at the level of ITI.
The expected number of functional zones strategies is equal to the number of NUTS III regions. Taking into account the geographical distribution of jobs and public services in LT NUTS-3 regions and the usual duration of working day trips (labour catchment), the geographical territories of NUTS-3 regions approximate the natural functional connections of territories with ~ 85% accuracy. That is, most of the functional zones will cover an area similar in geographical size to LT NUTS-3 (~ 6530 km2) and will have a relatively limited deviation from boundaries of LT NUTS-3 regions (counties). Therefore, expected territorial strategy territorial coverage (functional zone) is a NUTS-3 size level unit (with a possibility to set up functional zones exceeding regional boundary). Therefore,  number of territorial strategies for functional zones is expected to be equal to the number of NUTS-3 regions in a corresponding NUTS-2 region, assuming that at least one functional area will be set up (NUTS-2 Mid-West Lithuania region contains 9 NUTS-3 regions).  Same territorial strategy applies to all actions of PO5 and ITI. When aggregating the final amount, double counting is removed at the level of ITI.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not all POs (and their actions).
Of all the POs, only in the case of PO5 is the ITI the only possible territorial implementation mechanism. The target value of other POs, SOs and their actions is defined as the probability that the territorial strategy will benefit from the investment multiplied by the total expected number of territorial strategies.
The standard probability is 1 / total number of SOs contributing to the ITI (12) - SO 5.1 and SO 5.2 (2) = 10%. I.e. average number of contributions = 18 * 10% </t>
    </r>
    <r>
      <rPr>
        <sz val="11"/>
        <rFont val="Calibri"/>
        <family val="2"/>
        <charset val="186"/>
      </rPr>
      <t>≈</t>
    </r>
    <r>
      <rPr>
        <sz val="11"/>
        <rFont val="Calibri"/>
        <family val="2"/>
        <charset val="186"/>
        <scheme val="minor"/>
      </rPr>
      <t xml:space="preserve"> 2.
2024 target value = 0 due to the complexity of planning and implementation of integrated strategies (multiple sectors, multiple territories, multiple levels of governance).</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</si>
</sst>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 #,##0.00_-;_-* &quot;-&quot;??_-;_-@_-"/>
    <numFmt numFmtId="165" formatCode="#,##0.0"/>
    <numFmt numFmtId="166" formatCode="#,##0.000000"/>
    <numFmt numFmtId="167" formatCode="#,##0.0000"/>
    <numFmt numFmtId="168" formatCode="#,##0.0000000"/>
    <numFmt numFmtId="169" formatCode="#,##0.00000"/>
    <numFmt numFmtId="170" formatCode="#,##0.000"/>
  </numFmts>
  <fonts count="7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1"/>
      <color rgb="FFFF0000"/>
      <name val="Calibri"/>
      <family val="2"/>
      <charset val="186"/>
      <scheme val="minor"/>
    </font>
    <font>
      <sz val="11"/>
      <color rgb="FFFF0000"/>
      <name val="Calibri"/>
      <family val="2"/>
      <scheme val="minor"/>
    </font>
    <font>
      <b/>
      <sz val="11"/>
      <color rgb="FFFF0000"/>
      <name val="Calibri"/>
      <family val="2"/>
      <charset val="186"/>
      <scheme val="minor"/>
    </font>
    <font>
      <sz val="9"/>
      <color indexed="81"/>
      <name val="Tahoma"/>
      <family val="2"/>
      <charset val="186"/>
    </font>
    <font>
      <b/>
      <sz val="9"/>
      <color indexed="81"/>
      <name val="Tahoma"/>
      <family val="2"/>
      <charset val="186"/>
    </font>
    <font>
      <sz val="11"/>
      <color rgb="FF00B050"/>
      <name val="Calibri"/>
      <family val="2"/>
      <scheme val="minor"/>
    </font>
    <font>
      <sz val="11"/>
      <color rgb="FF000000"/>
      <name val="Calibri"/>
      <family val="2"/>
      <charset val="186"/>
      <scheme val="minor"/>
    </font>
    <font>
      <sz val="11"/>
      <name val="Calibri"/>
      <family val="2"/>
      <charset val="186"/>
      <scheme val="minor"/>
    </font>
    <font>
      <sz val="11"/>
      <color rgb="FF00B050"/>
      <name val="Calibri"/>
      <family val="2"/>
      <charset val="186"/>
      <scheme val="minor"/>
    </font>
    <font>
      <b/>
      <sz val="11"/>
      <color theme="1"/>
      <name val="Calibri"/>
      <family val="2"/>
      <scheme val="minor"/>
    </font>
    <font>
      <sz val="11"/>
      <name val="Calibri"/>
      <family val="2"/>
      <scheme val="minor"/>
    </font>
    <font>
      <sz val="11"/>
      <color rgb="FFFF0000"/>
      <name val="Calibri"/>
      <family val="2"/>
      <charset val="186"/>
    </font>
    <font>
      <sz val="11"/>
      <color theme="1"/>
      <name val="Calibri"/>
      <family val="2"/>
    </font>
    <font>
      <sz val="11"/>
      <color rgb="FFFF0000"/>
      <name val="Calibri"/>
      <family val="2"/>
    </font>
    <font>
      <sz val="11"/>
      <name val="Calibri"/>
      <family val="2"/>
      <charset val="186"/>
    </font>
    <font>
      <sz val="11"/>
      <name val="Calibri"/>
      <family val="2"/>
    </font>
    <font>
      <sz val="11"/>
      <color rgb="FFC00000"/>
      <name val="Calibri"/>
      <family val="2"/>
      <scheme val="minor"/>
    </font>
    <font>
      <sz val="11"/>
      <color rgb="FF00B050"/>
      <name val="Calibri"/>
      <family val="2"/>
    </font>
    <font>
      <sz val="11"/>
      <color rgb="FF00B050"/>
      <name val="Times New Roman"/>
      <family val="1"/>
    </font>
    <font>
      <sz val="11"/>
      <color theme="1"/>
      <name val="Times New Roman"/>
      <family val="1"/>
      <charset val="186"/>
    </font>
    <font>
      <sz val="11"/>
      <color rgb="FF00B050"/>
      <name val="Times New Roman"/>
      <family val="1"/>
      <charset val="186"/>
    </font>
    <font>
      <b/>
      <sz val="11"/>
      <name val="Calibri"/>
      <family val="2"/>
      <scheme val="minor"/>
    </font>
    <font>
      <sz val="10"/>
      <color theme="1"/>
      <name val="Calibri"/>
      <family val="2"/>
      <scheme val="minor"/>
    </font>
    <font>
      <sz val="10"/>
      <name val="Calibri"/>
      <family val="2"/>
      <scheme val="minor"/>
    </font>
    <font>
      <sz val="11"/>
      <color theme="1"/>
      <name val="Calibri"/>
      <family val="2"/>
      <charset val="186"/>
    </font>
    <font>
      <b/>
      <sz val="11"/>
      <color theme="1"/>
      <name val="Times New Roman"/>
      <family val="1"/>
      <charset val="186"/>
    </font>
    <font>
      <b/>
      <sz val="11"/>
      <color rgb="FF00B050"/>
      <name val="Calibri"/>
      <family val="2"/>
      <charset val="186"/>
      <scheme val="minor"/>
    </font>
    <font>
      <sz val="10"/>
      <name val="Calibri"/>
      <family val="2"/>
      <charset val="186"/>
      <scheme val="minor"/>
    </font>
    <font>
      <sz val="10"/>
      <color rgb="FFFF0000"/>
      <name val="Calibri"/>
      <family val="2"/>
      <scheme val="minor"/>
    </font>
    <font>
      <sz val="11"/>
      <color theme="3" tint="-0.249977111117893"/>
      <name val="Calibri"/>
      <family val="2"/>
      <scheme val="minor"/>
    </font>
    <font>
      <sz val="8"/>
      <name val="Calibri"/>
      <family val="2"/>
      <scheme val="minor"/>
    </font>
    <font>
      <sz val="8.25"/>
      <color theme="1"/>
      <name val="Calibri"/>
      <family val="2"/>
    </font>
    <font>
      <sz val="8.25"/>
      <color theme="1"/>
      <name val="Calibri"/>
      <family val="2"/>
      <charset val="186"/>
    </font>
    <font>
      <sz val="10"/>
      <color rgb="FFFF0000"/>
      <name val="Calibri"/>
      <family val="2"/>
      <charset val="186"/>
      <scheme val="minor"/>
    </font>
    <font>
      <sz val="9"/>
      <color theme="1"/>
      <name val="Times New Roman"/>
      <family val="1"/>
      <charset val="186"/>
    </font>
    <font>
      <sz val="10"/>
      <color theme="1"/>
      <name val="Times New Roman"/>
      <family val="1"/>
      <charset val="186"/>
    </font>
    <font>
      <b/>
      <sz val="10"/>
      <color theme="1"/>
      <name val="Times New Roman"/>
      <family val="1"/>
      <charset val="186"/>
    </font>
    <font>
      <b/>
      <sz val="14"/>
      <color rgb="FFFF0000"/>
      <name val="Times New Roman"/>
      <family val="1"/>
      <charset val="186"/>
    </font>
    <font>
      <sz val="10"/>
      <name val="Times New Roman"/>
      <family val="1"/>
      <charset val="186"/>
    </font>
    <font>
      <b/>
      <sz val="14"/>
      <color rgb="FFFF0000"/>
      <name val="Calibri"/>
      <family val="2"/>
      <charset val="186"/>
      <scheme val="minor"/>
    </font>
    <font>
      <sz val="14"/>
      <color theme="1"/>
      <name val="Times New Roman"/>
      <family val="1"/>
      <charset val="186"/>
    </font>
    <font>
      <sz val="8"/>
      <color theme="1"/>
      <name val="Times New Roman"/>
      <family val="1"/>
      <charset val="186"/>
    </font>
    <font>
      <sz val="14"/>
      <color rgb="FFFF0000"/>
      <name val="Times New Roman"/>
      <family val="1"/>
      <charset val="186"/>
    </font>
    <font>
      <sz val="16"/>
      <color rgb="FFFF0000"/>
      <name val="Calibri"/>
      <family val="2"/>
      <scheme val="minor"/>
    </font>
    <font>
      <sz val="8"/>
      <color theme="1"/>
      <name val="Times"/>
      <charset val="186"/>
    </font>
    <font>
      <b/>
      <sz val="12"/>
      <color rgb="FFFF0000"/>
      <name val="Times New Roman"/>
      <family val="1"/>
      <charset val="186"/>
    </font>
    <font>
      <sz val="6.05"/>
      <name val="Calibri"/>
      <family val="2"/>
    </font>
    <font>
      <b/>
      <sz val="11"/>
      <color rgb="FFFF0000"/>
      <name val="Calibri"/>
      <family val="2"/>
      <scheme val="minor"/>
    </font>
    <font>
      <sz val="26"/>
      <color rgb="FFFF0000"/>
      <name val="Calibri"/>
      <family val="2"/>
      <scheme val="minor"/>
    </font>
    <font>
      <sz val="10"/>
      <name val="Inherit"/>
    </font>
    <font>
      <b/>
      <sz val="10"/>
      <color rgb="FF000000"/>
      <name val="Times New Roman"/>
      <family val="1"/>
      <charset val="186"/>
    </font>
    <font>
      <sz val="10"/>
      <color rgb="FF000000"/>
      <name val="Times New Roman"/>
      <family val="1"/>
      <charset val="186"/>
    </font>
    <font>
      <b/>
      <sz val="10"/>
      <color rgb="FFFF0000"/>
      <name val="Calibri"/>
      <family val="2"/>
      <charset val="186"/>
      <scheme val="minor"/>
    </font>
    <font>
      <sz val="11"/>
      <color theme="1"/>
      <name val="Calibri"/>
      <family val="2"/>
      <scheme val="minor"/>
    </font>
    <font>
      <sz val="12"/>
      <color rgb="FFFF0000"/>
      <name val="Calibri"/>
      <family val="2"/>
      <scheme val="minor"/>
    </font>
    <font>
      <b/>
      <sz val="10"/>
      <name val="Times New Roman"/>
      <family val="1"/>
      <charset val="186"/>
    </font>
    <font>
      <sz val="10"/>
      <color rgb="FFFF0000"/>
      <name val="Times New Roman"/>
      <family val="1"/>
      <charset val="186"/>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67" fillId="0" borderId="0"/>
    <xf numFmtId="164" fontId="67" fillId="0" borderId="0" applyFont="0" applyFill="0" applyBorder="0" applyAlignment="0" applyProtection="0"/>
  </cellStyleXfs>
  <cellXfs count="1105">
    <xf numFmtId="0" fontId="0" fillId="0" borderId="0" xfId="0"/>
    <xf numFmtId="0" fontId="12" fillId="0" borderId="2" xfId="0" applyFont="1" applyBorder="1" applyAlignment="1">
      <alignment vertical="top" wrapText="1"/>
    </xf>
    <xf numFmtId="0" fontId="12" fillId="0" borderId="2" xfId="0" applyFont="1" applyBorder="1" applyAlignment="1">
      <alignment vertical="top"/>
    </xf>
    <xf numFmtId="0" fontId="0" fillId="0" borderId="1" xfId="0" applyBorder="1"/>
    <xf numFmtId="4" fontId="0" fillId="0" borderId="1" xfId="0" applyNumberFormat="1" applyBorder="1"/>
    <xf numFmtId="0" fontId="13" fillId="0" borderId="14" xfId="0" applyFont="1" applyBorder="1" applyAlignment="1">
      <alignment vertical="top" wrapText="1"/>
    </xf>
    <xf numFmtId="0" fontId="12" fillId="0" borderId="14" xfId="0" applyFont="1" applyBorder="1" applyAlignment="1">
      <alignment vertical="top" wrapText="1"/>
    </xf>
    <xf numFmtId="0" fontId="15" fillId="0" borderId="1" xfId="0" applyFont="1" applyBorder="1" applyAlignment="1">
      <alignment horizontal="center" vertical="center"/>
    </xf>
    <xf numFmtId="0" fontId="19" fillId="0" borderId="1" xfId="0" applyFont="1" applyBorder="1" applyAlignment="1">
      <alignment horizontal="center" vertical="center" wrapText="1"/>
    </xf>
    <xf numFmtId="0" fontId="12" fillId="0" borderId="0" xfId="0" applyFont="1"/>
    <xf numFmtId="49" fontId="0" fillId="0" borderId="0" xfId="0" applyNumberFormat="1"/>
    <xf numFmtId="0" fontId="0" fillId="0" borderId="1" xfId="0" applyFont="1" applyBorder="1" applyAlignment="1">
      <alignment vertical="top" wrapText="1"/>
    </xf>
    <xf numFmtId="0" fontId="0" fillId="0" borderId="1" xfId="0" applyFont="1" applyBorder="1" applyAlignment="1">
      <alignment wrapText="1"/>
    </xf>
    <xf numFmtId="0" fontId="0" fillId="0" borderId="0" xfId="0" applyFont="1"/>
    <xf numFmtId="0" fontId="0" fillId="0" borderId="1" xfId="0" applyFont="1" applyBorder="1" applyAlignment="1">
      <alignment horizontal="center" vertical="center"/>
    </xf>
    <xf numFmtId="0" fontId="12" fillId="0" borderId="2" xfId="0" applyFont="1" applyBorder="1" applyAlignment="1">
      <alignment horizontal="center" vertical="center" wrapText="1"/>
    </xf>
    <xf numFmtId="0" fontId="0" fillId="0" borderId="0" xfId="0" applyFont="1" applyBorder="1"/>
    <xf numFmtId="0" fontId="0" fillId="0" borderId="2" xfId="0" applyFont="1" applyBorder="1" applyAlignment="1">
      <alignment horizontal="center" vertical="center"/>
    </xf>
    <xf numFmtId="0" fontId="15" fillId="0" borderId="2" xfId="0" applyFont="1" applyBorder="1" applyAlignment="1">
      <alignment horizontal="center" vertical="center" wrapText="1"/>
    </xf>
    <xf numFmtId="0" fontId="15" fillId="0" borderId="13" xfId="0" applyFont="1" applyBorder="1" applyAlignment="1">
      <alignment horizontal="center" vertical="center"/>
    </xf>
    <xf numFmtId="0" fontId="0" fillId="0" borderId="2" xfId="0" applyFont="1" applyBorder="1" applyAlignment="1">
      <alignment horizontal="center" vertical="center"/>
    </xf>
    <xf numFmtId="0" fontId="0" fillId="0" borderId="13" xfId="0" applyFont="1" applyBorder="1" applyAlignment="1">
      <alignment horizontal="center" vertical="center"/>
    </xf>
    <xf numFmtId="4" fontId="0" fillId="0" borderId="13" xfId="0" applyNumberFormat="1" applyFont="1" applyBorder="1" applyAlignment="1">
      <alignment horizontal="center" vertical="center" wrapText="1"/>
    </xf>
    <xf numFmtId="0" fontId="0" fillId="0" borderId="9" xfId="0" applyFont="1" applyBorder="1" applyAlignment="1">
      <alignment horizontal="center" vertical="center"/>
    </xf>
    <xf numFmtId="0" fontId="11" fillId="0" borderId="1" xfId="0" applyFont="1" applyBorder="1" applyAlignment="1">
      <alignment horizontal="center" vertical="center"/>
    </xf>
    <xf numFmtId="0" fontId="14" fillId="0" borderId="13"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wrapText="1"/>
    </xf>
    <xf numFmtId="165" fontId="12" fillId="0" borderId="2" xfId="0" applyNumberFormat="1" applyFont="1" applyBorder="1" applyAlignment="1">
      <alignment horizontal="center" vertical="center" wrapText="1"/>
    </xf>
    <xf numFmtId="0" fontId="26" fillId="0" borderId="7" xfId="0" applyFont="1" applyBorder="1" applyAlignment="1">
      <alignment horizontal="center" vertical="center" wrapText="1"/>
    </xf>
    <xf numFmtId="0" fontId="26" fillId="0" borderId="7" xfId="0" applyFon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6" fillId="0" borderId="12" xfId="0" applyFont="1" applyBorder="1" applyAlignment="1">
      <alignment horizontal="center" vertical="center" wrapText="1"/>
    </xf>
    <xf numFmtId="0" fontId="20" fillId="0" borderId="12" xfId="0" applyFont="1" applyBorder="1" applyAlignment="1">
      <alignment horizontal="center" vertical="center" wrapText="1"/>
    </xf>
    <xf numFmtId="0" fontId="26"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5" fillId="0" borderId="13" xfId="0" applyFont="1" applyBorder="1" applyAlignment="1">
      <alignment horizontal="center" vertical="center" wrapText="1"/>
    </xf>
    <xf numFmtId="0" fontId="20" fillId="0" borderId="2" xfId="0" applyFont="1" applyBorder="1" applyAlignment="1">
      <alignment horizontal="center" vertical="center" wrapText="1"/>
    </xf>
    <xf numFmtId="0" fontId="28" fillId="0" borderId="7" xfId="0" applyFont="1" applyBorder="1" applyAlignment="1">
      <alignment horizontal="center" vertical="center"/>
    </xf>
    <xf numFmtId="0" fontId="29" fillId="0" borderId="1" xfId="0" applyFont="1" applyBorder="1" applyAlignment="1">
      <alignment horizontal="center" vertical="center"/>
    </xf>
    <xf numFmtId="0" fontId="24" fillId="0" borderId="1"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7" xfId="0" applyFont="1" applyBorder="1" applyAlignment="1">
      <alignment horizontal="center" vertical="center"/>
    </xf>
    <xf numFmtId="0" fontId="24" fillId="0" borderId="2" xfId="0" applyFont="1" applyFill="1" applyBorder="1" applyAlignment="1">
      <alignment horizontal="center" vertical="center"/>
    </xf>
    <xf numFmtId="0" fontId="24" fillId="0" borderId="17" xfId="0" applyFont="1" applyFill="1" applyBorder="1"/>
    <xf numFmtId="0" fontId="19" fillId="0" borderId="1" xfId="0" applyFont="1" applyBorder="1" applyAlignment="1">
      <alignment horizontal="center" vertical="center"/>
    </xf>
    <xf numFmtId="0" fontId="31" fillId="0" borderId="1" xfId="0" applyFont="1" applyBorder="1" applyAlignment="1">
      <alignment horizontal="center" vertical="center" wrapText="1"/>
    </xf>
    <xf numFmtId="0" fontId="19" fillId="0" borderId="12" xfId="0" applyFont="1" applyBorder="1" applyAlignment="1">
      <alignment horizontal="center" vertical="center"/>
    </xf>
    <xf numFmtId="0" fontId="22" fillId="0" borderId="12"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19" fillId="0" borderId="18" xfId="0" applyFont="1" applyBorder="1"/>
    <xf numFmtId="0" fontId="26" fillId="0" borderId="0" xfId="0" applyFont="1" applyBorder="1" applyAlignment="1">
      <alignment horizontal="center" vertical="center" wrapText="1"/>
    </xf>
    <xf numFmtId="0" fontId="26" fillId="0" borderId="0" xfId="0" applyFont="1" applyBorder="1" applyAlignment="1">
      <alignment wrapText="1"/>
    </xf>
    <xf numFmtId="0" fontId="33" fillId="3" borderId="1" xfId="0" applyFont="1" applyFill="1" applyBorder="1" applyAlignment="1">
      <alignment horizontal="center" vertical="center" wrapText="1"/>
    </xf>
    <xf numFmtId="0" fontId="33" fillId="0" borderId="1" xfId="0" applyFont="1" applyBorder="1" applyAlignment="1">
      <alignment horizontal="center" vertical="center" wrapText="1"/>
    </xf>
    <xf numFmtId="165" fontId="11" fillId="0" borderId="1" xfId="0" applyNumberFormat="1" applyFont="1" applyBorder="1" applyAlignment="1">
      <alignment horizontal="center" vertical="center" wrapText="1"/>
    </xf>
    <xf numFmtId="0" fontId="33" fillId="0" borderId="1" xfId="0" applyFont="1" applyBorder="1" applyAlignment="1">
      <alignment horizontal="center" vertical="center"/>
    </xf>
    <xf numFmtId="165" fontId="11" fillId="0" borderId="2" xfId="0" applyNumberFormat="1" applyFont="1" applyBorder="1" applyAlignment="1">
      <alignment horizontal="center" vertical="center" wrapText="1"/>
    </xf>
    <xf numFmtId="0" fontId="33" fillId="0" borderId="2" xfId="0" applyFont="1" applyBorder="1" applyAlignment="1">
      <alignment horizontal="center" vertical="center" wrapText="1"/>
    </xf>
    <xf numFmtId="0" fontId="33" fillId="0" borderId="2" xfId="0" applyFont="1" applyBorder="1" applyAlignment="1">
      <alignment horizontal="center" vertical="center"/>
    </xf>
    <xf numFmtId="165"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1" fillId="0" borderId="1" xfId="0" applyFont="1" applyBorder="1" applyAlignment="1">
      <alignment horizontal="center" vertical="center"/>
    </xf>
    <xf numFmtId="0" fontId="31" fillId="0" borderId="1" xfId="0" applyFont="1" applyBorder="1" applyAlignment="1">
      <alignment wrapText="1"/>
    </xf>
    <xf numFmtId="0" fontId="0" fillId="0" borderId="0" xfId="0" applyFont="1" applyAlignment="1">
      <alignment horizontal="center" vertical="center"/>
    </xf>
    <xf numFmtId="165" fontId="0" fillId="0" borderId="0" xfId="0" applyNumberFormat="1" applyFont="1"/>
    <xf numFmtId="0" fontId="0" fillId="0" borderId="16" xfId="0" applyFont="1" applyBorder="1"/>
    <xf numFmtId="0" fontId="0" fillId="0" borderId="17" xfId="0" applyFont="1" applyBorder="1"/>
    <xf numFmtId="4" fontId="0" fillId="0" borderId="2" xfId="0" applyNumberFormat="1" applyFont="1" applyBorder="1" applyAlignment="1">
      <alignment horizontal="center" vertical="center" wrapText="1"/>
    </xf>
    <xf numFmtId="0" fontId="0" fillId="0" borderId="7" xfId="0" applyFont="1" applyBorder="1" applyAlignment="1">
      <alignment horizontal="center" vertical="center"/>
    </xf>
    <xf numFmtId="4" fontId="0" fillId="0" borderId="7" xfId="0" applyNumberFormat="1" applyFont="1" applyBorder="1" applyAlignment="1">
      <alignment horizontal="center" vertical="center" wrapText="1"/>
    </xf>
    <xf numFmtId="4"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0" fillId="0" borderId="17" xfId="0" applyFont="1" applyFill="1" applyBorder="1"/>
    <xf numFmtId="0" fontId="0" fillId="0" borderId="12" xfId="0" applyFont="1" applyBorder="1" applyAlignment="1">
      <alignment horizontal="center" vertical="center"/>
    </xf>
    <xf numFmtId="0" fontId="0" fillId="0" borderId="18" xfId="0" applyFont="1" applyBorder="1"/>
    <xf numFmtId="0" fontId="0" fillId="0" borderId="32" xfId="0" applyFont="1" applyBorder="1"/>
    <xf numFmtId="4" fontId="0" fillId="0" borderId="12" xfId="0" applyNumberFormat="1" applyFont="1" applyBorder="1" applyAlignment="1">
      <alignment horizontal="center" vertical="center" wrapText="1"/>
    </xf>
    <xf numFmtId="0" fontId="0" fillId="0" borderId="20" xfId="0" applyFont="1" applyBorder="1"/>
    <xf numFmtId="0" fontId="0" fillId="3" borderId="0" xfId="0" applyFont="1" applyFill="1" applyBorder="1" applyAlignment="1">
      <alignment horizontal="center" vertical="center" wrapText="1"/>
    </xf>
    <xf numFmtId="0" fontId="0" fillId="0" borderId="0" xfId="0" applyFont="1" applyBorder="1" applyAlignment="1">
      <alignment horizontal="center" vertical="top" wrapText="1"/>
    </xf>
    <xf numFmtId="4" fontId="0" fillId="0" borderId="0" xfId="0" applyNumberFormat="1" applyFont="1" applyBorder="1" applyAlignment="1">
      <alignment horizontal="center" vertical="center"/>
    </xf>
    <xf numFmtId="0" fontId="0" fillId="0" borderId="0" xfId="0" applyFont="1" applyBorder="1" applyAlignment="1">
      <alignment horizontal="center" vertical="center"/>
    </xf>
    <xf numFmtId="0" fontId="0" fillId="0" borderId="10" xfId="0" applyFont="1" applyFill="1" applyBorder="1"/>
    <xf numFmtId="165" fontId="0" fillId="0" borderId="0" xfId="0" applyNumberFormat="1" applyFont="1" applyBorder="1"/>
    <xf numFmtId="0" fontId="0" fillId="0" borderId="0" xfId="0" applyFont="1" applyBorder="1" applyAlignment="1">
      <alignment horizontal="left" vertical="center" wrapText="1"/>
    </xf>
    <xf numFmtId="0" fontId="0" fillId="0" borderId="0" xfId="0" applyFont="1" applyBorder="1" applyAlignment="1">
      <alignment vertical="center" wrapText="1"/>
    </xf>
    <xf numFmtId="165" fontId="0" fillId="0" borderId="0" xfId="0" applyNumberFormat="1" applyFont="1" applyBorder="1" applyAlignment="1">
      <alignment vertical="center" wrapText="1"/>
    </xf>
    <xf numFmtId="0" fontId="0" fillId="0" borderId="0" xfId="0" applyFont="1" applyBorder="1" applyAlignment="1">
      <alignment wrapText="1"/>
    </xf>
    <xf numFmtId="0" fontId="14" fillId="0" borderId="7" xfId="0" applyFont="1" applyBorder="1" applyAlignment="1">
      <alignment horizontal="center" vertical="center"/>
    </xf>
    <xf numFmtId="0" fontId="14" fillId="0" borderId="1" xfId="0" applyFont="1" applyBorder="1" applyAlignment="1">
      <alignment horizontal="center" vertical="center"/>
    </xf>
    <xf numFmtId="0" fontId="11" fillId="0" borderId="15" xfId="0" applyFont="1" applyBorder="1" applyAlignment="1">
      <alignment horizontal="center" vertical="center" wrapText="1"/>
    </xf>
    <xf numFmtId="0" fontId="14" fillId="0" borderId="13" xfId="0" applyFont="1" applyBorder="1" applyAlignment="1">
      <alignment horizontal="center" vertical="center" wrapText="1"/>
    </xf>
    <xf numFmtId="0" fontId="28" fillId="0" borderId="1" xfId="0" applyFont="1" applyBorder="1" applyAlignment="1">
      <alignment horizontal="center" vertical="center"/>
    </xf>
    <xf numFmtId="0" fontId="15" fillId="0" borderId="7" xfId="0" applyFont="1" applyBorder="1" applyAlignment="1">
      <alignment horizontal="center" vertical="center" wrapText="1"/>
    </xf>
    <xf numFmtId="0" fontId="15" fillId="0" borderId="12" xfId="0" applyFont="1" applyBorder="1" applyAlignment="1">
      <alignment horizontal="center" vertical="center" wrapText="1"/>
    </xf>
    <xf numFmtId="0" fontId="0" fillId="0" borderId="6" xfId="0" applyFont="1" applyBorder="1" applyAlignment="1">
      <alignment horizontal="center" vertical="center"/>
    </xf>
    <xf numFmtId="0" fontId="11" fillId="0" borderId="11" xfId="0" applyFont="1" applyBorder="1" applyAlignment="1">
      <alignment horizontal="center" vertical="center" wrapText="1"/>
    </xf>
    <xf numFmtId="0" fontId="24" fillId="0" borderId="9" xfId="0" applyFont="1" applyBorder="1" applyAlignment="1">
      <alignment horizontal="center" vertical="center"/>
    </xf>
    <xf numFmtId="0" fontId="24" fillId="0" borderId="15" xfId="0" applyFont="1" applyBorder="1" applyAlignment="1">
      <alignment horizontal="center" vertical="center"/>
    </xf>
    <xf numFmtId="0" fontId="24" fillId="0" borderId="6" xfId="0" applyFont="1" applyBorder="1" applyAlignment="1">
      <alignment horizontal="center" vertical="center"/>
    </xf>
    <xf numFmtId="0" fontId="29" fillId="0" borderId="7" xfId="0" applyFont="1" applyBorder="1" applyAlignment="1">
      <alignment horizontal="center" vertical="center" wrapText="1"/>
    </xf>
    <xf numFmtId="0" fontId="19" fillId="0" borderId="17" xfId="0" applyFont="1" applyFill="1" applyBorder="1"/>
    <xf numFmtId="0" fontId="29" fillId="0" borderId="2" xfId="0" applyFont="1" applyFill="1" applyBorder="1" applyAlignment="1">
      <alignment horizontal="center" vertical="center" wrapText="1"/>
    </xf>
    <xf numFmtId="0" fontId="24" fillId="0" borderId="20" xfId="0" applyFont="1" applyFill="1" applyBorder="1"/>
    <xf numFmtId="0" fontId="19" fillId="0" borderId="6" xfId="0" applyFont="1" applyBorder="1" applyAlignment="1">
      <alignment horizontal="center" vertical="center"/>
    </xf>
    <xf numFmtId="0" fontId="22" fillId="0" borderId="7"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19" fillId="0" borderId="7" xfId="0" applyFont="1" applyBorder="1" applyAlignment="1">
      <alignment horizontal="center" vertical="center"/>
    </xf>
    <xf numFmtId="0" fontId="19" fillId="0" borderId="16" xfId="0" applyFont="1" applyBorder="1"/>
    <xf numFmtId="0" fontId="19" fillId="0" borderId="11" xfId="0" applyFont="1" applyBorder="1" applyAlignment="1">
      <alignment horizontal="center" vertical="center"/>
    </xf>
    <xf numFmtId="0" fontId="0" fillId="0" borderId="29" xfId="0" applyFont="1" applyBorder="1" applyAlignment="1">
      <alignment horizontal="center" vertical="center"/>
    </xf>
    <xf numFmtId="0" fontId="0" fillId="0" borderId="4" xfId="0" applyFont="1" applyBorder="1" applyAlignment="1">
      <alignment horizontal="center" vertical="center"/>
    </xf>
    <xf numFmtId="0" fontId="24" fillId="0" borderId="4" xfId="0" applyFont="1" applyBorder="1" applyAlignment="1">
      <alignment horizontal="center" vertical="center"/>
    </xf>
    <xf numFmtId="0" fontId="24" fillId="0" borderId="34" xfId="0" applyFont="1" applyBorder="1" applyAlignment="1">
      <alignment horizontal="center" vertical="center"/>
    </xf>
    <xf numFmtId="0" fontId="24" fillId="0" borderId="29" xfId="0" applyFont="1" applyBorder="1" applyAlignment="1">
      <alignment horizontal="center" vertical="center"/>
    </xf>
    <xf numFmtId="0" fontId="20" fillId="0" borderId="12" xfId="0" applyFont="1" applyFill="1" applyBorder="1" applyAlignment="1">
      <alignment horizontal="center" vertical="center" wrapText="1"/>
    </xf>
    <xf numFmtId="0" fontId="0" fillId="0" borderId="1" xfId="0" applyFont="1" applyBorder="1" applyAlignment="1">
      <alignment horizontal="center" vertical="top" wrapText="1"/>
    </xf>
    <xf numFmtId="0" fontId="21" fillId="0" borderId="0" xfId="0" applyFont="1"/>
    <xf numFmtId="0" fontId="21" fillId="0" borderId="0" xfId="0" applyFont="1" applyAlignment="1">
      <alignment horizontal="center" vertical="center"/>
    </xf>
    <xf numFmtId="0" fontId="21" fillId="0" borderId="0" xfId="0" applyFont="1" applyAlignment="1"/>
    <xf numFmtId="3" fontId="24" fillId="0" borderId="1" xfId="0" applyNumberFormat="1"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7" xfId="0" applyFont="1" applyFill="1" applyBorder="1" applyAlignment="1">
      <alignment horizontal="center" vertical="center" wrapText="1"/>
    </xf>
    <xf numFmtId="4" fontId="0" fillId="0" borderId="0" xfId="0" applyNumberFormat="1"/>
    <xf numFmtId="3" fontId="24" fillId="0" borderId="1" xfId="0" applyNumberFormat="1" applyFont="1" applyBorder="1" applyAlignment="1">
      <alignment horizontal="center" vertical="center" wrapText="1"/>
    </xf>
    <xf numFmtId="49" fontId="36" fillId="0" borderId="0" xfId="0" applyNumberFormat="1" applyFont="1" applyAlignment="1">
      <alignment wrapText="1"/>
    </xf>
    <xf numFmtId="49" fontId="36" fillId="0" borderId="0" xfId="0" applyNumberFormat="1" applyFont="1"/>
    <xf numFmtId="0" fontId="36" fillId="0" borderId="0" xfId="0" applyFont="1"/>
    <xf numFmtId="49" fontId="36" fillId="0" borderId="0" xfId="0" applyNumberFormat="1" applyFont="1" applyBorder="1" applyAlignment="1">
      <alignment horizontal="center" vertical="center" wrapText="1"/>
    </xf>
    <xf numFmtId="49" fontId="37" fillId="0" borderId="0" xfId="0" applyNumberFormat="1" applyFont="1" applyBorder="1" applyAlignment="1">
      <alignment horizontal="center" vertical="center" wrapText="1"/>
    </xf>
    <xf numFmtId="4" fontId="36" fillId="0" borderId="0" xfId="0" applyNumberFormat="1" applyFont="1" applyBorder="1" applyAlignment="1">
      <alignment horizontal="center" vertical="center" wrapText="1"/>
    </xf>
    <xf numFmtId="49" fontId="0" fillId="0" borderId="1" xfId="0" applyNumberFormat="1" applyFont="1" applyBorder="1" applyAlignment="1">
      <alignment horizontal="center" vertical="center"/>
    </xf>
    <xf numFmtId="49" fontId="0" fillId="0" borderId="2" xfId="0" applyNumberFormat="1" applyFont="1" applyBorder="1" applyAlignment="1">
      <alignment horizontal="center" vertical="center" wrapText="1"/>
    </xf>
    <xf numFmtId="49" fontId="0" fillId="0" borderId="7" xfId="0" applyNumberFormat="1" applyFont="1" applyBorder="1" applyAlignment="1">
      <alignment horizontal="center" vertical="center"/>
    </xf>
    <xf numFmtId="49" fontId="24" fillId="0" borderId="7" xfId="0" applyNumberFormat="1" applyFont="1" applyBorder="1" applyAlignment="1">
      <alignment horizontal="center" vertical="center" wrapText="1"/>
    </xf>
    <xf numFmtId="4" fontId="20" fillId="0" borderId="0" xfId="0" applyNumberFormat="1" applyFont="1" applyAlignment="1">
      <alignment horizontal="right" vertical="center" readingOrder="1"/>
    </xf>
    <xf numFmtId="0" fontId="8" fillId="0" borderId="1" xfId="0" applyFont="1" applyBorder="1"/>
    <xf numFmtId="4" fontId="12" fillId="0" borderId="1" xfId="0" applyNumberFormat="1" applyFont="1" applyBorder="1"/>
    <xf numFmtId="4" fontId="8" fillId="0" borderId="1" xfId="0" applyNumberFormat="1" applyFont="1" applyBorder="1"/>
    <xf numFmtId="4" fontId="21" fillId="0" borderId="0" xfId="0" applyNumberFormat="1" applyFont="1"/>
    <xf numFmtId="4" fontId="8" fillId="5" borderId="1" xfId="0" applyNumberFormat="1" applyFont="1" applyFill="1" applyBorder="1"/>
    <xf numFmtId="4" fontId="20" fillId="0" borderId="0" xfId="0" applyNumberFormat="1" applyFont="1" applyAlignment="1">
      <alignment horizontal="right" vertical="center" wrapText="1" readingOrder="1"/>
    </xf>
    <xf numFmtId="0" fontId="39" fillId="0" borderId="0" xfId="0" applyFont="1"/>
    <xf numFmtId="0" fontId="39" fillId="0" borderId="0" xfId="0" applyFont="1" applyAlignment="1">
      <alignment vertical="center"/>
    </xf>
    <xf numFmtId="0" fontId="20" fillId="0" borderId="1" xfId="0" applyFont="1" applyBorder="1" applyAlignment="1">
      <alignment horizontal="center" vertical="center" wrapText="1"/>
    </xf>
    <xf numFmtId="0" fontId="0" fillId="0" borderId="0" xfId="0" applyFill="1" applyBorder="1" applyAlignment="1">
      <alignment horizontal="center" vertical="center" wrapText="1"/>
    </xf>
    <xf numFmtId="3" fontId="0" fillId="0" borderId="1" xfId="0" applyNumberFormat="1" applyBorder="1" applyAlignment="1">
      <alignment horizontal="center" vertical="center"/>
    </xf>
    <xf numFmtId="4" fontId="40" fillId="0" borderId="0" xfId="0" applyNumberFormat="1" applyFont="1"/>
    <xf numFmtId="4" fontId="0"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15" fillId="0" borderId="7" xfId="0" applyFont="1" applyBorder="1" applyAlignment="1">
      <alignment horizontal="center" vertical="center" wrapText="1"/>
    </xf>
    <xf numFmtId="4" fontId="0" fillId="0" borderId="7" xfId="0" applyNumberFormat="1" applyFont="1" applyBorder="1" applyAlignment="1">
      <alignment horizontal="center" vertical="center" wrapText="1"/>
    </xf>
    <xf numFmtId="0" fontId="26" fillId="0" borderId="7" xfId="0" applyFont="1" applyBorder="1" applyAlignment="1">
      <alignment horizontal="center" vertical="center" wrapText="1"/>
    </xf>
    <xf numFmtId="0" fontId="0"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42" xfId="0" applyFont="1" applyBorder="1" applyAlignment="1">
      <alignment horizontal="center" vertical="center" wrapText="1"/>
    </xf>
    <xf numFmtId="0" fontId="14" fillId="0" borderId="7" xfId="0" applyFont="1" applyBorder="1" applyAlignment="1">
      <alignment horizontal="center" vertical="center"/>
    </xf>
    <xf numFmtId="49" fontId="15" fillId="0" borderId="12" xfId="0" applyNumberFormat="1" applyFont="1" applyBorder="1" applyAlignment="1">
      <alignment horizontal="center" vertical="center" wrapText="1"/>
    </xf>
    <xf numFmtId="49" fontId="0" fillId="0" borderId="7"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49" fontId="0" fillId="0" borderId="12" xfId="0" applyNumberFormat="1" applyFont="1" applyBorder="1" applyAlignment="1">
      <alignment horizontal="center" vertical="center" wrapText="1"/>
    </xf>
    <xf numFmtId="0" fontId="0" fillId="0" borderId="1" xfId="0" applyFont="1" applyBorder="1" applyAlignment="1">
      <alignment horizontal="center" vertical="center"/>
    </xf>
    <xf numFmtId="49" fontId="0" fillId="0" borderId="0" xfId="0" applyNumberFormat="1" applyAlignment="1">
      <alignment wrapText="1"/>
    </xf>
    <xf numFmtId="0" fontId="9" fillId="0" borderId="24"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8" xfId="0" applyFont="1" applyBorder="1" applyAlignment="1">
      <alignment horizontal="center" vertical="center" wrapText="1"/>
    </xf>
    <xf numFmtId="0" fontId="0" fillId="0" borderId="38" xfId="0" applyFont="1" applyBorder="1" applyAlignment="1">
      <alignment horizontal="center" vertical="center" wrapText="1"/>
    </xf>
    <xf numFmtId="166" fontId="0" fillId="0" borderId="1" xfId="0" applyNumberFormat="1" applyFont="1" applyBorder="1" applyAlignment="1">
      <alignment horizontal="center" vertical="center" wrapText="1"/>
    </xf>
    <xf numFmtId="49" fontId="0" fillId="0" borderId="12" xfId="0" applyNumberFormat="1" applyFont="1" applyFill="1" applyBorder="1" applyAlignment="1">
      <alignment horizontal="center" vertical="center"/>
    </xf>
    <xf numFmtId="49" fontId="0" fillId="0" borderId="12" xfId="0" applyNumberFormat="1" applyFont="1" applyFill="1" applyBorder="1" applyAlignment="1">
      <alignment horizontal="center" vertical="center" wrapText="1"/>
    </xf>
    <xf numFmtId="49" fontId="0" fillId="0" borderId="16" xfId="0" applyNumberFormat="1" applyFont="1" applyBorder="1" applyAlignment="1">
      <alignment vertical="center" wrapText="1"/>
    </xf>
    <xf numFmtId="168" fontId="0" fillId="0" borderId="0" xfId="0" applyNumberFormat="1" applyAlignment="1">
      <alignment wrapText="1"/>
    </xf>
    <xf numFmtId="49" fontId="12" fillId="0" borderId="12" xfId="0" applyNumberFormat="1" applyFont="1" applyBorder="1" applyAlignment="1">
      <alignment horizontal="center" vertical="center" wrapText="1"/>
    </xf>
    <xf numFmtId="4" fontId="12" fillId="0" borderId="12" xfId="0" applyNumberFormat="1" applyFont="1" applyBorder="1" applyAlignment="1">
      <alignment horizontal="center" vertical="center" wrapText="1"/>
    </xf>
    <xf numFmtId="49" fontId="13" fillId="0" borderId="12" xfId="0" applyNumberFormat="1" applyFont="1" applyBorder="1" applyAlignment="1">
      <alignment horizontal="center" vertical="center" wrapText="1"/>
    </xf>
    <xf numFmtId="49" fontId="0" fillId="0" borderId="5" xfId="0" applyNumberFormat="1" applyFont="1" applyBorder="1" applyAlignment="1">
      <alignment horizontal="center" vertical="center" wrapText="1"/>
    </xf>
    <xf numFmtId="49" fontId="0" fillId="0" borderId="13" xfId="0" applyNumberFormat="1" applyFont="1" applyBorder="1" applyAlignment="1">
      <alignment horizontal="center" vertical="center" wrapText="1"/>
    </xf>
    <xf numFmtId="169" fontId="0" fillId="0" borderId="13" xfId="0" applyNumberFormat="1" applyFont="1" applyBorder="1" applyAlignment="1">
      <alignment horizontal="center" vertical="center" wrapText="1"/>
    </xf>
    <xf numFmtId="49" fontId="0" fillId="0" borderId="20" xfId="0" applyNumberFormat="1" applyFont="1" applyBorder="1" applyAlignment="1">
      <alignment wrapText="1"/>
    </xf>
    <xf numFmtId="4" fontId="0" fillId="9" borderId="2" xfId="0" applyNumberFormat="1" applyFont="1" applyFill="1" applyBorder="1" applyAlignment="1">
      <alignment horizontal="center" vertical="center"/>
    </xf>
    <xf numFmtId="49" fontId="0" fillId="9" borderId="2" xfId="0" applyNumberFormat="1" applyFont="1" applyFill="1" applyBorder="1" applyAlignment="1">
      <alignment horizontal="center" vertical="center" wrapText="1"/>
    </xf>
    <xf numFmtId="0" fontId="0" fillId="9" borderId="10" xfId="0" applyFont="1" applyFill="1" applyBorder="1" applyAlignment="1">
      <alignment horizontal="center" vertical="center" wrapText="1"/>
    </xf>
    <xf numFmtId="4" fontId="0" fillId="9" borderId="2" xfId="0" applyNumberFormat="1" applyFont="1" applyFill="1" applyBorder="1" applyAlignment="1">
      <alignment horizontal="center" vertical="center" wrapText="1"/>
    </xf>
    <xf numFmtId="4" fontId="0" fillId="9" borderId="12" xfId="0" applyNumberFormat="1" applyFont="1" applyFill="1" applyBorder="1" applyAlignment="1">
      <alignment horizontal="center" vertical="center"/>
    </xf>
    <xf numFmtId="49" fontId="0" fillId="9" borderId="12" xfId="0" applyNumberFormat="1" applyFont="1" applyFill="1" applyBorder="1" applyAlignment="1">
      <alignment horizontal="center" vertical="center" wrapText="1"/>
    </xf>
    <xf numFmtId="4" fontId="0" fillId="9" borderId="12" xfId="0" applyNumberFormat="1" applyFont="1" applyFill="1" applyBorder="1" applyAlignment="1">
      <alignment horizontal="center" vertical="center" wrapText="1"/>
    </xf>
    <xf numFmtId="49" fontId="0" fillId="0" borderId="18" xfId="0" applyNumberFormat="1" applyFont="1" applyBorder="1" applyAlignment="1">
      <alignment wrapText="1"/>
    </xf>
    <xf numFmtId="3" fontId="24" fillId="0" borderId="7" xfId="0" applyNumberFormat="1" applyFont="1" applyBorder="1" applyAlignment="1">
      <alignment horizontal="center" vertical="center" wrapText="1"/>
    </xf>
    <xf numFmtId="49" fontId="0" fillId="0" borderId="22" xfId="0" applyNumberFormat="1" applyFont="1" applyBorder="1" applyAlignment="1">
      <alignment horizontal="center" vertical="center"/>
    </xf>
    <xf numFmtId="49" fontId="0" fillId="0" borderId="38" xfId="0" applyNumberFormat="1" applyFont="1" applyBorder="1" applyAlignment="1">
      <alignment horizontal="center" vertical="center"/>
    </xf>
    <xf numFmtId="49" fontId="0" fillId="0" borderId="17" xfId="0" applyNumberFormat="1" applyFont="1" applyBorder="1" applyAlignment="1">
      <alignment horizontal="left" vertical="center" wrapText="1"/>
    </xf>
    <xf numFmtId="4" fontId="0" fillId="3" borderId="0" xfId="0" applyNumberFormat="1" applyFont="1" applyFill="1" applyBorder="1" applyAlignment="1">
      <alignment horizontal="center" vertical="center" wrapText="1"/>
    </xf>
    <xf numFmtId="4" fontId="0" fillId="0" borderId="0" xfId="0" applyNumberFormat="1" applyFont="1"/>
    <xf numFmtId="49" fontId="36" fillId="0" borderId="0" xfId="0" applyNumberFormat="1" applyFont="1" applyBorder="1" applyAlignment="1">
      <alignment horizontal="center" vertical="center"/>
    </xf>
    <xf numFmtId="4" fontId="15" fillId="0" borderId="0" xfId="0" applyNumberFormat="1" applyFont="1" applyFill="1" applyBorder="1" applyAlignment="1">
      <alignment horizontal="center" vertical="center" wrapText="1"/>
    </xf>
    <xf numFmtId="4" fontId="15" fillId="0" borderId="0" xfId="0" applyNumberFormat="1" applyFont="1" applyFill="1" applyBorder="1" applyAlignment="1">
      <alignment horizontal="center" vertical="center"/>
    </xf>
    <xf numFmtId="4" fontId="42" fillId="0" borderId="0" xfId="0" applyNumberFormat="1" applyFont="1" applyFill="1" applyBorder="1" applyAlignment="1">
      <alignment horizontal="center" vertical="center"/>
    </xf>
    <xf numFmtId="49" fontId="36" fillId="0" borderId="0" xfId="0" applyNumberFormat="1" applyFont="1" applyFill="1" applyBorder="1" applyAlignment="1">
      <alignment horizontal="center" vertical="center"/>
    </xf>
    <xf numFmtId="49" fontId="36" fillId="0" borderId="0" xfId="0" applyNumberFormat="1" applyFont="1" applyFill="1" applyBorder="1" applyAlignment="1">
      <alignment horizontal="center" vertical="center" wrapText="1"/>
    </xf>
    <xf numFmtId="49" fontId="37" fillId="0" borderId="0" xfId="0" applyNumberFormat="1" applyFont="1" applyFill="1" applyBorder="1" applyAlignment="1">
      <alignment horizontal="center" vertical="center" wrapText="1"/>
    </xf>
    <xf numFmtId="3" fontId="36" fillId="0" borderId="0" xfId="0" applyNumberFormat="1" applyFont="1" applyFill="1" applyBorder="1" applyAlignment="1">
      <alignment horizontal="center" vertical="center" wrapText="1"/>
    </xf>
    <xf numFmtId="0" fontId="8" fillId="0" borderId="13" xfId="0" applyFont="1" applyBorder="1"/>
    <xf numFmtId="4" fontId="0" fillId="0" borderId="0" xfId="0" applyNumberFormat="1" applyFill="1" applyBorder="1" applyAlignment="1">
      <alignment horizontal="center" vertical="center"/>
    </xf>
    <xf numFmtId="49" fontId="41" fillId="0" borderId="0" xfId="0" applyNumberFormat="1" applyFont="1" applyFill="1" applyBorder="1" applyAlignment="1">
      <alignment horizontal="center" vertical="center" wrapText="1"/>
    </xf>
    <xf numFmtId="49" fontId="36" fillId="0" borderId="0" xfId="0" applyNumberFormat="1" applyFont="1" applyBorder="1" applyAlignment="1">
      <alignment horizontal="left" vertical="top" wrapText="1"/>
    </xf>
    <xf numFmtId="49" fontId="0" fillId="0" borderId="0" xfId="0" applyNumberFormat="1" applyBorder="1" applyAlignment="1">
      <alignment horizontal="center" vertical="center"/>
    </xf>
    <xf numFmtId="4" fontId="24" fillId="0" borderId="0" xfId="0" applyNumberFormat="1" applyFont="1" applyBorder="1" applyAlignment="1">
      <alignment horizontal="center" vertical="center"/>
    </xf>
    <xf numFmtId="4" fontId="37" fillId="0" borderId="0" xfId="0" applyNumberFormat="1" applyFont="1" applyBorder="1" applyAlignment="1">
      <alignment horizontal="center" vertical="center" wrapText="1"/>
    </xf>
    <xf numFmtId="4" fontId="37" fillId="0" borderId="0" xfId="0" applyNumberFormat="1" applyFont="1" applyBorder="1" applyAlignment="1">
      <alignment horizontal="center" vertical="center"/>
    </xf>
    <xf numFmtId="49" fontId="0" fillId="0" borderId="8" xfId="0" applyNumberFormat="1" applyFont="1" applyFill="1" applyBorder="1" applyAlignment="1">
      <alignment horizontal="center" vertical="center"/>
    </xf>
    <xf numFmtId="49" fontId="0" fillId="0" borderId="7" xfId="0" applyNumberFormat="1" applyFont="1" applyFill="1" applyBorder="1" applyAlignment="1">
      <alignment horizontal="center" vertical="center" wrapText="1"/>
    </xf>
    <xf numFmtId="49" fontId="24" fillId="0" borderId="7"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49" fontId="0" fillId="0" borderId="13" xfId="0" applyNumberFormat="1" applyFont="1" applyFill="1" applyBorder="1" applyAlignment="1">
      <alignment horizontal="center" vertical="center"/>
    </xf>
    <xf numFmtId="0" fontId="7" fillId="0" borderId="10" xfId="0" applyFont="1" applyFill="1" applyBorder="1"/>
    <xf numFmtId="0" fontId="0" fillId="0" borderId="1" xfId="0" applyBorder="1" applyAlignment="1">
      <alignment horizontal="center" vertical="center"/>
    </xf>
    <xf numFmtId="0" fontId="12" fillId="0" borderId="2" xfId="0" applyFont="1" applyBorder="1" applyAlignment="1">
      <alignment horizontal="center" vertical="center" wrapText="1"/>
    </xf>
    <xf numFmtId="49"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49" fontId="24" fillId="0" borderId="1" xfId="0" applyNumberFormat="1" applyFont="1" applyBorder="1" applyAlignment="1">
      <alignment horizontal="center" vertical="center" wrapText="1"/>
    </xf>
    <xf numFmtId="165" fontId="0" fillId="0" borderId="1" xfId="0" applyNumberFormat="1" applyFont="1" applyBorder="1" applyAlignment="1">
      <alignment horizontal="center" vertical="center" wrapText="1"/>
    </xf>
    <xf numFmtId="4" fontId="0" fillId="0" borderId="1" xfId="0" applyNumberFormat="1" applyFont="1" applyBorder="1" applyAlignment="1">
      <alignment horizontal="center" vertical="center" wrapText="1"/>
    </xf>
    <xf numFmtId="0" fontId="0" fillId="3" borderId="1" xfId="0" applyFont="1" applyFill="1" applyBorder="1" applyAlignment="1">
      <alignment horizontal="center" vertical="center" wrapText="1"/>
    </xf>
    <xf numFmtId="49" fontId="0" fillId="0" borderId="5" xfId="0" applyNumberFormat="1" applyFont="1" applyBorder="1" applyAlignment="1">
      <alignment horizontal="center" vertical="center" wrapText="1"/>
    </xf>
    <xf numFmtId="49" fontId="0" fillId="0" borderId="13"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4" fontId="0" fillId="0" borderId="1" xfId="0" applyNumberFormat="1" applyFont="1" applyBorder="1" applyAlignment="1">
      <alignment horizontal="center" vertical="center"/>
    </xf>
    <xf numFmtId="49" fontId="0" fillId="0" borderId="2"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4" fontId="36" fillId="0" borderId="0" xfId="0" applyNumberFormat="1" applyFont="1" applyAlignment="1">
      <alignment wrapText="1"/>
    </xf>
    <xf numFmtId="4" fontId="0" fillId="0" borderId="0" xfId="0" applyNumberFormat="1" applyAlignment="1">
      <alignment wrapText="1"/>
    </xf>
    <xf numFmtId="4" fontId="21" fillId="0" borderId="0" xfId="0" applyNumberFormat="1" applyFont="1" applyAlignment="1"/>
    <xf numFmtId="0" fontId="0" fillId="3" borderId="1" xfId="0" applyFont="1" applyFill="1" applyBorder="1" applyAlignment="1">
      <alignment horizontal="center" vertical="top" wrapText="1"/>
    </xf>
    <xf numFmtId="0" fontId="0" fillId="0" borderId="1" xfId="0" applyFont="1" applyBorder="1"/>
    <xf numFmtId="0" fontId="0" fillId="3" borderId="1" xfId="0" applyFont="1" applyFill="1" applyBorder="1" applyAlignment="1">
      <alignment vertical="top" wrapText="1"/>
    </xf>
    <xf numFmtId="165" fontId="0" fillId="0" borderId="1" xfId="0" applyNumberFormat="1" applyFont="1" applyBorder="1"/>
    <xf numFmtId="0" fontId="0" fillId="0" borderId="1" xfId="0" applyFont="1" applyBorder="1" applyAlignment="1">
      <alignment vertical="center"/>
    </xf>
    <xf numFmtId="3" fontId="0" fillId="0" borderId="1" xfId="0" applyNumberFormat="1" applyFont="1" applyBorder="1" applyAlignment="1">
      <alignment horizontal="center" vertical="center" wrapText="1"/>
    </xf>
    <xf numFmtId="165"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0" fillId="0" borderId="1" xfId="0" applyFont="1" applyFill="1" applyBorder="1" applyAlignment="1">
      <alignment horizontal="center" vertical="center"/>
    </xf>
    <xf numFmtId="165"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0" fillId="0" borderId="1" xfId="0" applyNumberFormat="1" applyBorder="1" applyAlignment="1">
      <alignment horizontal="center" vertical="center"/>
    </xf>
    <xf numFmtId="4"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4" fontId="0" fillId="0" borderId="13" xfId="0" applyNumberFormat="1" applyFont="1" applyBorder="1" applyAlignment="1">
      <alignment horizontal="center" vertical="center" wrapText="1"/>
    </xf>
    <xf numFmtId="49" fontId="0" fillId="0" borderId="13" xfId="0" applyNumberFormat="1" applyFont="1" applyBorder="1" applyAlignment="1">
      <alignment horizontal="center" vertical="center" wrapText="1"/>
    </xf>
    <xf numFmtId="0" fontId="15" fillId="0" borderId="13" xfId="0" applyFont="1" applyBorder="1" applyAlignment="1">
      <alignment horizontal="center" vertical="center" wrapText="1"/>
    </xf>
    <xf numFmtId="0" fontId="0" fillId="3" borderId="1" xfId="0" applyFont="1" applyFill="1" applyBorder="1" applyAlignment="1">
      <alignment horizontal="center" vertical="center" wrapText="1"/>
    </xf>
    <xf numFmtId="165" fontId="0" fillId="0" borderId="1" xfId="0" applyNumberFormat="1" applyFont="1" applyBorder="1" applyAlignment="1">
      <alignment horizontal="center" vertical="center" wrapText="1"/>
    </xf>
    <xf numFmtId="4" fontId="0" fillId="0" borderId="1" xfId="0" applyNumberFormat="1" applyFont="1" applyBorder="1" applyAlignment="1">
      <alignment horizontal="center" vertical="center" wrapText="1"/>
    </xf>
    <xf numFmtId="0" fontId="26" fillId="0" borderId="13" xfId="0" applyFont="1" applyBorder="1" applyAlignment="1">
      <alignment horizontal="center" vertical="center" wrapText="1"/>
    </xf>
    <xf numFmtId="49" fontId="0" fillId="0" borderId="1" xfId="0" applyNumberFormat="1" applyFont="1" applyBorder="1" applyAlignment="1">
      <alignment horizontal="center" vertical="center" wrapText="1"/>
    </xf>
    <xf numFmtId="4" fontId="0" fillId="0" borderId="1" xfId="0" applyNumberFormat="1" applyFont="1" applyBorder="1" applyAlignment="1">
      <alignment horizontal="center" vertical="center"/>
    </xf>
    <xf numFmtId="0" fontId="0" fillId="0" borderId="13" xfId="0" applyFont="1" applyBorder="1" applyAlignment="1">
      <alignment horizontal="center" vertical="center"/>
    </xf>
    <xf numFmtId="3" fontId="0" fillId="0" borderId="1" xfId="0" applyNumberFormat="1" applyFont="1" applyBorder="1" applyAlignment="1">
      <alignment horizontal="center" vertical="center"/>
    </xf>
    <xf numFmtId="49" fontId="0" fillId="0" borderId="7" xfId="0" applyNumberFormat="1" applyFont="1" applyFill="1" applyBorder="1" applyAlignment="1">
      <alignment horizontal="center" vertical="center"/>
    </xf>
    <xf numFmtId="166" fontId="0" fillId="0" borderId="1"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8" xfId="0" applyFont="1" applyBorder="1" applyAlignment="1">
      <alignment horizontal="center" vertical="center"/>
    </xf>
    <xf numFmtId="0" fontId="28" fillId="0" borderId="13" xfId="0" applyFont="1" applyBorder="1" applyAlignment="1">
      <alignment horizontal="center" vertical="center"/>
    </xf>
    <xf numFmtId="4" fontId="33" fillId="0" borderId="1" xfId="0" applyNumberFormat="1" applyFont="1" applyBorder="1" applyAlignment="1">
      <alignment horizontal="center" vertical="center" wrapText="1"/>
    </xf>
    <xf numFmtId="4" fontId="0" fillId="0" borderId="1" xfId="0" applyNumberFormat="1" applyFont="1" applyBorder="1" applyAlignment="1">
      <alignment vertical="top" wrapText="1"/>
    </xf>
    <xf numFmtId="4" fontId="0" fillId="0" borderId="1" xfId="0" applyNumberFormat="1" applyFont="1" applyBorder="1" applyAlignment="1">
      <alignment vertical="center"/>
    </xf>
    <xf numFmtId="4" fontId="0" fillId="0" borderId="1" xfId="0" applyNumberFormat="1" applyFont="1" applyBorder="1"/>
    <xf numFmtId="4" fontId="0" fillId="0" borderId="1" xfId="0" applyNumberFormat="1" applyFont="1" applyBorder="1" applyAlignment="1">
      <alignment wrapText="1"/>
    </xf>
    <xf numFmtId="169" fontId="0" fillId="0" borderId="1" xfId="0" applyNumberFormat="1" applyFont="1" applyBorder="1" applyAlignment="1">
      <alignment horizontal="center" vertical="center"/>
    </xf>
    <xf numFmtId="2" fontId="36" fillId="0" borderId="0" xfId="0" applyNumberFormat="1" applyFont="1" applyAlignment="1">
      <alignment wrapText="1"/>
    </xf>
    <xf numFmtId="49" fontId="24" fillId="0" borderId="5" xfId="0" applyNumberFormat="1" applyFont="1" applyBorder="1" applyAlignment="1">
      <alignment horizontal="center" vertical="center" wrapText="1"/>
    </xf>
    <xf numFmtId="49" fontId="24" fillId="0" borderId="1" xfId="0" applyNumberFormat="1" applyFont="1" applyBorder="1" applyAlignment="1">
      <alignment horizontal="center" vertical="center" wrapText="1"/>
    </xf>
    <xf numFmtId="167" fontId="24" fillId="0" borderId="7" xfId="0" applyNumberFormat="1" applyFont="1" applyBorder="1" applyAlignment="1">
      <alignment horizontal="center" vertical="center" wrapText="1"/>
    </xf>
    <xf numFmtId="49" fontId="24" fillId="4" borderId="1" xfId="0" applyNumberFormat="1" applyFont="1" applyFill="1" applyBorder="1" applyAlignment="1">
      <alignment horizontal="center" vertical="center" wrapText="1"/>
    </xf>
    <xf numFmtId="49" fontId="24" fillId="8" borderId="10" xfId="0" applyNumberFormat="1" applyFont="1" applyFill="1" applyBorder="1" applyAlignment="1">
      <alignment horizontal="center" vertical="center" wrapText="1"/>
    </xf>
    <xf numFmtId="49" fontId="24" fillId="8" borderId="13" xfId="0" applyNumberFormat="1" applyFont="1" applyFill="1" applyBorder="1" applyAlignment="1">
      <alignment horizontal="center" vertical="center" wrapText="1"/>
    </xf>
    <xf numFmtId="49" fontId="24" fillId="4" borderId="10" xfId="0" applyNumberFormat="1" applyFont="1" applyFill="1" applyBorder="1" applyAlignment="1">
      <alignment horizontal="center" vertical="center" wrapText="1"/>
    </xf>
    <xf numFmtId="49" fontId="0" fillId="4" borderId="7" xfId="0" applyNumberFormat="1" applyFont="1" applyFill="1" applyBorder="1" applyAlignment="1">
      <alignment horizontal="center" vertical="center" wrapText="1"/>
    </xf>
    <xf numFmtId="49" fontId="0" fillId="4" borderId="1" xfId="0" applyNumberFormat="1" applyFont="1" applyFill="1" applyBorder="1" applyAlignment="1">
      <alignment horizontal="center" vertical="center" wrapText="1"/>
    </xf>
    <xf numFmtId="4" fontId="36" fillId="0" borderId="0" xfId="0" applyNumberFormat="1" applyFont="1" applyBorder="1" applyAlignment="1">
      <alignment horizontal="left" vertical="top" wrapText="1"/>
    </xf>
    <xf numFmtId="3" fontId="0" fillId="0" borderId="0" xfId="0" applyNumberFormat="1"/>
    <xf numFmtId="49" fontId="0" fillId="8" borderId="1" xfId="0" applyNumberFormat="1" applyFont="1" applyFill="1" applyBorder="1" applyAlignment="1">
      <alignment horizontal="center" vertical="center"/>
    </xf>
    <xf numFmtId="49" fontId="0" fillId="8" borderId="1" xfId="0" applyNumberFormat="1" applyFont="1" applyFill="1" applyBorder="1" applyAlignment="1">
      <alignment horizontal="center" vertical="center" wrapText="1"/>
    </xf>
    <xf numFmtId="49" fontId="0" fillId="8" borderId="13" xfId="0" applyNumberFormat="1" applyFont="1" applyFill="1" applyBorder="1" applyAlignment="1">
      <alignment horizontal="center" vertical="center" wrapText="1"/>
    </xf>
    <xf numFmtId="49" fontId="0" fillId="8" borderId="12" xfId="0" applyNumberFormat="1" applyFont="1" applyFill="1" applyBorder="1" applyAlignment="1">
      <alignment horizontal="center" vertical="center" wrapText="1"/>
    </xf>
    <xf numFmtId="49" fontId="24" fillId="8" borderId="1" xfId="0" applyNumberFormat="1" applyFont="1" applyFill="1" applyBorder="1" applyAlignment="1">
      <alignment horizontal="center" vertical="center" wrapText="1"/>
    </xf>
    <xf numFmtId="3" fontId="0" fillId="8" borderId="1" xfId="0" applyNumberFormat="1" applyFont="1" applyFill="1" applyBorder="1" applyAlignment="1">
      <alignment horizontal="center" vertical="center" wrapText="1"/>
    </xf>
    <xf numFmtId="49" fontId="0" fillId="8" borderId="13" xfId="0" applyNumberFormat="1" applyFont="1" applyFill="1" applyBorder="1" applyAlignment="1">
      <alignment horizontal="center" vertical="center"/>
    </xf>
    <xf numFmtId="49" fontId="0" fillId="8" borderId="17" xfId="0" applyNumberFormat="1" applyFont="1" applyFill="1" applyBorder="1" applyAlignment="1">
      <alignment vertical="center" wrapText="1"/>
    </xf>
    <xf numFmtId="49" fontId="0" fillId="8" borderId="20" xfId="0" applyNumberFormat="1" applyFont="1" applyFill="1" applyBorder="1" applyAlignment="1">
      <alignment vertical="center" wrapText="1"/>
    </xf>
    <xf numFmtId="49" fontId="0" fillId="8" borderId="10" xfId="0" applyNumberFormat="1" applyFont="1" applyFill="1" applyBorder="1" applyAlignment="1">
      <alignment horizontal="center" vertical="center"/>
    </xf>
    <xf numFmtId="49" fontId="0" fillId="4" borderId="1" xfId="0" applyNumberFormat="1" applyFont="1" applyFill="1" applyBorder="1" applyAlignment="1">
      <alignment horizontal="center" vertical="center"/>
    </xf>
    <xf numFmtId="49" fontId="0" fillId="4" borderId="13" xfId="0" applyNumberFormat="1" applyFont="1" applyFill="1" applyBorder="1" applyAlignment="1">
      <alignment horizontal="center" vertical="center" wrapText="1"/>
    </xf>
    <xf numFmtId="3" fontId="0" fillId="4" borderId="1" xfId="0" applyNumberFormat="1" applyFont="1" applyFill="1" applyBorder="1" applyAlignment="1">
      <alignment horizontal="center" vertical="center" wrapText="1"/>
    </xf>
    <xf numFmtId="49" fontId="0" fillId="4" borderId="17" xfId="0" applyNumberFormat="1" applyFont="1" applyFill="1" applyBorder="1" applyAlignment="1">
      <alignment vertical="center" wrapText="1"/>
    </xf>
    <xf numFmtId="49" fontId="0" fillId="4" borderId="8" xfId="0" applyNumberFormat="1" applyFont="1" applyFill="1" applyBorder="1" applyAlignment="1">
      <alignment horizontal="center" vertical="center"/>
    </xf>
    <xf numFmtId="49" fontId="0" fillId="4" borderId="13" xfId="0" applyNumberFormat="1" applyFont="1" applyFill="1" applyBorder="1" applyAlignment="1">
      <alignment horizontal="center" vertical="center"/>
    </xf>
    <xf numFmtId="49" fontId="24" fillId="4" borderId="7" xfId="0" applyNumberFormat="1" applyFont="1" applyFill="1" applyBorder="1" applyAlignment="1">
      <alignment horizontal="center" vertical="center" wrapText="1"/>
    </xf>
    <xf numFmtId="3" fontId="0" fillId="4" borderId="7" xfId="0" applyNumberFormat="1" applyFont="1" applyFill="1" applyBorder="1" applyAlignment="1">
      <alignment horizontal="center" vertical="center" wrapText="1"/>
    </xf>
    <xf numFmtId="49" fontId="24" fillId="4" borderId="13" xfId="0" applyNumberFormat="1" applyFont="1" applyFill="1" applyBorder="1" applyAlignment="1">
      <alignment horizontal="center" vertical="center" wrapText="1"/>
    </xf>
    <xf numFmtId="3" fontId="0" fillId="4" borderId="13" xfId="0" applyNumberFormat="1" applyFont="1" applyFill="1" applyBorder="1" applyAlignment="1">
      <alignment horizontal="center" vertical="center" wrapText="1"/>
    </xf>
    <xf numFmtId="3" fontId="24" fillId="4" borderId="13" xfId="0" applyNumberFormat="1" applyFont="1" applyFill="1" applyBorder="1" applyAlignment="1">
      <alignment horizontal="center" vertical="center" wrapText="1"/>
    </xf>
    <xf numFmtId="49" fontId="0" fillId="4" borderId="10" xfId="0" applyNumberFormat="1" applyFont="1" applyFill="1" applyBorder="1" applyAlignment="1">
      <alignment horizontal="center" vertical="center" wrapText="1"/>
    </xf>
    <xf numFmtId="3" fontId="24" fillId="4" borderId="10" xfId="0" applyNumberFormat="1" applyFont="1" applyFill="1" applyBorder="1" applyAlignment="1">
      <alignment horizontal="center" vertical="center" wrapText="1"/>
    </xf>
    <xf numFmtId="49" fontId="0" fillId="4" borderId="2" xfId="0" applyNumberFormat="1" applyFont="1" applyFill="1" applyBorder="1" applyAlignment="1">
      <alignment horizontal="center" vertical="center" wrapText="1"/>
    </xf>
    <xf numFmtId="49" fontId="0" fillId="8" borderId="12" xfId="0" applyNumberFormat="1" applyFont="1" applyFill="1" applyBorder="1" applyAlignment="1">
      <alignment horizontal="center" vertical="center"/>
    </xf>
    <xf numFmtId="49" fontId="24" fillId="8" borderId="12" xfId="0" applyNumberFormat="1" applyFont="1" applyFill="1" applyBorder="1" applyAlignment="1">
      <alignment horizontal="center" vertical="center" wrapText="1"/>
    </xf>
    <xf numFmtId="3" fontId="0" fillId="8" borderId="12" xfId="0" applyNumberFormat="1" applyFont="1" applyFill="1" applyBorder="1" applyAlignment="1">
      <alignment horizontal="center" vertical="center" wrapText="1"/>
    </xf>
    <xf numFmtId="4" fontId="47" fillId="0" borderId="0" xfId="0" applyNumberFormat="1" applyFont="1" applyFill="1" applyBorder="1" applyAlignment="1">
      <alignment horizontal="center" vertical="center" wrapText="1"/>
    </xf>
    <xf numFmtId="49" fontId="0" fillId="8" borderId="18" xfId="0" applyNumberFormat="1" applyFont="1" applyFill="1" applyBorder="1" applyAlignment="1">
      <alignment vertical="center" wrapText="1"/>
    </xf>
    <xf numFmtId="3" fontId="0" fillId="0" borderId="2" xfId="0" applyNumberFormat="1" applyFont="1" applyFill="1" applyBorder="1" applyAlignment="1">
      <alignment horizontal="center" vertical="center" wrapText="1"/>
    </xf>
    <xf numFmtId="49" fontId="21" fillId="0" borderId="20" xfId="0" applyNumberFormat="1" applyFont="1" applyBorder="1" applyAlignment="1">
      <alignment vertical="center" wrapText="1"/>
    </xf>
    <xf numFmtId="169" fontId="0" fillId="0" borderId="7" xfId="0" applyNumberFormat="1" applyFont="1" applyBorder="1" applyAlignment="1">
      <alignment horizontal="center" vertical="center" wrapText="1"/>
    </xf>
    <xf numFmtId="4" fontId="0" fillId="0" borderId="7" xfId="0" applyNumberFormat="1" applyFont="1" applyBorder="1" applyAlignment="1">
      <alignment horizontal="center" vertical="center" wrapText="1"/>
    </xf>
    <xf numFmtId="4" fontId="0" fillId="0" borderId="1" xfId="0" applyNumberFormat="1" applyFont="1" applyBorder="1" applyAlignment="1">
      <alignment horizontal="center" vertical="center" wrapText="1"/>
    </xf>
    <xf numFmtId="4" fontId="0" fillId="0" borderId="12" xfId="0" applyNumberFormat="1" applyFont="1" applyBorder="1" applyAlignment="1">
      <alignment horizontal="center" vertical="center" wrapText="1"/>
    </xf>
    <xf numFmtId="0" fontId="20" fillId="0" borderId="7" xfId="0" applyFont="1" applyBorder="1" applyAlignment="1">
      <alignment horizontal="center" vertical="center" wrapText="1"/>
    </xf>
    <xf numFmtId="49" fontId="0" fillId="0" borderId="2" xfId="0" applyNumberFormat="1" applyFont="1" applyFill="1" applyBorder="1" applyAlignment="1">
      <alignment horizontal="center" vertical="center" wrapText="1"/>
    </xf>
    <xf numFmtId="49" fontId="0" fillId="0" borderId="7"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167" fontId="0" fillId="0" borderId="12" xfId="0" applyNumberFormat="1" applyFont="1" applyFill="1" applyBorder="1" applyAlignment="1">
      <alignment horizontal="center" vertical="center" wrapText="1"/>
    </xf>
    <xf numFmtId="170" fontId="0" fillId="0" borderId="0" xfId="0" applyNumberFormat="1" applyAlignment="1">
      <alignment wrapText="1"/>
    </xf>
    <xf numFmtId="169" fontId="0" fillId="0" borderId="1" xfId="0" applyNumberFormat="1" applyFont="1" applyBorder="1" applyAlignment="1">
      <alignment horizontal="center" vertical="center" wrapText="1"/>
    </xf>
    <xf numFmtId="4" fontId="41" fillId="0" borderId="0" xfId="0" applyNumberFormat="1" applyFont="1" applyFill="1" applyBorder="1" applyAlignment="1">
      <alignment horizontal="center" vertical="center" wrapText="1"/>
    </xf>
    <xf numFmtId="3" fontId="15" fillId="0" borderId="12" xfId="0" applyNumberFormat="1" applyFont="1" applyFill="1" applyBorder="1" applyAlignment="1">
      <alignment horizontal="center" vertical="center" wrapText="1"/>
    </xf>
    <xf numFmtId="49" fontId="15" fillId="0" borderId="7" xfId="0" applyNumberFormat="1" applyFont="1" applyBorder="1" applyAlignment="1">
      <alignment horizontal="center" vertical="center" wrapText="1"/>
    </xf>
    <xf numFmtId="0" fontId="48" fillId="0" borderId="0" xfId="0" applyFont="1" applyAlignment="1">
      <alignment wrapText="1"/>
    </xf>
    <xf numFmtId="0" fontId="49" fillId="0" borderId="0" xfId="0" applyFont="1" applyAlignment="1">
      <alignment horizontal="center" vertical="center"/>
    </xf>
    <xf numFmtId="49" fontId="49" fillId="0" borderId="0" xfId="0" applyNumberFormat="1" applyFont="1" applyAlignment="1">
      <alignment horizontal="center" vertical="center"/>
    </xf>
    <xf numFmtId="0" fontId="49" fillId="0" borderId="0" xfId="0" applyFont="1" applyAlignment="1">
      <alignment horizontal="center" vertical="center" wrapText="1"/>
    </xf>
    <xf numFmtId="0" fontId="49" fillId="0" borderId="1" xfId="0" applyFont="1" applyBorder="1" applyAlignment="1">
      <alignment horizontal="center" vertical="center"/>
    </xf>
    <xf numFmtId="49" fontId="49" fillId="0" borderId="1" xfId="0" applyNumberFormat="1" applyFont="1" applyBorder="1" applyAlignment="1">
      <alignment horizontal="center" vertical="center"/>
    </xf>
    <xf numFmtId="0" fontId="49" fillId="0" borderId="1" xfId="0" applyFont="1" applyBorder="1" applyAlignment="1">
      <alignment horizontal="center" vertical="center" wrapText="1"/>
    </xf>
    <xf numFmtId="0" fontId="50" fillId="0" borderId="0" xfId="0" applyFont="1" applyAlignment="1">
      <alignment horizontal="center" vertical="center" wrapText="1"/>
    </xf>
    <xf numFmtId="0" fontId="50" fillId="0" borderId="1" xfId="0" applyFont="1" applyBorder="1" applyAlignment="1">
      <alignment horizontal="center" vertical="center" wrapText="1"/>
    </xf>
    <xf numFmtId="49" fontId="50" fillId="0" borderId="1" xfId="0" applyNumberFormat="1" applyFont="1" applyBorder="1" applyAlignment="1">
      <alignment horizontal="center" vertical="center" wrapText="1"/>
    </xf>
    <xf numFmtId="0" fontId="0" fillId="0" borderId="0" xfId="0" applyAlignment="1">
      <alignment horizontal="left" vertical="center" wrapText="1"/>
    </xf>
    <xf numFmtId="4" fontId="51" fillId="0" borderId="0" xfId="0" applyNumberFormat="1" applyFont="1" applyAlignment="1">
      <alignment wrapText="1"/>
    </xf>
    <xf numFmtId="0" fontId="0" fillId="0" borderId="0" xfId="0" applyAlignment="1">
      <alignment horizontal="left" vertical="center"/>
    </xf>
    <xf numFmtId="3" fontId="52" fillId="0" borderId="0" xfId="0" applyNumberFormat="1" applyFont="1" applyAlignment="1">
      <alignment horizontal="center" vertical="center"/>
    </xf>
    <xf numFmtId="3" fontId="52" fillId="0" borderId="18" xfId="0" applyNumberFormat="1" applyFont="1" applyBorder="1" applyAlignment="1">
      <alignment horizontal="center" vertical="center"/>
    </xf>
    <xf numFmtId="49" fontId="49" fillId="0" borderId="11" xfId="0" applyNumberFormat="1" applyFont="1" applyBorder="1" applyAlignment="1">
      <alignment horizontal="center" vertical="center"/>
    </xf>
    <xf numFmtId="3" fontId="52" fillId="0" borderId="17" xfId="0" applyNumberFormat="1" applyFont="1" applyBorder="1" applyAlignment="1">
      <alignment horizontal="center" vertical="center"/>
    </xf>
    <xf numFmtId="49" fontId="49" fillId="0" borderId="9" xfId="0" applyNumberFormat="1" applyFont="1" applyBorder="1" applyAlignment="1">
      <alignment horizontal="center" vertical="center"/>
    </xf>
    <xf numFmtId="3" fontId="52" fillId="0" borderId="16" xfId="0" applyNumberFormat="1" applyFont="1" applyBorder="1" applyAlignment="1">
      <alignment horizontal="center" vertical="center"/>
    </xf>
    <xf numFmtId="49" fontId="49" fillId="0" borderId="6" xfId="0" applyNumberFormat="1" applyFont="1" applyBorder="1" applyAlignment="1">
      <alignment horizontal="center" vertical="center"/>
    </xf>
    <xf numFmtId="4" fontId="53" fillId="0" borderId="0" xfId="0" applyNumberFormat="1" applyFont="1" applyAlignment="1">
      <alignment horizontal="left" vertical="center" wrapText="1"/>
    </xf>
    <xf numFmtId="3" fontId="49" fillId="10" borderId="40" xfId="0" applyNumberFormat="1" applyFont="1" applyFill="1" applyBorder="1" applyAlignment="1">
      <alignment horizontal="center" vertical="center"/>
    </xf>
    <xf numFmtId="3" fontId="49" fillId="10" borderId="18" xfId="0" applyNumberFormat="1" applyFont="1" applyFill="1" applyBorder="1" applyAlignment="1">
      <alignment horizontal="center" vertical="center"/>
    </xf>
    <xf numFmtId="49" fontId="49" fillId="10" borderId="12" xfId="0" applyNumberFormat="1" applyFont="1" applyFill="1" applyBorder="1" applyAlignment="1">
      <alignment horizontal="center" vertical="center"/>
    </xf>
    <xf numFmtId="0" fontId="49" fillId="10" borderId="12" xfId="0" applyFont="1" applyFill="1" applyBorder="1" applyAlignment="1">
      <alignment horizontal="center" vertical="center"/>
    </xf>
    <xf numFmtId="0" fontId="49" fillId="10" borderId="12" xfId="0" applyFont="1" applyFill="1" applyBorder="1" applyAlignment="1">
      <alignment horizontal="center" vertical="center" wrapText="1"/>
    </xf>
    <xf numFmtId="0" fontId="49" fillId="10" borderId="11" xfId="0" applyFont="1" applyFill="1" applyBorder="1" applyAlignment="1">
      <alignment horizontal="center" vertical="center"/>
    </xf>
    <xf numFmtId="3" fontId="49" fillId="10" borderId="41" xfId="0" applyNumberFormat="1" applyFont="1" applyFill="1" applyBorder="1" applyAlignment="1">
      <alignment horizontal="center" vertical="center"/>
    </xf>
    <xf numFmtId="3" fontId="49" fillId="10" borderId="17" xfId="0" applyNumberFormat="1" applyFont="1" applyFill="1" applyBorder="1" applyAlignment="1">
      <alignment horizontal="center" vertical="center"/>
    </xf>
    <xf numFmtId="49" fontId="49" fillId="10" borderId="1" xfId="0" applyNumberFormat="1" applyFont="1" applyFill="1" applyBorder="1" applyAlignment="1">
      <alignment horizontal="center" vertical="center"/>
    </xf>
    <xf numFmtId="0" fontId="49" fillId="10" borderId="1" xfId="0" applyFont="1" applyFill="1" applyBorder="1" applyAlignment="1">
      <alignment horizontal="center" vertical="center"/>
    </xf>
    <xf numFmtId="0" fontId="49" fillId="10" borderId="1" xfId="0" applyFont="1" applyFill="1" applyBorder="1" applyAlignment="1">
      <alignment horizontal="center" vertical="center" wrapText="1"/>
    </xf>
    <xf numFmtId="0" fontId="49" fillId="10" borderId="9" xfId="0" applyFont="1" applyFill="1" applyBorder="1" applyAlignment="1">
      <alignment horizontal="center" vertical="center"/>
    </xf>
    <xf numFmtId="3" fontId="49" fillId="11" borderId="41" xfId="0" applyNumberFormat="1" applyFont="1" applyFill="1" applyBorder="1" applyAlignment="1">
      <alignment horizontal="center" vertical="center"/>
    </xf>
    <xf numFmtId="3" fontId="49" fillId="11" borderId="17" xfId="0" applyNumberFormat="1" applyFont="1" applyFill="1" applyBorder="1" applyAlignment="1">
      <alignment horizontal="center" vertical="center"/>
    </xf>
    <xf numFmtId="49" fontId="49" fillId="11" borderId="1" xfId="0" applyNumberFormat="1" applyFont="1" applyFill="1" applyBorder="1" applyAlignment="1">
      <alignment horizontal="center" vertical="center"/>
    </xf>
    <xf numFmtId="0" fontId="49" fillId="11" borderId="1" xfId="0" applyFont="1" applyFill="1" applyBorder="1" applyAlignment="1">
      <alignment horizontal="center" vertical="center"/>
    </xf>
    <xf numFmtId="0" fontId="49" fillId="11" borderId="1" xfId="0" applyFont="1" applyFill="1" applyBorder="1" applyAlignment="1">
      <alignment horizontal="center" vertical="center" wrapText="1"/>
    </xf>
    <xf numFmtId="0" fontId="49" fillId="11" borderId="9" xfId="0" applyFont="1" applyFill="1" applyBorder="1" applyAlignment="1">
      <alignment horizontal="center" vertical="center"/>
    </xf>
    <xf numFmtId="4" fontId="51" fillId="0" borderId="0" xfId="0" applyNumberFormat="1" applyFont="1" applyAlignment="1">
      <alignment horizontal="left" vertical="center" wrapText="1"/>
    </xf>
    <xf numFmtId="3" fontId="49" fillId="12" borderId="44" xfId="0" applyNumberFormat="1" applyFont="1" applyFill="1" applyBorder="1" applyAlignment="1">
      <alignment horizontal="center" vertical="center"/>
    </xf>
    <xf numFmtId="3" fontId="49" fillId="12" borderId="16" xfId="0" applyNumberFormat="1" applyFont="1" applyFill="1" applyBorder="1" applyAlignment="1">
      <alignment horizontal="center" vertical="center"/>
    </xf>
    <xf numFmtId="49" fontId="49" fillId="12" borderId="7" xfId="0" applyNumberFormat="1" applyFont="1" applyFill="1" applyBorder="1" applyAlignment="1">
      <alignment horizontal="center" vertical="center"/>
    </xf>
    <xf numFmtId="0" fontId="49" fillId="12" borderId="7" xfId="0" applyFont="1" applyFill="1" applyBorder="1" applyAlignment="1">
      <alignment horizontal="center" vertical="center"/>
    </xf>
    <xf numFmtId="0" fontId="49" fillId="12" borderId="7" xfId="0" applyFont="1" applyFill="1" applyBorder="1" applyAlignment="1">
      <alignment horizontal="center" vertical="center" wrapText="1"/>
    </xf>
    <xf numFmtId="0" fontId="49" fillId="12" borderId="6" xfId="0" applyFont="1" applyFill="1" applyBorder="1" applyAlignment="1">
      <alignment horizontal="center" vertical="center"/>
    </xf>
    <xf numFmtId="0" fontId="49" fillId="13" borderId="0" xfId="0" applyFont="1" applyFill="1" applyAlignment="1">
      <alignment horizontal="center" vertical="center"/>
    </xf>
    <xf numFmtId="3" fontId="49" fillId="13" borderId="40" xfId="0" applyNumberFormat="1" applyFont="1" applyFill="1" applyBorder="1" applyAlignment="1">
      <alignment horizontal="center" vertical="center"/>
    </xf>
    <xf numFmtId="3" fontId="49" fillId="8" borderId="41" xfId="0" applyNumberFormat="1" applyFont="1" applyFill="1" applyBorder="1" applyAlignment="1">
      <alignment horizontal="center" vertical="center"/>
    </xf>
    <xf numFmtId="3" fontId="49" fillId="8" borderId="17" xfId="0" applyNumberFormat="1" applyFont="1" applyFill="1" applyBorder="1" applyAlignment="1">
      <alignment horizontal="center" vertical="center"/>
    </xf>
    <xf numFmtId="49" fontId="49" fillId="8" borderId="1" xfId="0" applyNumberFormat="1" applyFont="1" applyFill="1" applyBorder="1" applyAlignment="1">
      <alignment horizontal="center" vertical="center"/>
    </xf>
    <xf numFmtId="0" fontId="49" fillId="8" borderId="1" xfId="0" applyFont="1" applyFill="1" applyBorder="1" applyAlignment="1">
      <alignment horizontal="center" vertical="center"/>
    </xf>
    <xf numFmtId="0" fontId="49" fillId="8" borderId="1" xfId="0" applyFont="1" applyFill="1" applyBorder="1" applyAlignment="1">
      <alignment horizontal="center" vertical="center" wrapText="1"/>
    </xf>
    <xf numFmtId="0" fontId="49" fillId="8" borderId="9" xfId="0" applyFont="1" applyFill="1" applyBorder="1" applyAlignment="1">
      <alignment horizontal="center" vertical="center"/>
    </xf>
    <xf numFmtId="3" fontId="49" fillId="8" borderId="44" xfId="0" applyNumberFormat="1" applyFont="1" applyFill="1" applyBorder="1" applyAlignment="1">
      <alignment horizontal="center" vertical="center"/>
    </xf>
    <xf numFmtId="3" fontId="49" fillId="8" borderId="16" xfId="0" applyNumberFormat="1" applyFont="1" applyFill="1" applyBorder="1" applyAlignment="1">
      <alignment horizontal="center" vertical="center"/>
    </xf>
    <xf numFmtId="49" fontId="49" fillId="8" borderId="7" xfId="0" applyNumberFormat="1" applyFont="1" applyFill="1" applyBorder="1" applyAlignment="1">
      <alignment horizontal="center" vertical="center"/>
    </xf>
    <xf numFmtId="0" fontId="49" fillId="8" borderId="7" xfId="0" applyFont="1" applyFill="1" applyBorder="1" applyAlignment="1">
      <alignment horizontal="center" vertical="center"/>
    </xf>
    <xf numFmtId="0" fontId="49" fillId="8" borderId="7" xfId="0" applyFont="1" applyFill="1" applyBorder="1" applyAlignment="1">
      <alignment horizontal="center" vertical="center" wrapText="1"/>
    </xf>
    <xf numFmtId="0" fontId="49" fillId="8" borderId="6" xfId="0" applyFont="1" applyFill="1" applyBorder="1" applyAlignment="1">
      <alignment horizontal="center" vertical="center"/>
    </xf>
    <xf numFmtId="0" fontId="50" fillId="0" borderId="2" xfId="0" applyFont="1" applyBorder="1" applyAlignment="1">
      <alignment horizontal="center" vertical="center" wrapText="1"/>
    </xf>
    <xf numFmtId="49" fontId="50" fillId="0" borderId="2" xfId="0" applyNumberFormat="1" applyFont="1" applyBorder="1" applyAlignment="1">
      <alignment horizontal="center" vertical="center" wrapText="1"/>
    </xf>
    <xf numFmtId="0" fontId="55" fillId="0" borderId="0" xfId="0" applyFont="1" applyAlignment="1">
      <alignment horizontal="center" vertical="center" wrapText="1"/>
    </xf>
    <xf numFmtId="0" fontId="0" fillId="0" borderId="0" xfId="0" applyAlignment="1">
      <alignment horizontal="center" vertical="center"/>
    </xf>
    <xf numFmtId="0" fontId="48" fillId="0" borderId="0" xfId="0" applyFont="1" applyAlignment="1">
      <alignment horizontal="left" vertical="center" wrapText="1"/>
    </xf>
    <xf numFmtId="3" fontId="52" fillId="13" borderId="14" xfId="0" applyNumberFormat="1" applyFont="1" applyFill="1" applyBorder="1" applyAlignment="1">
      <alignment horizontal="center" vertical="center"/>
    </xf>
    <xf numFmtId="3" fontId="52" fillId="13" borderId="46" xfId="0" applyNumberFormat="1" applyFont="1" applyFill="1" applyBorder="1" applyAlignment="1">
      <alignment horizontal="center" vertical="center"/>
    </xf>
    <xf numFmtId="49" fontId="49" fillId="13" borderId="12" xfId="0" applyNumberFormat="1" applyFont="1" applyFill="1" applyBorder="1" applyAlignment="1">
      <alignment horizontal="center" vertical="center"/>
    </xf>
    <xf numFmtId="0" fontId="49" fillId="13" borderId="12" xfId="0" applyFont="1" applyFill="1" applyBorder="1" applyAlignment="1">
      <alignment horizontal="center" vertical="center"/>
    </xf>
    <xf numFmtId="0" fontId="49" fillId="13" borderId="12" xfId="0" applyFont="1" applyFill="1" applyBorder="1" applyAlignment="1">
      <alignment horizontal="center" vertical="center" wrapText="1"/>
    </xf>
    <xf numFmtId="0" fontId="49" fillId="13" borderId="11" xfId="0" applyFont="1" applyFill="1" applyBorder="1" applyAlignment="1">
      <alignment horizontal="center" vertical="center"/>
    </xf>
    <xf numFmtId="3" fontId="49" fillId="13" borderId="3" xfId="0" applyNumberFormat="1" applyFont="1" applyFill="1" applyBorder="1" applyAlignment="1">
      <alignment horizontal="center" vertical="center"/>
    </xf>
    <xf numFmtId="49" fontId="49" fillId="13" borderId="1" xfId="0" applyNumberFormat="1" applyFont="1" applyFill="1" applyBorder="1" applyAlignment="1">
      <alignment horizontal="center" vertical="center"/>
    </xf>
    <xf numFmtId="0" fontId="49" fillId="13" borderId="1" xfId="0" applyFont="1" applyFill="1" applyBorder="1" applyAlignment="1">
      <alignment horizontal="center" vertical="center"/>
    </xf>
    <xf numFmtId="0" fontId="49" fillId="13" borderId="1" xfId="0" applyFont="1" applyFill="1" applyBorder="1" applyAlignment="1">
      <alignment horizontal="center" vertical="center" wrapText="1"/>
    </xf>
    <xf numFmtId="0" fontId="49" fillId="13" borderId="9" xfId="0" applyFont="1" applyFill="1" applyBorder="1" applyAlignment="1">
      <alignment horizontal="center" vertical="center"/>
    </xf>
    <xf numFmtId="0" fontId="48" fillId="0" borderId="41" xfId="0" applyFont="1" applyBorder="1" applyAlignment="1">
      <alignment horizontal="left" vertical="center" wrapText="1"/>
    </xf>
    <xf numFmtId="49" fontId="49" fillId="14" borderId="13" xfId="0" applyNumberFormat="1" applyFont="1" applyFill="1" applyBorder="1" applyAlignment="1">
      <alignment horizontal="center" vertical="center"/>
    </xf>
    <xf numFmtId="0" fontId="49" fillId="14" borderId="13" xfId="0" applyFont="1" applyFill="1" applyBorder="1" applyAlignment="1">
      <alignment horizontal="center" vertical="center"/>
    </xf>
    <xf numFmtId="0" fontId="49" fillId="14" borderId="13" xfId="0" applyFont="1" applyFill="1" applyBorder="1" applyAlignment="1">
      <alignment horizontal="center" vertical="center" wrapText="1"/>
    </xf>
    <xf numFmtId="0" fontId="49" fillId="14" borderId="26" xfId="0" applyFont="1" applyFill="1" applyBorder="1" applyAlignment="1">
      <alignment horizontal="center" vertical="center"/>
    </xf>
    <xf numFmtId="0" fontId="0" fillId="14" borderId="10" xfId="0" applyFill="1" applyBorder="1" applyAlignment="1">
      <alignment horizontal="center" vertical="center"/>
    </xf>
    <xf numFmtId="0" fontId="48" fillId="0" borderId="40" xfId="0" applyFont="1" applyBorder="1" applyAlignment="1">
      <alignment horizontal="left" vertical="center" wrapText="1"/>
    </xf>
    <xf numFmtId="49" fontId="49" fillId="15" borderId="1" xfId="0" applyNumberFormat="1" applyFont="1" applyFill="1" applyBorder="1" applyAlignment="1">
      <alignment horizontal="center" vertical="center"/>
    </xf>
    <xf numFmtId="0" fontId="49" fillId="15" borderId="1" xfId="0" applyFont="1" applyFill="1" applyBorder="1" applyAlignment="1">
      <alignment horizontal="center" vertical="center"/>
    </xf>
    <xf numFmtId="0" fontId="49" fillId="15" borderId="1" xfId="0" applyFont="1" applyFill="1" applyBorder="1" applyAlignment="1">
      <alignment horizontal="center" vertical="center" wrapText="1"/>
    </xf>
    <xf numFmtId="0" fontId="49" fillId="15" borderId="9" xfId="0" applyFont="1" applyFill="1" applyBorder="1" applyAlignment="1">
      <alignment horizontal="center" vertical="center"/>
    </xf>
    <xf numFmtId="0" fontId="15" fillId="0" borderId="0" xfId="0" applyFont="1" applyAlignment="1">
      <alignment vertical="center"/>
    </xf>
    <xf numFmtId="3" fontId="49" fillId="12" borderId="1" xfId="0" applyNumberFormat="1" applyFont="1" applyFill="1" applyBorder="1" applyAlignment="1">
      <alignment horizontal="center" vertical="center"/>
    </xf>
    <xf numFmtId="0" fontId="49" fillId="12" borderId="1" xfId="0" applyFont="1" applyFill="1" applyBorder="1" applyAlignment="1">
      <alignment horizontal="center" vertical="center" wrapText="1"/>
    </xf>
    <xf numFmtId="0" fontId="0" fillId="16" borderId="0" xfId="0" applyFill="1"/>
    <xf numFmtId="0" fontId="48" fillId="0" borderId="41" xfId="0" applyFont="1" applyBorder="1" applyAlignment="1">
      <alignment wrapText="1"/>
    </xf>
    <xf numFmtId="0" fontId="49" fillId="0" borderId="0" xfId="0" applyFont="1" applyAlignment="1">
      <alignment wrapText="1"/>
    </xf>
    <xf numFmtId="49" fontId="49" fillId="12" borderId="1" xfId="0" applyNumberFormat="1" applyFont="1" applyFill="1" applyBorder="1" applyAlignment="1">
      <alignment horizontal="center" vertical="center"/>
    </xf>
    <xf numFmtId="49" fontId="49" fillId="12" borderId="8" xfId="0" applyNumberFormat="1" applyFont="1" applyFill="1" applyBorder="1" applyAlignment="1">
      <alignment horizontal="center" vertical="center"/>
    </xf>
    <xf numFmtId="0" fontId="49" fillId="12" borderId="8" xfId="0" applyFont="1" applyFill="1" applyBorder="1" applyAlignment="1">
      <alignment horizontal="center" vertical="center"/>
    </xf>
    <xf numFmtId="3" fontId="15" fillId="0" borderId="0" xfId="0" applyNumberFormat="1" applyFont="1" applyAlignment="1">
      <alignment vertical="center"/>
    </xf>
    <xf numFmtId="3" fontId="49" fillId="16" borderId="3" xfId="0" applyNumberFormat="1" applyFont="1" applyFill="1" applyBorder="1" applyAlignment="1">
      <alignment horizontal="center" vertical="center"/>
    </xf>
    <xf numFmtId="49" fontId="49" fillId="16" borderId="1" xfId="0" applyNumberFormat="1" applyFont="1" applyFill="1" applyBorder="1" applyAlignment="1">
      <alignment horizontal="center" vertical="center"/>
    </xf>
    <xf numFmtId="0" fontId="49" fillId="16" borderId="1" xfId="0" applyFont="1" applyFill="1" applyBorder="1" applyAlignment="1">
      <alignment horizontal="center" vertical="center"/>
    </xf>
    <xf numFmtId="0" fontId="49" fillId="16" borderId="1" xfId="0" applyFont="1" applyFill="1" applyBorder="1" applyAlignment="1">
      <alignment horizontal="center" vertical="center" wrapText="1"/>
    </xf>
    <xf numFmtId="49" fontId="49" fillId="17" borderId="12" xfId="0" applyNumberFormat="1" applyFont="1" applyFill="1" applyBorder="1" applyAlignment="1">
      <alignment horizontal="center" vertical="center"/>
    </xf>
    <xf numFmtId="0" fontId="49" fillId="17" borderId="12" xfId="0" applyFont="1" applyFill="1" applyBorder="1" applyAlignment="1">
      <alignment horizontal="center" vertical="center"/>
    </xf>
    <xf numFmtId="0" fontId="49" fillId="17" borderId="12" xfId="0" applyFont="1" applyFill="1" applyBorder="1" applyAlignment="1">
      <alignment horizontal="center" vertical="center" wrapText="1"/>
    </xf>
    <xf numFmtId="49" fontId="49" fillId="17" borderId="7" xfId="0" applyNumberFormat="1" applyFont="1" applyFill="1" applyBorder="1" applyAlignment="1">
      <alignment horizontal="center" vertical="center"/>
    </xf>
    <xf numFmtId="0" fontId="49" fillId="17" borderId="7" xfId="0" applyFont="1" applyFill="1" applyBorder="1" applyAlignment="1">
      <alignment horizontal="center" vertical="center"/>
    </xf>
    <xf numFmtId="0" fontId="49" fillId="17" borderId="7" xfId="0" applyFont="1" applyFill="1" applyBorder="1" applyAlignment="1">
      <alignment horizontal="center" vertical="center" wrapText="1"/>
    </xf>
    <xf numFmtId="0" fontId="59" fillId="0" borderId="0" xfId="0" applyFont="1" applyAlignment="1">
      <alignment horizontal="center" vertical="center" wrapText="1"/>
    </xf>
    <xf numFmtId="3" fontId="49" fillId="17" borderId="49" xfId="0" applyNumberFormat="1" applyFont="1" applyFill="1" applyBorder="1" applyAlignment="1">
      <alignment horizontal="center" vertical="center"/>
    </xf>
    <xf numFmtId="3" fontId="49" fillId="17" borderId="46" xfId="0" applyNumberFormat="1" applyFont="1" applyFill="1" applyBorder="1" applyAlignment="1">
      <alignment horizontal="center" vertical="center"/>
    </xf>
    <xf numFmtId="3" fontId="49" fillId="12" borderId="3" xfId="0" applyNumberFormat="1" applyFont="1" applyFill="1" applyBorder="1" applyAlignment="1">
      <alignment horizontal="center" vertical="center"/>
    </xf>
    <xf numFmtId="3" fontId="49" fillId="11" borderId="3" xfId="0" applyNumberFormat="1" applyFont="1" applyFill="1" applyBorder="1" applyAlignment="1">
      <alignment horizontal="center" vertical="center"/>
    </xf>
    <xf numFmtId="3" fontId="49" fillId="15" borderId="3" xfId="0" applyNumberFormat="1" applyFont="1" applyFill="1" applyBorder="1" applyAlignment="1">
      <alignment horizontal="center" vertical="center"/>
    </xf>
    <xf numFmtId="3" fontId="49" fillId="10" borderId="46" xfId="0" applyNumberFormat="1" applyFont="1" applyFill="1" applyBorder="1" applyAlignment="1">
      <alignment horizontal="center" vertical="center"/>
    </xf>
    <xf numFmtId="3" fontId="49" fillId="14" borderId="31" xfId="0" applyNumberFormat="1" applyFont="1" applyFill="1" applyBorder="1" applyAlignment="1">
      <alignment horizontal="center" vertical="center"/>
    </xf>
    <xf numFmtId="3" fontId="49" fillId="17" borderId="1" xfId="0" applyNumberFormat="1" applyFont="1" applyFill="1" applyBorder="1" applyAlignment="1">
      <alignment horizontal="center" vertical="center"/>
    </xf>
    <xf numFmtId="3" fontId="49" fillId="13" borderId="1" xfId="0" applyNumberFormat="1" applyFont="1" applyFill="1" applyBorder="1" applyAlignment="1">
      <alignment horizontal="center" vertical="center"/>
    </xf>
    <xf numFmtId="3" fontId="49" fillId="16" borderId="1" xfId="0" applyNumberFormat="1" applyFont="1" applyFill="1" applyBorder="1" applyAlignment="1">
      <alignment horizontal="center" vertical="center"/>
    </xf>
    <xf numFmtId="3" fontId="49" fillId="11" borderId="1" xfId="0" applyNumberFormat="1" applyFont="1" applyFill="1" applyBorder="1" applyAlignment="1">
      <alignment horizontal="center" vertical="center"/>
    </xf>
    <xf numFmtId="3" fontId="49" fillId="15" borderId="1" xfId="0" applyNumberFormat="1" applyFont="1" applyFill="1" applyBorder="1" applyAlignment="1">
      <alignment horizontal="center" vertical="center"/>
    </xf>
    <xf numFmtId="3" fontId="49" fillId="10" borderId="1" xfId="0" applyNumberFormat="1" applyFont="1" applyFill="1" applyBorder="1" applyAlignment="1">
      <alignment horizontal="center" vertical="center"/>
    </xf>
    <xf numFmtId="3" fontId="49" fillId="14" borderId="1" xfId="0" applyNumberFormat="1" applyFont="1" applyFill="1" applyBorder="1" applyAlignment="1">
      <alignment horizontal="center" vertical="center"/>
    </xf>
    <xf numFmtId="3" fontId="52" fillId="13" borderId="1" xfId="0" applyNumberFormat="1" applyFont="1" applyFill="1" applyBorder="1" applyAlignment="1">
      <alignment horizontal="center" vertical="center"/>
    </xf>
    <xf numFmtId="0" fontId="55" fillId="10" borderId="36" xfId="0" applyFont="1" applyFill="1" applyBorder="1" applyAlignment="1">
      <alignment horizontal="center" vertical="center" wrapText="1"/>
    </xf>
    <xf numFmtId="0" fontId="0" fillId="10" borderId="27" xfId="0" applyFill="1" applyBorder="1" applyAlignment="1">
      <alignment horizontal="center" vertical="center"/>
    </xf>
    <xf numFmtId="3" fontId="24" fillId="0" borderId="1" xfId="0" applyNumberFormat="1" applyFont="1" applyBorder="1"/>
    <xf numFmtId="0" fontId="49" fillId="11" borderId="7" xfId="0" applyFont="1" applyFill="1" applyBorder="1" applyAlignment="1">
      <alignment horizontal="center" vertical="center"/>
    </xf>
    <xf numFmtId="0" fontId="49" fillId="11" borderId="7" xfId="0" applyFont="1" applyFill="1" applyBorder="1" applyAlignment="1">
      <alignment horizontal="center" vertical="center" wrapText="1"/>
    </xf>
    <xf numFmtId="0" fontId="49" fillId="11" borderId="6" xfId="0" applyFont="1" applyFill="1" applyBorder="1" applyAlignment="1">
      <alignment horizontal="center" vertical="center"/>
    </xf>
    <xf numFmtId="0" fontId="49" fillId="12" borderId="12" xfId="0" applyFont="1" applyFill="1" applyBorder="1" applyAlignment="1">
      <alignment horizontal="center" vertical="center" wrapText="1"/>
    </xf>
    <xf numFmtId="0" fontId="48" fillId="0" borderId="40" xfId="0" applyFont="1" applyBorder="1" applyAlignment="1">
      <alignment vertical="center" wrapText="1"/>
    </xf>
    <xf numFmtId="49" fontId="49" fillId="4" borderId="12" xfId="0" applyNumberFormat="1" applyFont="1" applyFill="1" applyBorder="1" applyAlignment="1">
      <alignment horizontal="center" vertical="center"/>
    </xf>
    <xf numFmtId="0" fontId="49" fillId="4" borderId="12" xfId="0" applyFont="1" applyFill="1" applyBorder="1" applyAlignment="1">
      <alignment horizontal="center" vertical="center"/>
    </xf>
    <xf numFmtId="0" fontId="49" fillId="4" borderId="12" xfId="0" applyFont="1" applyFill="1" applyBorder="1" applyAlignment="1">
      <alignment horizontal="center" vertical="center" wrapText="1"/>
    </xf>
    <xf numFmtId="0" fontId="55" fillId="4" borderId="12" xfId="0" applyFont="1" applyFill="1" applyBorder="1" applyAlignment="1">
      <alignment horizontal="center" vertical="center" wrapText="1"/>
    </xf>
    <xf numFmtId="0" fontId="0" fillId="4" borderId="11" xfId="0" applyFill="1" applyBorder="1" applyAlignment="1">
      <alignment horizontal="center" vertical="center"/>
    </xf>
    <xf numFmtId="0" fontId="48" fillId="0" borderId="41" xfId="0" applyFont="1" applyBorder="1" applyAlignment="1">
      <alignment vertical="center" wrapText="1"/>
    </xf>
    <xf numFmtId="3" fontId="0" fillId="0" borderId="1" xfId="0" applyNumberFormat="1" applyBorder="1"/>
    <xf numFmtId="49" fontId="49" fillId="13" borderId="7" xfId="0" applyNumberFormat="1" applyFont="1" applyFill="1" applyBorder="1" applyAlignment="1">
      <alignment horizontal="center" vertical="center"/>
    </xf>
    <xf numFmtId="0" fontId="49" fillId="13" borderId="7" xfId="0" applyFont="1" applyFill="1" applyBorder="1" applyAlignment="1">
      <alignment horizontal="center" vertical="center"/>
    </xf>
    <xf numFmtId="0" fontId="49" fillId="13" borderId="7" xfId="0" applyFont="1" applyFill="1" applyBorder="1" applyAlignment="1">
      <alignment horizontal="center" vertical="center" wrapText="1"/>
    </xf>
    <xf numFmtId="0" fontId="58" fillId="13" borderId="7" xfId="0" applyFont="1" applyFill="1" applyBorder="1" applyAlignment="1">
      <alignment vertical="center" wrapText="1"/>
    </xf>
    <xf numFmtId="0" fontId="0" fillId="13" borderId="6" xfId="0" applyFill="1" applyBorder="1" applyAlignment="1">
      <alignment horizontal="center" vertical="center" wrapText="1"/>
    </xf>
    <xf numFmtId="3" fontId="49" fillId="13" borderId="49" xfId="0" applyNumberFormat="1" applyFont="1" applyFill="1" applyBorder="1" applyAlignment="1">
      <alignment horizontal="center" vertical="center"/>
    </xf>
    <xf numFmtId="3" fontId="49" fillId="4" borderId="46" xfId="0" applyNumberFormat="1" applyFont="1" applyFill="1" applyBorder="1" applyAlignment="1">
      <alignment horizontal="center" vertical="center"/>
    </xf>
    <xf numFmtId="3" fontId="49" fillId="12" borderId="49" xfId="0" applyNumberFormat="1" applyFont="1" applyFill="1" applyBorder="1" applyAlignment="1">
      <alignment horizontal="center" vertical="center"/>
    </xf>
    <xf numFmtId="3" fontId="49" fillId="12" borderId="46" xfId="0" applyNumberFormat="1" applyFont="1" applyFill="1" applyBorder="1" applyAlignment="1">
      <alignment horizontal="center" vertical="center"/>
    </xf>
    <xf numFmtId="3" fontId="49" fillId="11" borderId="49" xfId="0" applyNumberFormat="1" applyFont="1" applyFill="1" applyBorder="1" applyAlignment="1">
      <alignment horizontal="center" vertical="center"/>
    </xf>
    <xf numFmtId="3" fontId="49" fillId="14" borderId="3" xfId="0" applyNumberFormat="1" applyFont="1" applyFill="1" applyBorder="1" applyAlignment="1">
      <alignment horizontal="center" vertical="center"/>
    </xf>
    <xf numFmtId="3" fontId="49" fillId="4" borderId="1" xfId="0" applyNumberFormat="1" applyFont="1" applyFill="1" applyBorder="1" applyAlignment="1">
      <alignment horizontal="center" vertical="center"/>
    </xf>
    <xf numFmtId="0" fontId="49" fillId="12" borderId="13" xfId="0" applyFont="1" applyFill="1" applyBorder="1" applyAlignment="1">
      <alignment horizontal="center" vertical="center" wrapText="1"/>
    </xf>
    <xf numFmtId="49" fontId="49" fillId="12" borderId="10" xfId="0" applyNumberFormat="1" applyFont="1" applyFill="1" applyBorder="1" applyAlignment="1">
      <alignment horizontal="center" vertical="center"/>
    </xf>
    <xf numFmtId="3" fontId="49" fillId="12" borderId="31" xfId="0" applyNumberFormat="1" applyFont="1" applyFill="1" applyBorder="1" applyAlignment="1">
      <alignment horizontal="center" vertical="center"/>
    </xf>
    <xf numFmtId="0" fontId="48" fillId="0" borderId="0" xfId="0" applyFont="1" applyBorder="1" applyAlignment="1">
      <alignment horizontal="left" vertical="center" wrapText="1"/>
    </xf>
    <xf numFmtId="0" fontId="49" fillId="12" borderId="2" xfId="0" applyFont="1" applyFill="1" applyBorder="1" applyAlignment="1">
      <alignment horizontal="center" vertical="center" wrapText="1"/>
    </xf>
    <xf numFmtId="3" fontId="49" fillId="12" borderId="14" xfId="0" applyNumberFormat="1" applyFont="1" applyFill="1" applyBorder="1" applyAlignment="1">
      <alignment horizontal="center" vertical="center"/>
    </xf>
    <xf numFmtId="0" fontId="49" fillId="12" borderId="10" xfId="0" applyFont="1" applyFill="1" applyBorder="1" applyAlignment="1">
      <alignment horizontal="center" vertical="center" wrapText="1"/>
    </xf>
    <xf numFmtId="3" fontId="49" fillId="12" borderId="19" xfId="0" applyNumberFormat="1" applyFont="1" applyFill="1" applyBorder="1" applyAlignment="1">
      <alignment horizontal="center" vertical="center"/>
    </xf>
    <xf numFmtId="49" fontId="49" fillId="11" borderId="13" xfId="0" applyNumberFormat="1" applyFont="1" applyFill="1" applyBorder="1" applyAlignment="1">
      <alignment horizontal="center" vertical="center"/>
    </xf>
    <xf numFmtId="1" fontId="24" fillId="0" borderId="1" xfId="0" applyNumberFormat="1" applyFont="1" applyBorder="1" applyAlignment="1">
      <alignment horizontal="center" vertical="center" wrapText="1"/>
    </xf>
    <xf numFmtId="49" fontId="15" fillId="8" borderId="1" xfId="0" applyNumberFormat="1" applyFont="1" applyFill="1" applyBorder="1" applyAlignment="1">
      <alignment horizontal="center" vertical="center" wrapText="1"/>
    </xf>
    <xf numFmtId="49" fontId="15" fillId="4" borderId="7" xfId="0" applyNumberFormat="1" applyFont="1" applyFill="1" applyBorder="1" applyAlignment="1">
      <alignment horizontal="center" vertical="center" wrapText="1"/>
    </xf>
    <xf numFmtId="49" fontId="15" fillId="4" borderId="13" xfId="0" applyNumberFormat="1" applyFont="1" applyFill="1" applyBorder="1" applyAlignment="1">
      <alignment horizontal="center" vertical="center" wrapText="1"/>
    </xf>
    <xf numFmtId="49" fontId="15" fillId="4" borderId="10" xfId="0" applyNumberFormat="1" applyFont="1" applyFill="1" applyBorder="1" applyAlignment="1">
      <alignment horizontal="center" vertical="center" wrapText="1"/>
    </xf>
    <xf numFmtId="49" fontId="15" fillId="4" borderId="1" xfId="0" applyNumberFormat="1" applyFont="1" applyFill="1" applyBorder="1" applyAlignment="1">
      <alignment horizontal="center" vertical="center" wrapText="1"/>
    </xf>
    <xf numFmtId="49" fontId="15" fillId="8" borderId="12" xfId="0" applyNumberFormat="1" applyFont="1" applyFill="1" applyBorder="1" applyAlignment="1">
      <alignment horizontal="center" vertical="center" wrapText="1"/>
    </xf>
    <xf numFmtId="3" fontId="15" fillId="0" borderId="12" xfId="0" applyNumberFormat="1" applyFont="1" applyBorder="1" applyAlignment="1">
      <alignment horizontal="center" vertical="center" wrapText="1"/>
    </xf>
    <xf numFmtId="49" fontId="24" fillId="0" borderId="49" xfId="0" applyNumberFormat="1" applyFont="1" applyBorder="1" applyAlignment="1">
      <alignment vertical="center" wrapText="1"/>
    </xf>
    <xf numFmtId="49" fontId="24" fillId="0" borderId="3" xfId="0" applyNumberFormat="1" applyFont="1" applyBorder="1" applyAlignment="1">
      <alignment vertical="center" wrapText="1"/>
    </xf>
    <xf numFmtId="0" fontId="0" fillId="0" borderId="1" xfId="0" applyBorder="1" applyAlignment="1">
      <alignment horizontal="center" vertical="center"/>
    </xf>
    <xf numFmtId="4" fontId="0" fillId="0" borderId="1" xfId="0" applyNumberFormat="1" applyBorder="1" applyAlignment="1">
      <alignment horizontal="center" vertical="center"/>
    </xf>
    <xf numFmtId="49" fontId="24" fillId="0" borderId="1" xfId="0" applyNumberFormat="1" applyFont="1" applyBorder="1" applyAlignment="1">
      <alignment horizontal="center" vertical="center" wrapText="1"/>
    </xf>
    <xf numFmtId="4" fontId="12" fillId="0" borderId="12" xfId="0" applyNumberFormat="1" applyFont="1" applyBorder="1" applyAlignment="1">
      <alignment horizontal="center" vertical="center" wrapText="1"/>
    </xf>
    <xf numFmtId="49" fontId="12" fillId="0" borderId="12" xfId="0" applyNumberFormat="1" applyFont="1" applyBorder="1" applyAlignment="1">
      <alignment horizontal="center" vertical="center" wrapText="1"/>
    </xf>
    <xf numFmtId="4" fontId="0" fillId="9" borderId="2" xfId="0" applyNumberFormat="1" applyFont="1" applyFill="1" applyBorder="1" applyAlignment="1">
      <alignment horizontal="center" vertical="center" wrapText="1"/>
    </xf>
    <xf numFmtId="4" fontId="0" fillId="9" borderId="2" xfId="0" applyNumberFormat="1" applyFont="1" applyFill="1" applyBorder="1" applyAlignment="1">
      <alignment horizontal="center" vertical="center"/>
    </xf>
    <xf numFmtId="49" fontId="0" fillId="0" borderId="1" xfId="0" applyNumberFormat="1" applyFont="1" applyBorder="1" applyAlignment="1">
      <alignment horizontal="center" vertical="center" wrapText="1"/>
    </xf>
    <xf numFmtId="0" fontId="24" fillId="2" borderId="33" xfId="0" applyFont="1" applyFill="1" applyBorder="1" applyAlignment="1">
      <alignment vertical="center" wrapText="1"/>
    </xf>
    <xf numFmtId="2" fontId="41" fillId="0" borderId="0" xfId="0" applyNumberFormat="1" applyFont="1" applyAlignment="1">
      <alignment wrapText="1"/>
    </xf>
    <xf numFmtId="2" fontId="36" fillId="0" borderId="0" xfId="0" applyNumberFormat="1" applyFont="1" applyBorder="1" applyAlignment="1">
      <alignment wrapText="1"/>
    </xf>
    <xf numFmtId="49" fontId="15" fillId="0" borderId="7" xfId="0" applyNumberFormat="1" applyFont="1" applyBorder="1" applyAlignment="1">
      <alignment horizontal="center" vertical="center"/>
    </xf>
    <xf numFmtId="3" fontId="15" fillId="0" borderId="7" xfId="0" applyNumberFormat="1" applyFont="1" applyBorder="1" applyAlignment="1">
      <alignment horizontal="center" vertical="center" wrapText="1"/>
    </xf>
    <xf numFmtId="49" fontId="15" fillId="0" borderId="16" xfId="0" applyNumberFormat="1" applyFont="1" applyBorder="1" applyAlignment="1">
      <alignment vertical="center" wrapText="1"/>
    </xf>
    <xf numFmtId="49" fontId="15" fillId="0" borderId="39" xfId="0" applyNumberFormat="1" applyFont="1" applyBorder="1" applyAlignment="1">
      <alignment horizontal="center" vertical="center"/>
    </xf>
    <xf numFmtId="4" fontId="15" fillId="0" borderId="12" xfId="0" applyNumberFormat="1" applyFont="1" applyBorder="1" applyAlignment="1">
      <alignment horizontal="center" vertical="center" wrapText="1"/>
    </xf>
    <xf numFmtId="49" fontId="15" fillId="0" borderId="18" xfId="0" applyNumberFormat="1" applyFont="1" applyBorder="1" applyAlignment="1">
      <alignment vertical="center" wrapText="1"/>
    </xf>
    <xf numFmtId="3" fontId="54" fillId="0" borderId="0" xfId="0" applyNumberFormat="1" applyFont="1" applyAlignment="1">
      <alignment horizontal="center" vertical="center" wrapText="1"/>
    </xf>
    <xf numFmtId="3" fontId="24" fillId="0" borderId="7" xfId="0" applyNumberFormat="1" applyFont="1" applyFill="1" applyBorder="1" applyAlignment="1">
      <alignment horizontal="center" vertical="center" wrapText="1"/>
    </xf>
    <xf numFmtId="169" fontId="24" fillId="0" borderId="1" xfId="0" applyNumberFormat="1" applyFont="1" applyFill="1" applyBorder="1" applyAlignment="1">
      <alignment horizontal="center" vertical="center" wrapText="1"/>
    </xf>
    <xf numFmtId="169" fontId="24" fillId="0" borderId="12" xfId="0" applyNumberFormat="1" applyFont="1" applyFill="1" applyBorder="1" applyAlignment="1">
      <alignment horizontal="center" vertical="center" wrapText="1"/>
    </xf>
    <xf numFmtId="49" fontId="43" fillId="0" borderId="0" xfId="0" applyNumberFormat="1" applyFont="1" applyAlignment="1">
      <alignment vertical="center" wrapText="1"/>
    </xf>
    <xf numFmtId="3" fontId="24" fillId="0" borderId="5" xfId="0" applyNumberFormat="1" applyFont="1" applyBorder="1" applyAlignment="1">
      <alignment horizontal="center" vertical="center" wrapText="1"/>
    </xf>
    <xf numFmtId="1" fontId="24" fillId="0" borderId="5" xfId="0" applyNumberFormat="1" applyFont="1" applyBorder="1" applyAlignment="1">
      <alignment horizontal="center" vertical="center" wrapText="1"/>
    </xf>
    <xf numFmtId="49" fontId="24" fillId="0" borderId="46" xfId="0" applyNumberFormat="1" applyFont="1" applyBorder="1" applyAlignment="1">
      <alignment vertical="center" wrapText="1"/>
    </xf>
    <xf numFmtId="167" fontId="0" fillId="0" borderId="13" xfId="0" applyNumberFormat="1" applyFont="1" applyBorder="1" applyAlignment="1">
      <alignment horizontal="center" vertical="center" wrapText="1"/>
    </xf>
    <xf numFmtId="3" fontId="21" fillId="0" borderId="2" xfId="0" applyNumberFormat="1" applyFont="1" applyFill="1" applyBorder="1" applyAlignment="1">
      <alignment horizontal="center" vertical="center" wrapText="1"/>
    </xf>
    <xf numFmtId="49" fontId="15" fillId="2" borderId="16" xfId="0" applyNumberFormat="1" applyFont="1" applyFill="1" applyBorder="1" applyAlignment="1">
      <alignment vertical="center" wrapText="1"/>
    </xf>
    <xf numFmtId="49" fontId="15" fillId="2" borderId="0" xfId="0" applyNumberFormat="1" applyFont="1" applyFill="1" applyAlignment="1">
      <alignment vertical="top" wrapText="1"/>
    </xf>
    <xf numFmtId="2" fontId="0" fillId="0" borderId="0" xfId="0" applyNumberFormat="1" applyFont="1" applyFill="1" applyAlignment="1">
      <alignment vertical="top" wrapText="1"/>
    </xf>
    <xf numFmtId="49" fontId="0" fillId="0" borderId="1" xfId="0" applyNumberFormat="1" applyFill="1" applyBorder="1" applyAlignment="1">
      <alignment vertical="center" wrapText="1"/>
    </xf>
    <xf numFmtId="49" fontId="24" fillId="0" borderId="1" xfId="0" applyNumberFormat="1" applyFont="1" applyFill="1" applyBorder="1" applyAlignment="1">
      <alignment vertical="center" wrapText="1"/>
    </xf>
    <xf numFmtId="49" fontId="0" fillId="0" borderId="9" xfId="0" applyNumberFormat="1" applyFill="1" applyBorder="1" applyAlignment="1">
      <alignment wrapText="1"/>
    </xf>
    <xf numFmtId="49" fontId="0" fillId="0" borderId="52" xfId="0" applyNumberFormat="1" applyFill="1" applyBorder="1" applyAlignment="1">
      <alignment vertical="center" wrapText="1"/>
    </xf>
    <xf numFmtId="49" fontId="0" fillId="0" borderId="0" xfId="0" applyNumberFormat="1" applyFill="1" applyAlignment="1">
      <alignment wrapText="1"/>
    </xf>
    <xf numFmtId="49" fontId="24" fillId="0" borderId="49" xfId="0" applyNumberFormat="1" applyFont="1" applyFill="1" applyBorder="1" applyAlignment="1">
      <alignment vertical="center" wrapText="1"/>
    </xf>
    <xf numFmtId="0" fontId="24" fillId="0" borderId="3" xfId="0" applyFont="1" applyBorder="1" applyAlignment="1">
      <alignment vertical="top" wrapText="1"/>
    </xf>
    <xf numFmtId="49" fontId="24" fillId="0" borderId="31" xfId="0" applyNumberFormat="1" applyFont="1" applyFill="1" applyBorder="1" applyAlignment="1">
      <alignment vertical="center" wrapText="1"/>
    </xf>
    <xf numFmtId="0" fontId="24" fillId="0" borderId="53" xfId="0" applyFont="1" applyBorder="1" applyAlignment="1">
      <alignment vertical="top" wrapText="1"/>
    </xf>
    <xf numFmtId="49" fontId="24" fillId="0" borderId="49" xfId="0" applyNumberFormat="1" applyFont="1" applyBorder="1" applyAlignment="1">
      <alignment vertical="top" wrapText="1"/>
    </xf>
    <xf numFmtId="49" fontId="24" fillId="0" borderId="54" xfId="0" applyNumberFormat="1" applyFont="1" applyBorder="1" applyAlignment="1">
      <alignment vertical="top" wrapText="1"/>
    </xf>
    <xf numFmtId="2" fontId="63" fillId="0" borderId="1" xfId="0" applyNumberFormat="1" applyFont="1" applyFill="1" applyBorder="1" applyAlignment="1">
      <alignment horizontal="left" vertical="center" wrapText="1"/>
    </xf>
    <xf numFmtId="2" fontId="0" fillId="0" borderId="1" xfId="0" applyNumberFormat="1" applyFont="1" applyFill="1" applyBorder="1" applyAlignment="1">
      <alignment vertical="top" wrapText="1"/>
    </xf>
    <xf numFmtId="2" fontId="0" fillId="0" borderId="1" xfId="0" applyNumberFormat="1" applyFont="1" applyFill="1" applyBorder="1" applyAlignment="1">
      <alignment wrapText="1"/>
    </xf>
    <xf numFmtId="4" fontId="16" fillId="0" borderId="0" xfId="0" applyNumberFormat="1" applyFont="1" applyAlignment="1">
      <alignment wrapText="1"/>
    </xf>
    <xf numFmtId="0" fontId="4" fillId="0" borderId="0" xfId="0" applyFont="1" applyFill="1" applyAlignment="1">
      <alignment wrapText="1"/>
    </xf>
    <xf numFmtId="49" fontId="4" fillId="0" borderId="0" xfId="0" applyNumberFormat="1" applyFont="1" applyFill="1" applyAlignment="1">
      <alignment wrapText="1"/>
    </xf>
    <xf numFmtId="49" fontId="21" fillId="0" borderId="1" xfId="0" applyNumberFormat="1" applyFont="1" applyBorder="1" applyAlignment="1">
      <alignment horizontal="center" vertical="center" wrapText="1"/>
    </xf>
    <xf numFmtId="49" fontId="36" fillId="3" borderId="0" xfId="0" applyNumberFormat="1" applyFont="1" applyFill="1" applyBorder="1" applyAlignment="1">
      <alignment horizontal="center" vertical="center" wrapText="1"/>
    </xf>
    <xf numFmtId="49" fontId="37" fillId="3" borderId="0" xfId="0" applyNumberFormat="1" applyFont="1" applyFill="1" applyBorder="1" applyAlignment="1">
      <alignment horizontal="center" vertical="center" wrapText="1"/>
    </xf>
    <xf numFmtId="4" fontId="36" fillId="3" borderId="0" xfId="0" applyNumberFormat="1" applyFont="1" applyFill="1" applyBorder="1" applyAlignment="1">
      <alignment horizontal="center" vertical="center" wrapText="1"/>
    </xf>
    <xf numFmtId="49" fontId="36" fillId="3" borderId="0" xfId="0" applyNumberFormat="1" applyFont="1" applyFill="1" applyBorder="1" applyAlignment="1">
      <alignment horizontal="center" vertical="top" wrapText="1"/>
    </xf>
    <xf numFmtId="49" fontId="36" fillId="3" borderId="0" xfId="0" applyNumberFormat="1" applyFont="1" applyFill="1" applyAlignment="1">
      <alignment wrapText="1"/>
    </xf>
    <xf numFmtId="49" fontId="4" fillId="3" borderId="0" xfId="0" applyNumberFormat="1" applyFont="1" applyFill="1" applyAlignment="1">
      <alignment wrapText="1"/>
    </xf>
    <xf numFmtId="49" fontId="36" fillId="3" borderId="0" xfId="0" applyNumberFormat="1" applyFont="1" applyFill="1"/>
    <xf numFmtId="0" fontId="36" fillId="3" borderId="0" xfId="0" applyFont="1" applyFill="1"/>
    <xf numFmtId="3" fontId="0" fillId="3" borderId="1" xfId="0" applyNumberFormat="1" applyFont="1" applyFill="1" applyBorder="1" applyAlignment="1">
      <alignment horizontal="center" vertical="center" wrapText="1"/>
    </xf>
    <xf numFmtId="0" fontId="0" fillId="3" borderId="0" xfId="0" applyFill="1"/>
    <xf numFmtId="0" fontId="4" fillId="3" borderId="0" xfId="0" applyFont="1" applyFill="1" applyAlignment="1">
      <alignment wrapText="1"/>
    </xf>
    <xf numFmtId="3" fontId="0" fillId="3" borderId="1" xfId="0" applyNumberFormat="1" applyFill="1" applyBorder="1" applyAlignment="1">
      <alignment horizontal="center" vertical="center" wrapText="1"/>
    </xf>
    <xf numFmtId="0" fontId="3" fillId="0" borderId="0" xfId="0" applyFont="1" applyFill="1" applyAlignment="1">
      <alignment wrapText="1"/>
    </xf>
    <xf numFmtId="4" fontId="0" fillId="0" borderId="0" xfId="0" applyNumberFormat="1" applyFont="1" applyBorder="1" applyAlignment="1">
      <alignment horizontal="center" vertical="center" wrapText="1"/>
    </xf>
    <xf numFmtId="3" fontId="0" fillId="0" borderId="0" xfId="0" applyNumberFormat="1" applyFont="1" applyBorder="1" applyAlignment="1">
      <alignment horizontal="center" vertical="center" wrapText="1"/>
    </xf>
    <xf numFmtId="49" fontId="0" fillId="0" borderId="0" xfId="0" applyNumberFormat="1" applyFont="1" applyBorder="1" applyAlignment="1">
      <alignment horizontal="center" vertical="center" wrapText="1"/>
    </xf>
    <xf numFmtId="1" fontId="24" fillId="3" borderId="1" xfId="0" applyNumberFormat="1" applyFont="1" applyFill="1" applyBorder="1" applyAlignment="1">
      <alignment horizontal="center" vertical="center" wrapText="1"/>
    </xf>
    <xf numFmtId="0" fontId="0" fillId="0" borderId="0" xfId="0" applyBorder="1"/>
    <xf numFmtId="0" fontId="0" fillId="0" borderId="0" xfId="0" applyBorder="1" applyAlignment="1">
      <alignment horizontal="center" vertical="center"/>
    </xf>
    <xf numFmtId="0" fontId="0" fillId="0" borderId="0" xfId="0" applyBorder="1" applyAlignment="1">
      <alignment horizontal="center"/>
    </xf>
    <xf numFmtId="0" fontId="0" fillId="0" borderId="0" xfId="0" applyBorder="1" applyAlignment="1">
      <alignment wrapText="1"/>
    </xf>
    <xf numFmtId="4" fontId="0" fillId="0" borderId="0" xfId="0" applyNumberFormat="1" applyBorder="1" applyAlignment="1">
      <alignment horizontal="center" vertical="center"/>
    </xf>
    <xf numFmtId="4" fontId="0" fillId="0" borderId="0" xfId="0" applyNumberFormat="1" applyBorder="1"/>
    <xf numFmtId="4" fontId="0" fillId="0" borderId="0" xfId="0" applyNumberFormat="1" applyBorder="1" applyAlignment="1">
      <alignment horizontal="center"/>
    </xf>
    <xf numFmtId="0" fontId="12" fillId="0" borderId="0" xfId="0" applyFont="1" applyBorder="1" applyAlignment="1">
      <alignment horizontal="right"/>
    </xf>
    <xf numFmtId="4" fontId="12" fillId="0" borderId="0" xfId="0" applyNumberFormat="1" applyFont="1" applyBorder="1" applyAlignment="1">
      <alignment horizontal="center" vertical="center"/>
    </xf>
    <xf numFmtId="3" fontId="0" fillId="3" borderId="17" xfId="0" applyNumberFormat="1" applyFont="1" applyFill="1" applyBorder="1" applyAlignment="1">
      <alignment horizontal="center" vertical="center"/>
    </xf>
    <xf numFmtId="1" fontId="0" fillId="3" borderId="12" xfId="0" applyNumberFormat="1" applyFill="1" applyBorder="1" applyAlignment="1">
      <alignment horizontal="center" vertical="center"/>
    </xf>
    <xf numFmtId="3" fontId="0" fillId="3" borderId="18" xfId="0" applyNumberFormat="1" applyFill="1" applyBorder="1" applyAlignment="1">
      <alignment horizontal="center" vertical="center"/>
    </xf>
    <xf numFmtId="0" fontId="64" fillId="3" borderId="1" xfId="0" applyFont="1" applyFill="1" applyBorder="1" applyAlignment="1">
      <alignment horizontal="center" vertical="center"/>
    </xf>
    <xf numFmtId="0" fontId="64" fillId="3" borderId="1" xfId="0" applyFont="1" applyFill="1" applyBorder="1" applyAlignment="1">
      <alignment vertical="center"/>
    </xf>
    <xf numFmtId="0" fontId="65" fillId="3" borderId="1" xfId="0" applyFont="1" applyFill="1" applyBorder="1" applyAlignment="1">
      <alignment horizontal="center" vertical="center"/>
    </xf>
    <xf numFmtId="0" fontId="65" fillId="3" borderId="1" xfId="0" applyFont="1" applyFill="1" applyBorder="1" applyAlignment="1">
      <alignment vertical="center"/>
    </xf>
    <xf numFmtId="0" fontId="65" fillId="3" borderId="1" xfId="0" applyFont="1" applyFill="1" applyBorder="1" applyAlignment="1">
      <alignment horizontal="center" vertical="center"/>
    </xf>
    <xf numFmtId="0" fontId="65" fillId="3" borderId="1" xfId="0" applyFont="1" applyFill="1" applyBorder="1" applyAlignment="1">
      <alignment vertical="center"/>
    </xf>
    <xf numFmtId="0" fontId="65" fillId="3" borderId="1" xfId="0" applyFont="1" applyFill="1" applyBorder="1" applyAlignment="1">
      <alignment vertical="center" wrapText="1"/>
    </xf>
    <xf numFmtId="0" fontId="0" fillId="3" borderId="1" xfId="0" applyFill="1" applyBorder="1"/>
    <xf numFmtId="0" fontId="50" fillId="3" borderId="0" xfId="0" applyFont="1" applyFill="1" applyBorder="1" applyAlignment="1">
      <alignment horizontal="justify" vertical="center"/>
    </xf>
    <xf numFmtId="0" fontId="0" fillId="3" borderId="0" xfId="0" applyFill="1" applyBorder="1"/>
    <xf numFmtId="4" fontId="42" fillId="0" borderId="0" xfId="0" applyNumberFormat="1" applyFont="1" applyAlignment="1">
      <alignment vertical="top" wrapText="1"/>
    </xf>
    <xf numFmtId="49" fontId="42" fillId="0" borderId="0" xfId="0" applyNumberFormat="1" applyFont="1" applyAlignment="1">
      <alignment vertical="top" wrapText="1"/>
    </xf>
    <xf numFmtId="4" fontId="47" fillId="0" borderId="0" xfId="0" applyNumberFormat="1" applyFont="1" applyAlignment="1">
      <alignment vertical="top" wrapText="1"/>
    </xf>
    <xf numFmtId="49" fontId="21" fillId="0" borderId="17" xfId="0" applyNumberFormat="1" applyFont="1" applyFill="1" applyBorder="1" applyAlignment="1">
      <alignment vertical="center" wrapText="1"/>
    </xf>
    <xf numFmtId="0" fontId="21" fillId="0" borderId="17" xfId="0" applyFont="1" applyFill="1" applyBorder="1" applyAlignment="1">
      <alignment horizontal="left" vertical="center" wrapText="1"/>
    </xf>
    <xf numFmtId="2" fontId="0" fillId="3" borderId="9" xfId="0" applyNumberFormat="1" applyFont="1" applyFill="1" applyBorder="1" applyAlignment="1">
      <alignment horizontal="center" vertical="center"/>
    </xf>
    <xf numFmtId="2" fontId="0" fillId="3" borderId="1" xfId="0" applyNumberFormat="1" applyFont="1" applyFill="1" applyBorder="1" applyAlignment="1">
      <alignment horizontal="center" vertical="center" wrapText="1"/>
    </xf>
    <xf numFmtId="2" fontId="24" fillId="3" borderId="1" xfId="0" applyNumberFormat="1"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2" fontId="0" fillId="3" borderId="1" xfId="0" applyNumberFormat="1" applyFont="1" applyFill="1" applyBorder="1" applyAlignment="1">
      <alignment horizontal="center" vertical="center"/>
    </xf>
    <xf numFmtId="2" fontId="0" fillId="3" borderId="9" xfId="0" applyNumberFormat="1" applyFont="1" applyFill="1" applyBorder="1" applyAlignment="1">
      <alignment horizontal="center" vertical="center" wrapText="1"/>
    </xf>
    <xf numFmtId="2" fontId="0" fillId="3" borderId="1" xfId="0" applyNumberFormat="1" applyFill="1" applyBorder="1" applyAlignment="1">
      <alignment horizontal="center" vertical="center" wrapText="1"/>
    </xf>
    <xf numFmtId="2" fontId="0" fillId="3" borderId="1" xfId="0" applyNumberFormat="1" applyFill="1" applyBorder="1" applyAlignment="1">
      <alignment horizontal="center" vertical="center"/>
    </xf>
    <xf numFmtId="2" fontId="0" fillId="3" borderId="17" xfId="0" applyNumberFormat="1" applyFill="1" applyBorder="1" applyAlignment="1">
      <alignment horizontal="center" vertical="center"/>
    </xf>
    <xf numFmtId="2" fontId="0" fillId="0" borderId="11" xfId="0" applyNumberFormat="1" applyFont="1" applyFill="1" applyBorder="1" applyAlignment="1">
      <alignment horizontal="center" vertical="center"/>
    </xf>
    <xf numFmtId="2" fontId="0" fillId="3" borderId="12" xfId="0" applyNumberFormat="1" applyFont="1" applyFill="1" applyBorder="1" applyAlignment="1">
      <alignment horizontal="center" vertical="center" wrapText="1"/>
    </xf>
    <xf numFmtId="2" fontId="0" fillId="3" borderId="12" xfId="0" applyNumberFormat="1" applyFill="1" applyBorder="1" applyAlignment="1">
      <alignment horizontal="center" vertical="center"/>
    </xf>
    <xf numFmtId="2" fontId="3" fillId="3" borderId="12" xfId="0" applyNumberFormat="1" applyFont="1" applyFill="1" applyBorder="1" applyAlignment="1">
      <alignment horizontal="center" vertical="center" wrapText="1"/>
    </xf>
    <xf numFmtId="1" fontId="0" fillId="3" borderId="1" xfId="0" applyNumberFormat="1" applyFont="1" applyFill="1" applyBorder="1" applyAlignment="1">
      <alignment horizontal="center" vertical="center"/>
    </xf>
    <xf numFmtId="1" fontId="0" fillId="3" borderId="1" xfId="0" applyNumberFormat="1" applyFill="1" applyBorder="1" applyAlignment="1">
      <alignment horizontal="center" vertical="center"/>
    </xf>
    <xf numFmtId="1" fontId="0" fillId="3" borderId="17" xfId="0" applyNumberFormat="1" applyFill="1" applyBorder="1" applyAlignment="1">
      <alignment horizontal="center" vertical="center"/>
    </xf>
    <xf numFmtId="4" fontId="66" fillId="0" borderId="0" xfId="0" applyNumberFormat="1" applyFont="1" applyAlignment="1">
      <alignment horizontal="left" vertical="center" wrapText="1"/>
    </xf>
    <xf numFmtId="3" fontId="24" fillId="3" borderId="1" xfId="0" applyNumberFormat="1" applyFont="1" applyFill="1" applyBorder="1" applyAlignment="1">
      <alignment horizontal="center" vertical="center" wrapText="1"/>
    </xf>
    <xf numFmtId="49" fontId="68" fillId="0" borderId="0" xfId="0" applyNumberFormat="1" applyFont="1" applyAlignment="1">
      <alignment horizontal="left" vertical="top" wrapText="1"/>
    </xf>
    <xf numFmtId="3" fontId="24" fillId="0" borderId="0" xfId="0" applyNumberFormat="1" applyFont="1" applyBorder="1" applyAlignment="1">
      <alignment horizontal="center" vertical="center"/>
    </xf>
    <xf numFmtId="3" fontId="24" fillId="0" borderId="0" xfId="0" applyNumberFormat="1" applyFont="1" applyBorder="1" applyAlignment="1">
      <alignment horizontal="center" vertical="center" wrapText="1"/>
    </xf>
    <xf numFmtId="3" fontId="0" fillId="0" borderId="0" xfId="0" applyNumberFormat="1" applyFont="1" applyBorder="1" applyAlignment="1">
      <alignment horizontal="center" vertical="center"/>
    </xf>
    <xf numFmtId="0" fontId="13" fillId="0" borderId="2" xfId="0" applyFont="1" applyBorder="1" applyAlignment="1">
      <alignment vertical="top" wrapText="1"/>
    </xf>
    <xf numFmtId="49" fontId="21" fillId="0" borderId="12" xfId="0" applyNumberFormat="1" applyFont="1" applyFill="1" applyBorder="1" applyAlignment="1">
      <alignment horizontal="center" vertical="center"/>
    </xf>
    <xf numFmtId="0" fontId="21" fillId="0" borderId="12" xfId="0" applyFont="1" applyBorder="1" applyAlignment="1">
      <alignment horizontal="center" vertical="center" wrapText="1"/>
    </xf>
    <xf numFmtId="2" fontId="21" fillId="0" borderId="18" xfId="0" applyNumberFormat="1" applyFont="1" applyFill="1" applyBorder="1" applyAlignment="1">
      <alignment horizontal="left" vertical="center" wrapText="1"/>
    </xf>
    <xf numFmtId="0" fontId="52" fillId="3" borderId="1" xfId="0" applyFont="1" applyFill="1" applyBorder="1" applyAlignment="1">
      <alignment vertical="center" wrapText="1"/>
    </xf>
    <xf numFmtId="0" fontId="52" fillId="3" borderId="1" xfId="0" applyFont="1" applyFill="1" applyBorder="1" applyAlignment="1">
      <alignment vertical="center"/>
    </xf>
    <xf numFmtId="0" fontId="52" fillId="3" borderId="1" xfId="0" applyFont="1" applyFill="1" applyBorder="1" applyAlignment="1">
      <alignment horizontal="left" vertical="center"/>
    </xf>
    <xf numFmtId="0" fontId="69" fillId="3" borderId="1" xfId="0" applyFont="1" applyFill="1" applyBorder="1" applyAlignment="1">
      <alignment horizontal="center" vertical="center"/>
    </xf>
    <xf numFmtId="0" fontId="69" fillId="3" borderId="1" xfId="0" applyFont="1" applyFill="1" applyBorder="1" applyAlignment="1">
      <alignment vertical="center"/>
    </xf>
    <xf numFmtId="0" fontId="24" fillId="0" borderId="0" xfId="0" applyFont="1"/>
    <xf numFmtId="0" fontId="52" fillId="3" borderId="1" xfId="0" applyFont="1" applyFill="1" applyBorder="1" applyAlignment="1">
      <alignment horizontal="center" vertical="center"/>
    </xf>
    <xf numFmtId="49" fontId="52" fillId="3" borderId="1" xfId="0" applyNumberFormat="1" applyFont="1" applyFill="1" applyBorder="1" applyAlignment="1">
      <alignment vertical="center"/>
    </xf>
    <xf numFmtId="0" fontId="52" fillId="3" borderId="1" xfId="0" applyFont="1" applyFill="1" applyBorder="1" applyAlignment="1">
      <alignment vertical="center"/>
    </xf>
    <xf numFmtId="49" fontId="21" fillId="3" borderId="12" xfId="0" applyNumberFormat="1" applyFont="1" applyFill="1" applyBorder="1" applyAlignment="1">
      <alignment horizontal="center" vertical="center" wrapText="1"/>
    </xf>
    <xf numFmtId="49" fontId="21" fillId="0" borderId="12" xfId="0" applyNumberFormat="1" applyFont="1" applyBorder="1" applyAlignment="1">
      <alignment horizontal="center" vertical="center" wrapText="1"/>
    </xf>
    <xf numFmtId="3" fontId="21" fillId="0" borderId="12"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 fillId="0" borderId="0" xfId="0" applyFont="1"/>
    <xf numFmtId="2" fontId="5" fillId="3" borderId="1" xfId="0" applyNumberFormat="1" applyFont="1" applyFill="1" applyBorder="1" applyAlignment="1">
      <alignment horizontal="center" vertical="center" wrapText="1"/>
    </xf>
    <xf numFmtId="2" fontId="24" fillId="3" borderId="1" xfId="0" applyNumberFormat="1" applyFont="1" applyFill="1" applyBorder="1" applyAlignment="1">
      <alignment horizontal="center" vertical="center"/>
    </xf>
    <xf numFmtId="2" fontId="0" fillId="3" borderId="17" xfId="0" applyNumberFormat="1" applyFont="1" applyFill="1" applyBorder="1" applyAlignment="1">
      <alignment horizontal="center" vertical="center"/>
    </xf>
    <xf numFmtId="49" fontId="21" fillId="0" borderId="1" xfId="0" applyNumberFormat="1" applyFont="1" applyFill="1" applyBorder="1" applyAlignment="1">
      <alignment horizontal="center" vertical="center"/>
    </xf>
    <xf numFmtId="4" fontId="21" fillId="0" borderId="1" xfId="0" applyNumberFormat="1" applyFont="1" applyBorder="1" applyAlignment="1">
      <alignment horizontal="center" vertical="center" wrapText="1"/>
    </xf>
    <xf numFmtId="0" fontId="24" fillId="0" borderId="12" xfId="0" applyFont="1" applyBorder="1" applyAlignment="1">
      <alignment horizontal="center" vertical="center" wrapText="1"/>
    </xf>
    <xf numFmtId="0" fontId="24" fillId="0" borderId="18" xfId="0" applyFont="1" applyFill="1" applyBorder="1" applyAlignment="1">
      <alignment horizontal="left" vertical="center" wrapText="1"/>
    </xf>
    <xf numFmtId="49" fontId="24" fillId="0" borderId="1" xfId="0" applyNumberFormat="1" applyFont="1" applyBorder="1" applyAlignment="1">
      <alignment horizontal="center" vertical="center" wrapText="1"/>
    </xf>
    <xf numFmtId="49" fontId="24" fillId="0" borderId="12" xfId="0" applyNumberFormat="1" applyFont="1" applyFill="1" applyBorder="1" applyAlignment="1">
      <alignment horizontal="center" vertical="center" wrapText="1"/>
    </xf>
    <xf numFmtId="49" fontId="21" fillId="0" borderId="1" xfId="0" applyNumberFormat="1" applyFont="1" applyBorder="1" applyAlignment="1">
      <alignment horizontal="center" vertical="center" wrapText="1"/>
    </xf>
    <xf numFmtId="3" fontId="24" fillId="0" borderId="1" xfId="0" applyNumberFormat="1" applyFont="1" applyBorder="1" applyAlignment="1">
      <alignment horizontal="center" vertical="center" wrapText="1"/>
    </xf>
    <xf numFmtId="49" fontId="24" fillId="0" borderId="12"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49" fontId="0" fillId="0" borderId="1" xfId="0" applyNumberFormat="1" applyFont="1" applyBorder="1" applyAlignment="1">
      <alignment horizontal="center" vertical="center"/>
    </xf>
    <xf numFmtId="0" fontId="21" fillId="0" borderId="1"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 xfId="0" applyFont="1" applyBorder="1" applyAlignment="1">
      <alignment horizontal="center" vertical="center" wrapText="1"/>
    </xf>
    <xf numFmtId="3" fontId="24" fillId="0" borderId="1" xfId="0" applyNumberFormat="1" applyFont="1" applyBorder="1" applyAlignment="1">
      <alignment horizontal="center" vertical="center" wrapText="1"/>
    </xf>
    <xf numFmtId="0" fontId="13" fillId="0" borderId="55" xfId="0" applyFont="1" applyBorder="1" applyAlignment="1">
      <alignment vertical="center" wrapText="1"/>
    </xf>
    <xf numFmtId="0" fontId="13" fillId="0" borderId="56" xfId="0" applyFont="1" applyBorder="1" applyAlignment="1">
      <alignment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21" fillId="0" borderId="1" xfId="1" applyFont="1" applyFill="1" applyBorder="1" applyAlignment="1">
      <alignment horizontal="center" vertical="center" wrapText="1"/>
    </xf>
    <xf numFmtId="3" fontId="21" fillId="0" borderId="1" xfId="2" applyNumberFormat="1" applyFont="1" applyFill="1" applyBorder="1" applyAlignment="1">
      <alignment horizontal="center" vertical="center" wrapText="1"/>
    </xf>
    <xf numFmtId="4" fontId="21" fillId="0" borderId="1" xfId="1" applyNumberFormat="1" applyFont="1" applyFill="1" applyBorder="1" applyAlignment="1">
      <alignment horizontal="center" vertical="center" wrapText="1"/>
    </xf>
    <xf numFmtId="0" fontId="21" fillId="0" borderId="32" xfId="1" applyFont="1" applyFill="1" applyBorder="1" applyAlignment="1">
      <alignment vertical="center" wrapText="1"/>
    </xf>
    <xf numFmtId="0" fontId="21" fillId="0" borderId="17" xfId="1" applyFont="1" applyFill="1" applyBorder="1" applyAlignment="1">
      <alignment vertical="center" wrapText="1"/>
    </xf>
    <xf numFmtId="2" fontId="24" fillId="3" borderId="13" xfId="0" applyNumberFormat="1" applyFont="1" applyFill="1" applyBorder="1" applyAlignment="1">
      <alignment horizontal="center" vertical="center" wrapText="1"/>
    </xf>
    <xf numFmtId="2" fontId="24" fillId="3" borderId="13" xfId="0" applyNumberFormat="1" applyFont="1" applyFill="1" applyBorder="1" applyAlignment="1">
      <alignment horizontal="center" vertical="center"/>
    </xf>
    <xf numFmtId="3" fontId="24" fillId="0" borderId="13" xfId="0" applyNumberFormat="1" applyFont="1" applyBorder="1" applyAlignment="1">
      <alignment horizontal="center" vertical="center" wrapText="1"/>
    </xf>
    <xf numFmtId="3" fontId="24" fillId="0" borderId="32" xfId="0" applyNumberFormat="1" applyFont="1" applyBorder="1" applyAlignment="1">
      <alignment horizontal="center" vertical="center" wrapText="1"/>
    </xf>
    <xf numFmtId="3" fontId="24" fillId="0" borderId="17" xfId="0" applyNumberFormat="1" applyFont="1" applyBorder="1" applyAlignment="1">
      <alignment horizontal="center" vertical="center" wrapText="1"/>
    </xf>
    <xf numFmtId="0" fontId="24" fillId="0" borderId="26" xfId="0" applyFont="1" applyBorder="1" applyAlignment="1">
      <alignment horizontal="center" vertical="center" wrapText="1"/>
    </xf>
    <xf numFmtId="0" fontId="24" fillId="0" borderId="9" xfId="0" applyFont="1" applyBorder="1" applyAlignment="1">
      <alignment horizontal="center" vertical="center" wrapText="1"/>
    </xf>
    <xf numFmtId="0" fontId="0" fillId="12" borderId="25" xfId="0" applyFill="1" applyBorder="1" applyAlignment="1">
      <alignment horizontal="center" vertical="center"/>
    </xf>
    <xf numFmtId="0" fontId="0" fillId="12" borderId="21" xfId="0" applyFill="1" applyBorder="1" applyAlignment="1">
      <alignment horizontal="center" vertical="center"/>
    </xf>
    <xf numFmtId="0" fontId="0" fillId="12" borderId="27" xfId="0" applyFill="1" applyBorder="1" applyAlignment="1">
      <alignment horizontal="center" vertical="center"/>
    </xf>
    <xf numFmtId="0" fontId="0" fillId="17" borderId="6" xfId="0" applyFill="1" applyBorder="1" applyAlignment="1">
      <alignment horizontal="center" vertical="center" wrapText="1"/>
    </xf>
    <xf numFmtId="0" fontId="0" fillId="17" borderId="11" xfId="0" applyFill="1" applyBorder="1" applyAlignment="1">
      <alignment horizontal="center" vertical="center" wrapText="1"/>
    </xf>
    <xf numFmtId="0" fontId="55" fillId="17" borderId="7" xfId="0" applyFont="1" applyFill="1" applyBorder="1" applyAlignment="1">
      <alignment horizontal="center" vertical="center" wrapText="1"/>
    </xf>
    <xf numFmtId="0" fontId="55" fillId="0" borderId="12" xfId="0" applyFont="1" applyBorder="1" applyAlignment="1">
      <alignment horizontal="center" vertical="center" wrapText="1"/>
    </xf>
    <xf numFmtId="0" fontId="48" fillId="0" borderId="41" xfId="0" applyFont="1" applyBorder="1" applyAlignment="1">
      <alignment vertical="center" wrapText="1"/>
    </xf>
    <xf numFmtId="0" fontId="0" fillId="16" borderId="9" xfId="0" applyFill="1" applyBorder="1" applyAlignment="1">
      <alignment horizontal="center" vertical="center"/>
    </xf>
    <xf numFmtId="0" fontId="55" fillId="16" borderId="1" xfId="0" applyFont="1" applyFill="1" applyBorder="1" applyAlignment="1">
      <alignment horizontal="center" vertical="center" wrapText="1"/>
    </xf>
    <xf numFmtId="0" fontId="49" fillId="12" borderId="8" xfId="0" applyFont="1" applyFill="1" applyBorder="1" applyAlignment="1">
      <alignment horizontal="center" vertical="center"/>
    </xf>
    <xf numFmtId="0" fontId="49" fillId="12" borderId="5" xfId="0" applyFont="1" applyFill="1" applyBorder="1" applyAlignment="1">
      <alignment horizontal="center" vertical="center"/>
    </xf>
    <xf numFmtId="0" fontId="49" fillId="12" borderId="25" xfId="0" applyFont="1" applyFill="1" applyBorder="1" applyAlignment="1">
      <alignment horizontal="center" vertical="center"/>
    </xf>
    <xf numFmtId="0" fontId="49" fillId="12" borderId="21" xfId="0" applyFont="1" applyFill="1" applyBorder="1" applyAlignment="1">
      <alignment horizontal="center" vertical="center"/>
    </xf>
    <xf numFmtId="0" fontId="49" fillId="12" borderId="27" xfId="0" applyFont="1" applyFill="1" applyBorder="1" applyAlignment="1">
      <alignment horizontal="center" vertical="center"/>
    </xf>
    <xf numFmtId="0" fontId="55" fillId="12" borderId="30" xfId="0" applyFont="1" applyFill="1" applyBorder="1" applyAlignment="1">
      <alignment horizontal="center" vertical="center" wrapText="1"/>
    </xf>
    <xf numFmtId="0" fontId="55" fillId="12" borderId="23" xfId="0" applyFont="1" applyFill="1" applyBorder="1" applyAlignment="1">
      <alignment horizontal="center" vertical="center" wrapText="1"/>
    </xf>
    <xf numFmtId="0" fontId="55" fillId="12" borderId="43" xfId="0" applyFont="1" applyFill="1" applyBorder="1" applyAlignment="1">
      <alignment horizontal="center" vertical="center" wrapText="1"/>
    </xf>
    <xf numFmtId="0" fontId="0" fillId="11" borderId="6" xfId="0" applyFill="1" applyBorder="1" applyAlignment="1">
      <alignment horizontal="center" vertical="center"/>
    </xf>
    <xf numFmtId="0" fontId="0" fillId="11" borderId="9" xfId="0" applyFill="1" applyBorder="1" applyAlignment="1">
      <alignment horizontal="center" vertical="center"/>
    </xf>
    <xf numFmtId="0" fontId="55" fillId="11" borderId="30" xfId="0" applyFont="1" applyFill="1" applyBorder="1" applyAlignment="1">
      <alignment horizontal="center" vertical="center" wrapText="1"/>
    </xf>
    <xf numFmtId="0" fontId="55" fillId="11" borderId="23" xfId="0" applyFont="1" applyFill="1" applyBorder="1" applyAlignment="1">
      <alignment horizontal="center" vertical="center" wrapText="1"/>
    </xf>
    <xf numFmtId="0" fontId="55" fillId="11" borderId="32" xfId="0" applyFont="1" applyFill="1" applyBorder="1" applyAlignment="1">
      <alignment horizontal="center" vertical="center" wrapText="1"/>
    </xf>
    <xf numFmtId="0" fontId="49" fillId="13" borderId="2" xfId="0" applyFont="1" applyFill="1" applyBorder="1" applyAlignment="1">
      <alignment horizontal="center" vertical="center"/>
    </xf>
    <xf numFmtId="0" fontId="49" fillId="13" borderId="5" xfId="0" applyFont="1" applyFill="1" applyBorder="1" applyAlignment="1">
      <alignment horizontal="center" vertical="center"/>
    </xf>
    <xf numFmtId="49" fontId="49" fillId="13" borderId="2" xfId="0" applyNumberFormat="1" applyFont="1" applyFill="1" applyBorder="1" applyAlignment="1">
      <alignment horizontal="center" vertical="center"/>
    </xf>
    <xf numFmtId="49" fontId="49" fillId="13" borderId="5" xfId="0" applyNumberFormat="1" applyFont="1" applyFill="1" applyBorder="1" applyAlignment="1">
      <alignment horizontal="center" vertical="center"/>
    </xf>
    <xf numFmtId="3" fontId="49" fillId="13" borderId="20" xfId="0" applyNumberFormat="1" applyFont="1" applyFill="1" applyBorder="1" applyAlignment="1">
      <alignment horizontal="center" vertical="center"/>
    </xf>
    <xf numFmtId="0" fontId="49" fillId="13" borderId="43" xfId="0" applyFont="1" applyFill="1" applyBorder="1" applyAlignment="1">
      <alignment horizontal="center" vertical="center"/>
    </xf>
    <xf numFmtId="0" fontId="0" fillId="15" borderId="15" xfId="0" applyFill="1" applyBorder="1" applyAlignment="1">
      <alignment horizontal="center" vertical="center"/>
    </xf>
    <xf numFmtId="0" fontId="0" fillId="0" borderId="21" xfId="0" applyBorder="1" applyAlignment="1">
      <alignment horizontal="center" vertical="center"/>
    </xf>
    <xf numFmtId="0" fontId="0" fillId="0" borderId="26" xfId="0" applyBorder="1" applyAlignment="1">
      <alignment horizontal="center" vertical="center"/>
    </xf>
    <xf numFmtId="0" fontId="55" fillId="15" borderId="14" xfId="0" applyFont="1" applyFill="1" applyBorder="1" applyAlignment="1">
      <alignment horizontal="center" vertical="center" wrapText="1"/>
    </xf>
    <xf numFmtId="0" fontId="0" fillId="15" borderId="19" xfId="0" applyFill="1" applyBorder="1" applyAlignment="1">
      <alignment horizontal="center" vertical="center" wrapText="1"/>
    </xf>
    <xf numFmtId="0" fontId="0" fillId="15" borderId="31" xfId="0" applyFill="1" applyBorder="1" applyAlignment="1">
      <alignment horizontal="center" vertical="center" wrapText="1"/>
    </xf>
    <xf numFmtId="0" fontId="0" fillId="13" borderId="2" xfId="0" applyFill="1" applyBorder="1" applyAlignment="1">
      <alignment horizontal="center" vertical="center"/>
    </xf>
    <xf numFmtId="0" fontId="0" fillId="13" borderId="13" xfId="0" applyFill="1" applyBorder="1" applyAlignment="1">
      <alignment horizontal="center" vertical="center"/>
    </xf>
    <xf numFmtId="0" fontId="55" fillId="14" borderId="30" xfId="0" applyFont="1" applyFill="1" applyBorder="1" applyAlignment="1">
      <alignment horizontal="center" vertical="center" wrapText="1"/>
    </xf>
    <xf numFmtId="0" fontId="55" fillId="14" borderId="32" xfId="0" applyFont="1" applyFill="1" applyBorder="1" applyAlignment="1">
      <alignment horizontal="center" vertical="center" wrapText="1"/>
    </xf>
    <xf numFmtId="0" fontId="55" fillId="13" borderId="20" xfId="0" applyFont="1" applyFill="1" applyBorder="1" applyAlignment="1">
      <alignment horizontal="center" vertical="center" wrapText="1"/>
    </xf>
    <xf numFmtId="0" fontId="55" fillId="13" borderId="32" xfId="0" applyFont="1" applyFill="1" applyBorder="1" applyAlignment="1">
      <alignment horizontal="center" vertical="center" wrapText="1"/>
    </xf>
    <xf numFmtId="0" fontId="50" fillId="0" borderId="3" xfId="0" applyFont="1" applyBorder="1" applyAlignment="1">
      <alignment horizontal="left" vertical="center"/>
    </xf>
    <xf numFmtId="0" fontId="0" fillId="0" borderId="41" xfId="0" applyBorder="1" applyAlignment="1">
      <alignment horizontal="left" vertical="center"/>
    </xf>
    <xf numFmtId="0" fontId="0" fillId="0" borderId="4" xfId="0" applyBorder="1" applyAlignment="1">
      <alignment horizontal="left" vertical="center"/>
    </xf>
    <xf numFmtId="0" fontId="49" fillId="12" borderId="10" xfId="0" applyFont="1" applyFill="1" applyBorder="1" applyAlignment="1">
      <alignment horizontal="center" vertical="center"/>
    </xf>
    <xf numFmtId="49" fontId="49" fillId="12" borderId="2" xfId="0" applyNumberFormat="1" applyFont="1" applyFill="1" applyBorder="1" applyAlignment="1">
      <alignment horizontal="center" vertical="center"/>
    </xf>
    <xf numFmtId="49" fontId="49" fillId="12" borderId="13" xfId="0" applyNumberFormat="1" applyFont="1" applyFill="1" applyBorder="1" applyAlignment="1">
      <alignment horizontal="center" vertical="center"/>
    </xf>
    <xf numFmtId="49" fontId="49" fillId="12" borderId="1" xfId="0" applyNumberFormat="1" applyFont="1" applyFill="1" applyBorder="1" applyAlignment="1">
      <alignment horizontal="center" vertical="center"/>
    </xf>
    <xf numFmtId="3" fontId="57" fillId="0" borderId="33" xfId="0" applyNumberFormat="1" applyFont="1" applyBorder="1" applyAlignment="1">
      <alignment horizontal="center" vertical="center"/>
    </xf>
    <xf numFmtId="3" fontId="57" fillId="0" borderId="0" xfId="0" applyNumberFormat="1" applyFont="1" applyAlignment="1">
      <alignment horizontal="center" vertical="center"/>
    </xf>
    <xf numFmtId="0" fontId="50" fillId="0" borderId="3" xfId="0" applyFont="1" applyBorder="1" applyAlignment="1">
      <alignment horizontal="left" vertical="center" wrapText="1"/>
    </xf>
    <xf numFmtId="0" fontId="0" fillId="0" borderId="41" xfId="0" applyBorder="1" applyAlignment="1">
      <alignment horizontal="left" vertical="center" wrapText="1"/>
    </xf>
    <xf numFmtId="0" fontId="0" fillId="0" borderId="4" xfId="0" applyBorder="1" applyAlignment="1">
      <alignment horizontal="left" vertical="center" wrapText="1"/>
    </xf>
    <xf numFmtId="4" fontId="51" fillId="0" borderId="48" xfId="0" applyNumberFormat="1" applyFont="1" applyBorder="1" applyAlignment="1">
      <alignment horizontal="center" vertical="center" wrapText="1"/>
    </xf>
    <xf numFmtId="4" fontId="51" fillId="0" borderId="47" xfId="0" applyNumberFormat="1" applyFont="1" applyBorder="1" applyAlignment="1">
      <alignment horizontal="center" vertical="center" wrapText="1"/>
    </xf>
    <xf numFmtId="4" fontId="51" fillId="0" borderId="45" xfId="0" applyNumberFormat="1" applyFont="1" applyBorder="1" applyAlignment="1">
      <alignment horizontal="center" vertical="center" wrapText="1"/>
    </xf>
    <xf numFmtId="0" fontId="48" fillId="0" borderId="50" xfId="0" applyFont="1" applyBorder="1" applyAlignment="1">
      <alignment horizontal="left" vertical="center" wrapText="1"/>
    </xf>
    <xf numFmtId="0" fontId="48" fillId="0" borderId="51" xfId="0" applyFont="1" applyBorder="1" applyAlignment="1">
      <alignment horizontal="left" vertical="center" wrapText="1"/>
    </xf>
    <xf numFmtId="0" fontId="48" fillId="0" borderId="4" xfId="0" applyFont="1" applyBorder="1" applyAlignment="1">
      <alignment horizontal="left" wrapText="1"/>
    </xf>
    <xf numFmtId="0" fontId="49" fillId="13" borderId="15" xfId="0" applyFont="1" applyFill="1" applyBorder="1" applyAlignment="1">
      <alignment horizontal="center" vertical="center"/>
    </xf>
    <xf numFmtId="0" fontId="49" fillId="13" borderId="27" xfId="0" applyFont="1" applyFill="1" applyBorder="1" applyAlignment="1">
      <alignment horizontal="center" vertical="center"/>
    </xf>
    <xf numFmtId="0" fontId="49" fillId="13" borderId="2" xfId="0" applyFont="1" applyFill="1" applyBorder="1" applyAlignment="1">
      <alignment horizontal="center" vertical="center" wrapText="1"/>
    </xf>
    <xf numFmtId="0" fontId="49" fillId="13" borderId="5" xfId="0" applyFont="1" applyFill="1" applyBorder="1" applyAlignment="1">
      <alignment horizontal="center" vertical="center" wrapText="1"/>
    </xf>
    <xf numFmtId="0" fontId="48" fillId="0" borderId="4" xfId="0" applyFont="1" applyBorder="1" applyAlignment="1">
      <alignment horizontal="left" vertical="center" wrapText="1"/>
    </xf>
    <xf numFmtId="3" fontId="56" fillId="0" borderId="33" xfId="0" applyNumberFormat="1" applyFont="1" applyBorder="1" applyAlignment="1">
      <alignment horizontal="center" vertical="center" wrapText="1"/>
    </xf>
    <xf numFmtId="14" fontId="0" fillId="0" borderId="33" xfId="0" applyNumberFormat="1" applyBorder="1" applyAlignment="1">
      <alignment horizontal="center"/>
    </xf>
    <xf numFmtId="0" fontId="0" fillId="0" borderId="0" xfId="0" applyAlignment="1">
      <alignment horizontal="center"/>
    </xf>
    <xf numFmtId="14" fontId="24" fillId="0" borderId="33" xfId="0" applyNumberFormat="1" applyFont="1" applyBorder="1" applyAlignment="1">
      <alignment horizontal="center" vertical="center"/>
    </xf>
    <xf numFmtId="0" fontId="24" fillId="0" borderId="0" xfId="0" applyFont="1" applyAlignment="1">
      <alignment horizontal="center" vertical="center"/>
    </xf>
    <xf numFmtId="4" fontId="0" fillId="0" borderId="25" xfId="0" applyNumberFormat="1" applyFont="1" applyBorder="1" applyAlignment="1">
      <alignment horizontal="center" vertical="center" wrapText="1"/>
    </xf>
    <xf numFmtId="4" fontId="0" fillId="0" borderId="26" xfId="0" applyNumberFormat="1" applyFont="1" applyBorder="1" applyAlignment="1">
      <alignment horizontal="center" vertical="center" wrapText="1"/>
    </xf>
    <xf numFmtId="4" fontId="0" fillId="0" borderId="7" xfId="0" applyNumberFormat="1" applyBorder="1" applyAlignment="1">
      <alignment horizontal="center" vertical="center" wrapText="1"/>
    </xf>
    <xf numFmtId="4" fontId="0" fillId="0" borderId="1" xfId="0" applyNumberFormat="1" applyBorder="1" applyAlignment="1">
      <alignment horizontal="center" vertical="center" wrapText="1"/>
    </xf>
    <xf numFmtId="49" fontId="0" fillId="0" borderId="35" xfId="0" applyNumberFormat="1" applyFont="1" applyBorder="1" applyAlignment="1">
      <alignment horizontal="center" vertical="center" wrapText="1"/>
    </xf>
    <xf numFmtId="49" fontId="0" fillId="0" borderId="33" xfId="0" applyNumberFormat="1" applyFont="1" applyBorder="1" applyAlignment="1">
      <alignment horizontal="center" vertical="center" wrapText="1"/>
    </xf>
    <xf numFmtId="49" fontId="0" fillId="0" borderId="42" xfId="0" applyNumberFormat="1" applyFont="1" applyBorder="1" applyAlignment="1">
      <alignment horizontal="center" vertical="center" wrapText="1"/>
    </xf>
    <xf numFmtId="4" fontId="0" fillId="0" borderId="8" xfId="0" applyNumberFormat="1" applyFont="1" applyFill="1" applyBorder="1" applyAlignment="1">
      <alignment horizontal="center" vertical="center"/>
    </xf>
    <xf numFmtId="4" fontId="0" fillId="0" borderId="13" xfId="0" applyNumberFormat="1" applyFont="1" applyFill="1" applyBorder="1" applyAlignment="1">
      <alignment horizontal="center" vertical="center"/>
    </xf>
    <xf numFmtId="49" fontId="0" fillId="0" borderId="8"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wrapText="1"/>
    </xf>
    <xf numFmtId="4" fontId="0" fillId="0" borderId="8" xfId="0" applyNumberFormat="1" applyFont="1" applyFill="1" applyBorder="1" applyAlignment="1">
      <alignment horizontal="center" vertical="center" wrapText="1"/>
    </xf>
    <xf numFmtId="4" fontId="0" fillId="0" borderId="13" xfId="0" applyNumberFormat="1" applyFont="1" applyFill="1" applyBorder="1" applyAlignment="1">
      <alignment horizontal="center" vertical="center" wrapText="1"/>
    </xf>
    <xf numFmtId="4" fontId="24" fillId="0" borderId="8" xfId="0" applyNumberFormat="1" applyFont="1" applyFill="1" applyBorder="1" applyAlignment="1">
      <alignment horizontal="center" vertical="center"/>
    </xf>
    <xf numFmtId="4" fontId="24" fillId="0" borderId="13" xfId="0" applyNumberFormat="1" applyFont="1" applyFill="1" applyBorder="1" applyAlignment="1">
      <alignment horizontal="center" vertical="center"/>
    </xf>
    <xf numFmtId="4" fontId="36" fillId="0" borderId="10" xfId="0" applyNumberFormat="1" applyFont="1" applyBorder="1" applyAlignment="1">
      <alignment horizontal="center" vertical="center"/>
    </xf>
    <xf numFmtId="4" fontId="36" fillId="0" borderId="5" xfId="0" applyNumberFormat="1" applyFont="1" applyBorder="1" applyAlignment="1">
      <alignment horizontal="center" vertical="center"/>
    </xf>
    <xf numFmtId="4" fontId="0" fillId="0" borderId="2" xfId="0" applyNumberFormat="1" applyFont="1" applyFill="1" applyBorder="1" applyAlignment="1">
      <alignment horizontal="center" vertical="center" wrapText="1"/>
    </xf>
    <xf numFmtId="4" fontId="0" fillId="0" borderId="5" xfId="0" applyNumberFormat="1" applyFont="1" applyFill="1" applyBorder="1" applyAlignment="1">
      <alignment horizontal="center" vertical="center" wrapText="1"/>
    </xf>
    <xf numFmtId="4" fontId="0" fillId="0" borderId="2" xfId="0" applyNumberFormat="1" applyFont="1" applyFill="1" applyBorder="1" applyAlignment="1">
      <alignment horizontal="center" vertical="center"/>
    </xf>
    <xf numFmtId="4" fontId="0" fillId="0" borderId="5" xfId="0" applyNumberFormat="1" applyFont="1" applyFill="1" applyBorder="1" applyAlignment="1">
      <alignment horizontal="center" vertical="center"/>
    </xf>
    <xf numFmtId="4" fontId="0" fillId="0" borderId="21" xfId="0" applyNumberFormat="1" applyFont="1" applyBorder="1" applyAlignment="1">
      <alignment horizontal="center" vertical="center" wrapText="1"/>
    </xf>
    <xf numFmtId="4" fontId="0" fillId="0" borderId="27" xfId="0" applyNumberFormat="1" applyFont="1" applyBorder="1" applyAlignment="1">
      <alignment horizontal="center" vertical="center" wrapText="1"/>
    </xf>
    <xf numFmtId="0" fontId="0" fillId="0" borderId="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2" xfId="0" applyFont="1" applyBorder="1" applyAlignment="1">
      <alignment horizontal="center" vertical="center" wrapText="1"/>
    </xf>
    <xf numFmtId="4" fontId="0" fillId="0" borderId="12"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12" xfId="0" applyBorder="1" applyAlignment="1">
      <alignment horizontal="center" vertical="center"/>
    </xf>
    <xf numFmtId="4" fontId="0" fillId="0" borderId="12" xfId="0" applyNumberFormat="1" applyBorder="1" applyAlignment="1">
      <alignment horizontal="center" vertical="center"/>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26" fillId="0" borderId="8"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5"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5" xfId="0" applyFont="1" applyBorder="1" applyAlignment="1">
      <alignment horizontal="center" vertical="center" wrapText="1"/>
    </xf>
    <xf numFmtId="0" fontId="26" fillId="7" borderId="8" xfId="0" applyFont="1" applyFill="1" applyBorder="1" applyAlignment="1">
      <alignment horizontal="center" vertical="center" wrapText="1"/>
    </xf>
    <xf numFmtId="0" fontId="26" fillId="7" borderId="10" xfId="0" applyFont="1" applyFill="1" applyBorder="1" applyAlignment="1">
      <alignment horizontal="center" vertical="center" wrapText="1"/>
    </xf>
    <xf numFmtId="0" fontId="26" fillId="7" borderId="5" xfId="0"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 fontId="0" fillId="0" borderId="7" xfId="0" applyNumberFormat="1" applyBorder="1" applyAlignment="1">
      <alignment horizontal="center" vertical="center"/>
    </xf>
    <xf numFmtId="0" fontId="0" fillId="0" borderId="1" xfId="0" applyBorder="1" applyAlignment="1">
      <alignment horizontal="center" vertical="center"/>
    </xf>
    <xf numFmtId="49" fontId="0" fillId="0" borderId="7"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24" fillId="0" borderId="7" xfId="0" applyNumberFormat="1" applyFont="1" applyBorder="1" applyAlignment="1">
      <alignment horizontal="center" vertical="center" wrapText="1"/>
    </xf>
    <xf numFmtId="49" fontId="24" fillId="0" borderId="1" xfId="0" applyNumberFormat="1" applyFont="1" applyBorder="1" applyAlignment="1">
      <alignment horizontal="center" vertical="center" wrapText="1"/>
    </xf>
    <xf numFmtId="0" fontId="0" fillId="0" borderId="13" xfId="0" applyFont="1" applyFill="1" applyBorder="1" applyAlignment="1">
      <alignment horizontal="center" vertical="center" wrapText="1"/>
    </xf>
    <xf numFmtId="49" fontId="24" fillId="7" borderId="10" xfId="0" applyNumberFormat="1" applyFont="1" applyFill="1" applyBorder="1" applyAlignment="1">
      <alignment horizontal="center" vertical="center" wrapText="1"/>
    </xf>
    <xf numFmtId="49" fontId="24" fillId="7" borderId="5"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24" fillId="7" borderId="1" xfId="0" applyNumberFormat="1" applyFont="1" applyFill="1" applyBorder="1" applyAlignment="1">
      <alignment horizontal="center" vertical="center" wrapText="1"/>
    </xf>
    <xf numFmtId="49" fontId="24" fillId="7" borderId="12" xfId="0" applyNumberFormat="1" applyFont="1" applyFill="1" applyBorder="1" applyAlignment="1">
      <alignment horizontal="center" vertical="center" wrapText="1"/>
    </xf>
    <xf numFmtId="165" fontId="24" fillId="0" borderId="13" xfId="0" applyNumberFormat="1" applyFont="1" applyBorder="1" applyAlignment="1">
      <alignment horizontal="center" vertical="center" wrapText="1"/>
    </xf>
    <xf numFmtId="165" fontId="24"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0" xfId="0" applyFont="1" applyBorder="1" applyAlignment="1">
      <alignment horizontal="center" vertical="center" wrapText="1"/>
    </xf>
    <xf numFmtId="0" fontId="0" fillId="0" borderId="33" xfId="0" applyFont="1" applyBorder="1" applyAlignment="1">
      <alignment horizontal="center" vertical="center" wrapText="1"/>
    </xf>
    <xf numFmtId="0" fontId="0" fillId="3" borderId="1" xfId="0" applyFont="1" applyFill="1" applyBorder="1" applyAlignment="1">
      <alignment horizontal="center" vertical="center" wrapText="1"/>
    </xf>
    <xf numFmtId="165" fontId="0" fillId="0" borderId="1" xfId="0" applyNumberFormat="1" applyFont="1" applyBorder="1" applyAlignment="1">
      <alignment horizontal="center" vertical="center" wrapText="1"/>
    </xf>
    <xf numFmtId="4" fontId="0"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27" xfId="0" applyFont="1" applyBorder="1" applyAlignment="1">
      <alignment horizontal="center" vertical="center" wrapText="1"/>
    </xf>
    <xf numFmtId="165" fontId="0" fillId="0" borderId="2" xfId="0" applyNumberFormat="1" applyFont="1" applyBorder="1" applyAlignment="1">
      <alignment horizontal="center" vertical="center"/>
    </xf>
    <xf numFmtId="165" fontId="0" fillId="0" borderId="5" xfId="0" applyNumberFormat="1" applyFont="1" applyBorder="1" applyAlignment="1">
      <alignment horizontal="center" vertical="center"/>
    </xf>
    <xf numFmtId="0" fontId="24" fillId="2" borderId="2" xfId="0" applyFont="1" applyFill="1" applyBorder="1" applyAlignment="1">
      <alignment horizontal="center" vertical="center" wrapText="1"/>
    </xf>
    <xf numFmtId="0" fontId="24" fillId="2" borderId="5" xfId="0" applyFont="1" applyFill="1" applyBorder="1" applyAlignment="1">
      <alignment horizontal="center" vertical="center" wrapText="1"/>
    </xf>
    <xf numFmtId="4" fontId="0" fillId="0" borderId="2" xfId="0" applyNumberFormat="1" applyFont="1" applyBorder="1" applyAlignment="1">
      <alignment horizontal="center" vertical="center"/>
    </xf>
    <xf numFmtId="4" fontId="0" fillId="0" borderId="5" xfId="0" applyNumberFormat="1" applyFont="1" applyBorder="1" applyAlignment="1">
      <alignment horizontal="center" vertical="center"/>
    </xf>
    <xf numFmtId="0" fontId="30" fillId="0" borderId="14" xfId="0" applyFont="1" applyBorder="1" applyAlignment="1">
      <alignment horizontal="center" vertical="center"/>
    </xf>
    <xf numFmtId="0" fontId="30" fillId="0" borderId="36" xfId="0" applyFont="1" applyBorder="1" applyAlignment="1">
      <alignment horizontal="center" vertical="center"/>
    </xf>
    <xf numFmtId="0" fontId="24" fillId="0" borderId="13" xfId="0" applyFont="1" applyBorder="1" applyAlignment="1">
      <alignment horizontal="center" vertical="center" wrapText="1"/>
    </xf>
    <xf numFmtId="4" fontId="0" fillId="0" borderId="2" xfId="0" applyNumberFormat="1" applyFont="1" applyBorder="1" applyAlignment="1">
      <alignment horizontal="center" vertical="center" wrapText="1"/>
    </xf>
    <xf numFmtId="4" fontId="0" fillId="0" borderId="10" xfId="0" applyNumberFormat="1" applyFont="1" applyBorder="1" applyAlignment="1">
      <alignment horizontal="center" vertical="center" wrapText="1"/>
    </xf>
    <xf numFmtId="4" fontId="0" fillId="0" borderId="5" xfId="0" applyNumberFormat="1" applyFont="1" applyBorder="1" applyAlignment="1">
      <alignment horizontal="center" vertical="center" wrapText="1"/>
    </xf>
    <xf numFmtId="0" fontId="0" fillId="0" borderId="20" xfId="0" applyFont="1" applyBorder="1" applyAlignment="1">
      <alignment wrapText="1"/>
    </xf>
    <xf numFmtId="0" fontId="0" fillId="0" borderId="23" xfId="0" applyFont="1" applyBorder="1" applyAlignment="1">
      <alignment wrapText="1"/>
    </xf>
    <xf numFmtId="0" fontId="0" fillId="0" borderId="43" xfId="0" applyFont="1" applyBorder="1" applyAlignment="1">
      <alignment wrapText="1"/>
    </xf>
    <xf numFmtId="0" fontId="9" fillId="0" borderId="21" xfId="0" applyFont="1" applyBorder="1" applyAlignment="1">
      <alignment horizontal="center" vertical="center" wrapText="1"/>
    </xf>
    <xf numFmtId="0" fontId="9" fillId="0" borderId="26" xfId="0" applyFont="1" applyBorder="1" applyAlignment="1">
      <alignment horizontal="center" vertical="center" wrapText="1"/>
    </xf>
    <xf numFmtId="0" fontId="24" fillId="3" borderId="13" xfId="0" applyFont="1" applyFill="1" applyBorder="1" applyAlignment="1">
      <alignment horizontal="center" vertical="center" wrapText="1"/>
    </xf>
    <xf numFmtId="0" fontId="24" fillId="3" borderId="1" xfId="0" applyFont="1" applyFill="1" applyBorder="1" applyAlignment="1">
      <alignment horizontal="center" vertical="center" wrapText="1"/>
    </xf>
    <xf numFmtId="4" fontId="0" fillId="0" borderId="13" xfId="0" applyNumberFormat="1" applyFont="1" applyBorder="1" applyAlignment="1">
      <alignment horizontal="center" vertical="center" wrapText="1"/>
    </xf>
    <xf numFmtId="0" fontId="24" fillId="0" borderId="13" xfId="0" applyFont="1" applyBorder="1" applyAlignment="1">
      <alignment horizontal="center" vertical="center"/>
    </xf>
    <xf numFmtId="0" fontId="24" fillId="0" borderId="1" xfId="0" applyFont="1" applyBorder="1" applyAlignment="1">
      <alignment horizontal="center" vertical="center"/>
    </xf>
    <xf numFmtId="0" fontId="24" fillId="3" borderId="2" xfId="0" applyFont="1" applyFill="1" applyBorder="1" applyAlignment="1">
      <alignment horizontal="center" vertical="center" wrapText="1"/>
    </xf>
    <xf numFmtId="165" fontId="24" fillId="0" borderId="2" xfId="0" applyNumberFormat="1" applyFont="1" applyBorder="1" applyAlignment="1">
      <alignment horizontal="center" vertical="center" wrapText="1"/>
    </xf>
    <xf numFmtId="0" fontId="24" fillId="0" borderId="31" xfId="0" applyFont="1" applyBorder="1" applyAlignment="1">
      <alignment horizontal="center" vertical="center"/>
    </xf>
    <xf numFmtId="0" fontId="24" fillId="0" borderId="3" xfId="0" applyFont="1" applyBorder="1" applyAlignment="1">
      <alignment horizontal="center" vertical="center"/>
    </xf>
    <xf numFmtId="0" fontId="24" fillId="0" borderId="14" xfId="0" applyFont="1" applyBorder="1" applyAlignment="1">
      <alignment horizontal="center" vertical="center"/>
    </xf>
    <xf numFmtId="0" fontId="29" fillId="0" borderId="1" xfId="0" applyFont="1" applyBorder="1" applyAlignment="1">
      <alignment horizontal="center" vertical="center"/>
    </xf>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29" fillId="0" borderId="2" xfId="0" applyFont="1" applyBorder="1" applyAlignment="1">
      <alignment horizontal="center" vertical="center"/>
    </xf>
    <xf numFmtId="0" fontId="29" fillId="0" borderId="10" xfId="0" applyFont="1" applyBorder="1" applyAlignment="1">
      <alignment horizontal="center" vertical="center"/>
    </xf>
    <xf numFmtId="0" fontId="29" fillId="0" borderId="5" xfId="0" applyFont="1" applyBorder="1" applyAlignment="1">
      <alignment horizontal="center" vertical="center"/>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5"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7" xfId="0" applyFont="1" applyBorder="1" applyAlignment="1">
      <alignment horizontal="center" vertical="center" wrapText="1"/>
    </xf>
    <xf numFmtId="165" fontId="0" fillId="0" borderId="30" xfId="0" applyNumberFormat="1" applyFont="1" applyBorder="1" applyAlignment="1">
      <alignment horizontal="center" vertical="center" wrapText="1"/>
    </xf>
    <xf numFmtId="165" fontId="0" fillId="0" borderId="23" xfId="0" applyNumberFormat="1" applyFont="1" applyBorder="1" applyAlignment="1">
      <alignment horizontal="center" vertical="center" wrapText="1"/>
    </xf>
    <xf numFmtId="165" fontId="0" fillId="0" borderId="32" xfId="0" applyNumberFormat="1" applyFont="1" applyBorder="1" applyAlignment="1">
      <alignment horizontal="center" vertical="center" wrapText="1"/>
    </xf>
    <xf numFmtId="0" fontId="0" fillId="3" borderId="25" xfId="0" applyFont="1" applyFill="1" applyBorder="1" applyAlignment="1">
      <alignment horizontal="center" vertical="center" wrapText="1"/>
    </xf>
    <xf numFmtId="0" fontId="0" fillId="3" borderId="21" xfId="0" applyFont="1" applyFill="1" applyBorder="1" applyAlignment="1">
      <alignment horizontal="center" vertical="center" wrapText="1"/>
    </xf>
    <xf numFmtId="0" fontId="0" fillId="3" borderId="26" xfId="0" applyFont="1" applyFill="1" applyBorder="1" applyAlignment="1">
      <alignment horizontal="center" vertical="center" wrapText="1"/>
    </xf>
    <xf numFmtId="165" fontId="0" fillId="0" borderId="8" xfId="0" applyNumberFormat="1" applyFont="1" applyBorder="1" applyAlignment="1">
      <alignment horizontal="center" vertical="center" wrapText="1"/>
    </xf>
    <xf numFmtId="165" fontId="0" fillId="0" borderId="10" xfId="0" applyNumberFormat="1" applyFont="1" applyBorder="1" applyAlignment="1">
      <alignment horizontal="center" vertical="center" wrapText="1"/>
    </xf>
    <xf numFmtId="165" fontId="0" fillId="0" borderId="13" xfId="0" applyNumberFormat="1" applyFont="1" applyBorder="1" applyAlignment="1">
      <alignment horizontal="center" vertical="center" wrapText="1"/>
    </xf>
    <xf numFmtId="4" fontId="0" fillId="0" borderId="8" xfId="0" applyNumberFormat="1" applyFont="1" applyBorder="1" applyAlignment="1">
      <alignment horizontal="center" vertical="center" wrapText="1"/>
    </xf>
    <xf numFmtId="0" fontId="0" fillId="0" borderId="30" xfId="0" applyFont="1" applyBorder="1" applyAlignment="1">
      <alignment horizontal="center" vertical="center"/>
    </xf>
    <xf numFmtId="0" fontId="0" fillId="0" borderId="23" xfId="0" applyFont="1" applyBorder="1" applyAlignment="1">
      <alignment horizontal="center" vertical="center"/>
    </xf>
    <xf numFmtId="0" fontId="0" fillId="0" borderId="32" xfId="0" applyFont="1" applyBorder="1" applyAlignment="1">
      <alignment horizontal="center" vertical="center"/>
    </xf>
    <xf numFmtId="0" fontId="0" fillId="0" borderId="21" xfId="0" applyFont="1" applyBorder="1" applyAlignment="1">
      <alignment horizontal="center" vertical="center" wrapText="1"/>
    </xf>
    <xf numFmtId="0" fontId="26" fillId="0" borderId="2" xfId="0" applyFont="1" applyBorder="1" applyAlignment="1">
      <alignment horizontal="center" vertical="center" wrapText="1"/>
    </xf>
    <xf numFmtId="0" fontId="0" fillId="3" borderId="29"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39" xfId="0" applyFont="1" applyFill="1" applyBorder="1" applyAlignment="1">
      <alignment horizontal="center" vertical="center" wrapText="1"/>
    </xf>
    <xf numFmtId="165" fontId="0" fillId="0" borderId="7" xfId="0" applyNumberFormat="1" applyFont="1" applyBorder="1" applyAlignment="1">
      <alignment horizontal="center" vertical="center" wrapText="1"/>
    </xf>
    <xf numFmtId="165" fontId="0" fillId="0" borderId="12" xfId="0" applyNumberFormat="1" applyFont="1" applyBorder="1" applyAlignment="1">
      <alignment horizontal="center" vertical="center" wrapText="1"/>
    </xf>
    <xf numFmtId="4" fontId="0" fillId="0" borderId="7" xfId="0" applyNumberFormat="1" applyFont="1" applyBorder="1" applyAlignment="1">
      <alignment horizontal="center" vertical="center" wrapText="1"/>
    </xf>
    <xf numFmtId="4" fontId="0" fillId="0" borderId="12" xfId="0" applyNumberFormat="1" applyFont="1" applyBorder="1" applyAlignment="1">
      <alignment horizontal="center" vertical="center"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16" xfId="0" applyFont="1" applyBorder="1" applyAlignment="1">
      <alignment wrapText="1"/>
    </xf>
    <xf numFmtId="0" fontId="0" fillId="0" borderId="17" xfId="0" applyFont="1" applyBorder="1" applyAlignment="1">
      <alignment wrapText="1"/>
    </xf>
    <xf numFmtId="0" fontId="10" fillId="0" borderId="9" xfId="0" applyFont="1" applyBorder="1" applyAlignment="1">
      <alignment horizontal="center" vertical="center" wrapText="1"/>
    </xf>
    <xf numFmtId="0" fontId="11" fillId="0" borderId="15"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6"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5" fillId="2" borderId="7"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3" fillId="0" borderId="0" xfId="0" applyFont="1" applyAlignment="1">
      <alignment horizontal="left" wrapText="1"/>
    </xf>
    <xf numFmtId="0" fontId="11" fillId="3" borderId="8"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0" borderId="13" xfId="0" applyFont="1" applyBorder="1" applyAlignment="1">
      <alignment horizontal="center" vertical="center" wrapText="1"/>
    </xf>
    <xf numFmtId="0" fontId="0" fillId="0" borderId="13" xfId="0" applyFont="1" applyBorder="1" applyAlignment="1">
      <alignment horizontal="center" vertical="center" wrapText="1"/>
    </xf>
    <xf numFmtId="0" fontId="0" fillId="3" borderId="2" xfId="0" applyFont="1" applyFill="1" applyBorder="1" applyAlignment="1">
      <alignment horizontal="center" vertical="center" wrapText="1"/>
    </xf>
    <xf numFmtId="165" fontId="0" fillId="0" borderId="2" xfId="0" applyNumberFormat="1" applyFont="1" applyBorder="1" applyAlignment="1">
      <alignment horizontal="center" vertical="center" wrapText="1"/>
    </xf>
    <xf numFmtId="0" fontId="21" fillId="0" borderId="0" xfId="0" applyFont="1" applyAlignment="1">
      <alignment horizontal="left" vertical="top" wrapText="1"/>
    </xf>
    <xf numFmtId="165" fontId="0" fillId="0" borderId="6" xfId="0" applyNumberFormat="1" applyFont="1" applyBorder="1" applyAlignment="1">
      <alignment horizontal="center" vertical="center" wrapText="1"/>
    </xf>
    <xf numFmtId="165" fontId="0" fillId="0" borderId="9" xfId="0" applyNumberFormat="1" applyFont="1" applyBorder="1" applyAlignment="1">
      <alignment horizontal="center" vertical="center" wrapText="1"/>
    </xf>
    <xf numFmtId="165" fontId="0" fillId="0" borderId="11" xfId="0" applyNumberFormat="1" applyFont="1" applyBorder="1" applyAlignment="1">
      <alignment horizontal="center" vertical="center" wrapText="1"/>
    </xf>
    <xf numFmtId="0" fontId="22" fillId="0" borderId="0" xfId="0" applyFont="1" applyAlignment="1">
      <alignment horizontal="left" vertical="top" wrapText="1"/>
    </xf>
    <xf numFmtId="0" fontId="12" fillId="0" borderId="8" xfId="0" applyFont="1" applyBorder="1" applyAlignment="1">
      <alignment horizontal="center" vertical="top" wrapText="1"/>
    </xf>
    <xf numFmtId="0" fontId="12" fillId="0" borderId="5" xfId="0" applyFont="1" applyBorder="1" applyAlignment="1">
      <alignment horizontal="center" vertical="top" wrapText="1"/>
    </xf>
    <xf numFmtId="0" fontId="12" fillId="0" borderId="2" xfId="0" applyFont="1" applyBorder="1" applyAlignment="1">
      <alignment horizontal="center" vertical="top"/>
    </xf>
    <xf numFmtId="0" fontId="12" fillId="0" borderId="10" xfId="0" applyFont="1" applyBorder="1" applyAlignment="1">
      <alignment horizontal="center" vertical="top"/>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4" xfId="0" applyFont="1" applyBorder="1" applyAlignment="1">
      <alignment horizontal="center" vertical="center" wrapText="1"/>
    </xf>
    <xf numFmtId="0" fontId="12" fillId="0" borderId="2" xfId="0" applyFont="1" applyBorder="1" applyAlignment="1">
      <alignment horizontal="center" vertical="top" wrapText="1"/>
    </xf>
    <xf numFmtId="0" fontId="12" fillId="0" borderId="10" xfId="0" applyFont="1" applyBorder="1" applyAlignment="1">
      <alignment horizontal="center" vertical="top" wrapText="1"/>
    </xf>
    <xf numFmtId="0" fontId="12" fillId="0" borderId="2" xfId="0" applyFont="1" applyBorder="1" applyAlignment="1">
      <alignment horizontal="left" vertical="top"/>
    </xf>
    <xf numFmtId="0" fontId="12" fillId="0" borderId="10" xfId="0" applyFont="1" applyBorder="1" applyAlignment="1">
      <alignment horizontal="left" vertical="top"/>
    </xf>
    <xf numFmtId="0" fontId="12" fillId="0" borderId="1" xfId="0" applyFont="1" applyBorder="1" applyAlignment="1">
      <alignment horizontal="center" vertical="top" wrapText="1"/>
    </xf>
    <xf numFmtId="0" fontId="12" fillId="0" borderId="3" xfId="0" applyFont="1" applyBorder="1" applyAlignment="1">
      <alignment horizontal="center" vertical="top" wrapText="1"/>
    </xf>
    <xf numFmtId="0" fontId="12" fillId="0" borderId="1" xfId="0" applyFont="1" applyBorder="1" applyAlignment="1">
      <alignment horizontal="center" vertical="top"/>
    </xf>
    <xf numFmtId="0" fontId="12" fillId="0" borderId="4" xfId="0" applyFont="1" applyBorder="1" applyAlignment="1">
      <alignment horizontal="center" vertical="top" wrapText="1"/>
    </xf>
    <xf numFmtId="0" fontId="9" fillId="0" borderId="35"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42" xfId="0" applyFont="1" applyBorder="1" applyAlignment="1">
      <alignment horizontal="center" vertical="center" wrapText="1"/>
    </xf>
    <xf numFmtId="0" fontId="0" fillId="2" borderId="7"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26" fillId="0" borderId="13" xfId="0" applyFont="1" applyBorder="1" applyAlignment="1">
      <alignment horizontal="center" vertical="center" wrapText="1"/>
    </xf>
    <xf numFmtId="2" fontId="37" fillId="0" borderId="1" xfId="0" applyNumberFormat="1" applyFont="1" applyFill="1" applyBorder="1" applyAlignment="1">
      <alignment horizontal="left" vertical="center" wrapText="1"/>
    </xf>
    <xf numFmtId="0" fontId="29" fillId="6" borderId="8" xfId="0" applyFont="1" applyFill="1" applyBorder="1" applyAlignment="1">
      <alignment horizontal="center" vertical="center" wrapText="1"/>
    </xf>
    <xf numFmtId="0" fontId="29" fillId="6" borderId="5" xfId="0" applyFont="1" applyFill="1" applyBorder="1" applyAlignment="1">
      <alignment horizontal="center" vertical="center" wrapText="1"/>
    </xf>
    <xf numFmtId="0" fontId="0" fillId="0" borderId="17" xfId="0" applyFont="1" applyBorder="1" applyAlignment="1">
      <alignment horizontal="center"/>
    </xf>
    <xf numFmtId="0" fontId="0" fillId="0" borderId="20" xfId="0" applyFont="1" applyBorder="1" applyAlignment="1">
      <alignment horizontal="center"/>
    </xf>
    <xf numFmtId="4" fontId="0" fillId="0" borderId="30" xfId="0" applyNumberFormat="1" applyFont="1" applyBorder="1" applyAlignment="1">
      <alignment horizontal="center" vertical="center" wrapText="1"/>
    </xf>
    <xf numFmtId="0" fontId="0" fillId="0" borderId="23"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9" xfId="0" applyFont="1" applyBorder="1" applyAlignment="1">
      <alignment horizontal="center" vertical="center" wrapText="1"/>
    </xf>
    <xf numFmtId="4" fontId="24" fillId="0" borderId="8" xfId="0" applyNumberFormat="1" applyFont="1" applyBorder="1" applyAlignment="1">
      <alignment horizontal="center" vertical="center"/>
    </xf>
    <xf numFmtId="4" fontId="24" fillId="0" borderId="10" xfId="0" applyNumberFormat="1" applyFont="1" applyBorder="1" applyAlignment="1">
      <alignment horizontal="center" vertical="center"/>
    </xf>
    <xf numFmtId="4" fontId="24" fillId="0" borderId="5" xfId="0" applyNumberFormat="1" applyFont="1" applyBorder="1" applyAlignment="1">
      <alignment horizontal="center" vertical="center"/>
    </xf>
    <xf numFmtId="4" fontId="0" fillId="9" borderId="10" xfId="0" applyNumberFormat="1" applyFont="1" applyFill="1" applyBorder="1" applyAlignment="1">
      <alignment horizontal="center" vertical="center"/>
    </xf>
    <xf numFmtId="4" fontId="0" fillId="9" borderId="5" xfId="0" applyNumberFormat="1" applyFont="1" applyFill="1" applyBorder="1" applyAlignment="1">
      <alignment horizontal="center" vertical="center"/>
    </xf>
    <xf numFmtId="49" fontId="24" fillId="9" borderId="2" xfId="0" applyNumberFormat="1" applyFont="1" applyFill="1" applyBorder="1" applyAlignment="1">
      <alignment horizontal="center" vertical="center" wrapText="1"/>
    </xf>
    <xf numFmtId="49" fontId="24" fillId="9" borderId="5" xfId="0" applyNumberFormat="1" applyFont="1" applyFill="1" applyBorder="1" applyAlignment="1">
      <alignment horizontal="center" vertical="center" wrapText="1"/>
    </xf>
    <xf numFmtId="4" fontId="0" fillId="9" borderId="2" xfId="0" applyNumberFormat="1" applyFont="1" applyFill="1" applyBorder="1" applyAlignment="1">
      <alignment horizontal="center" vertical="center" wrapText="1"/>
    </xf>
    <xf numFmtId="4" fontId="0" fillId="9" borderId="5" xfId="0" applyNumberFormat="1" applyFont="1" applyFill="1" applyBorder="1" applyAlignment="1">
      <alignment horizontal="center" vertical="center" wrapText="1"/>
    </xf>
    <xf numFmtId="4" fontId="0" fillId="9" borderId="2" xfId="0" applyNumberFormat="1" applyFont="1" applyFill="1" applyBorder="1" applyAlignment="1">
      <alignment horizontal="center" vertical="center"/>
    </xf>
    <xf numFmtId="4" fontId="0" fillId="0" borderId="8" xfId="0" applyNumberFormat="1" applyFont="1" applyBorder="1" applyAlignment="1">
      <alignment horizontal="center" vertical="center"/>
    </xf>
    <xf numFmtId="4" fontId="0" fillId="0" borderId="10" xfId="0" applyNumberFormat="1" applyFont="1" applyBorder="1" applyAlignment="1">
      <alignment horizontal="center" vertical="center"/>
    </xf>
    <xf numFmtId="49" fontId="0" fillId="0" borderId="25" xfId="0" applyNumberFormat="1" applyFont="1" applyBorder="1" applyAlignment="1">
      <alignment horizontal="center" vertical="center" wrapText="1"/>
    </xf>
    <xf numFmtId="49" fontId="0" fillId="0" borderId="21" xfId="0" applyNumberFormat="1" applyFont="1" applyBorder="1" applyAlignment="1">
      <alignment horizontal="center" vertical="center" wrapText="1"/>
    </xf>
    <xf numFmtId="49" fontId="0" fillId="0" borderId="27"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49" fontId="0" fillId="0" borderId="10" xfId="0" applyNumberFormat="1" applyFont="1" applyBorder="1" applyAlignment="1">
      <alignment horizontal="center" vertical="center" wrapText="1"/>
    </xf>
    <xf numFmtId="49" fontId="0" fillId="0" borderId="5" xfId="0" applyNumberFormat="1" applyFont="1" applyBorder="1" applyAlignment="1">
      <alignment horizontal="center" vertical="center" wrapText="1"/>
    </xf>
    <xf numFmtId="4" fontId="24" fillId="0" borderId="8" xfId="0" applyNumberFormat="1" applyFont="1" applyBorder="1" applyAlignment="1">
      <alignment horizontal="center" vertical="center" wrapText="1"/>
    </xf>
    <xf numFmtId="4" fontId="24" fillId="0" borderId="10" xfId="0" applyNumberFormat="1" applyFont="1" applyBorder="1" applyAlignment="1">
      <alignment horizontal="center" vertical="center" wrapText="1"/>
    </xf>
    <xf numFmtId="4" fontId="24" fillId="0" borderId="5" xfId="0" applyNumberFormat="1" applyFont="1" applyBorder="1" applyAlignment="1">
      <alignment horizontal="center" vertical="center" wrapText="1"/>
    </xf>
    <xf numFmtId="49" fontId="12" fillId="0" borderId="16" xfId="0" applyNumberFormat="1" applyFont="1" applyBorder="1" applyAlignment="1">
      <alignment horizontal="left" vertical="top" wrapText="1"/>
    </xf>
    <xf numFmtId="49" fontId="12" fillId="0" borderId="18" xfId="0" applyNumberFormat="1" applyFont="1" applyBorder="1" applyAlignment="1">
      <alignment horizontal="left" vertical="top" wrapText="1"/>
    </xf>
    <xf numFmtId="49" fontId="12" fillId="0" borderId="7" xfId="0" applyNumberFormat="1" applyFont="1" applyBorder="1" applyAlignment="1">
      <alignment horizontal="center" vertical="center" wrapText="1"/>
    </xf>
    <xf numFmtId="49" fontId="12" fillId="0" borderId="7" xfId="0" applyNumberFormat="1" applyFont="1" applyBorder="1" applyAlignment="1">
      <alignment horizontal="center" vertical="center"/>
    </xf>
    <xf numFmtId="49" fontId="12" fillId="0" borderId="12" xfId="0" applyNumberFormat="1" applyFont="1" applyBorder="1" applyAlignment="1">
      <alignment horizontal="center" vertical="center" wrapText="1"/>
    </xf>
    <xf numFmtId="4" fontId="12" fillId="0" borderId="7" xfId="0" applyNumberFormat="1" applyFont="1" applyBorder="1" applyAlignment="1">
      <alignment horizontal="center" vertical="center" wrapText="1"/>
    </xf>
    <xf numFmtId="4" fontId="12" fillId="0" borderId="12"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49" fontId="12" fillId="0" borderId="11" xfId="0" applyNumberFormat="1" applyFont="1" applyBorder="1" applyAlignment="1">
      <alignment horizontal="center" vertical="center" wrapText="1"/>
    </xf>
    <xf numFmtId="49" fontId="0" fillId="7" borderId="2" xfId="0" applyNumberFormat="1" applyFont="1" applyFill="1" applyBorder="1" applyAlignment="1">
      <alignment horizontal="center" vertical="center" wrapText="1"/>
    </xf>
    <xf numFmtId="49" fontId="0" fillId="7" borderId="10" xfId="0" applyNumberFormat="1" applyFont="1" applyFill="1" applyBorder="1" applyAlignment="1">
      <alignment horizontal="center" vertical="center" wrapText="1"/>
    </xf>
    <xf numFmtId="49" fontId="0" fillId="7" borderId="5" xfId="0" applyNumberFormat="1" applyFont="1" applyFill="1" applyBorder="1" applyAlignment="1">
      <alignment horizontal="center" vertical="center" wrapText="1"/>
    </xf>
    <xf numFmtId="49" fontId="0" fillId="0" borderId="8" xfId="0" applyNumberFormat="1" applyFont="1" applyBorder="1" applyAlignment="1">
      <alignment horizontal="center" vertical="center" wrapText="1"/>
    </xf>
    <xf numFmtId="4" fontId="0" fillId="0" borderId="13" xfId="0" applyNumberFormat="1" applyFont="1" applyBorder="1" applyAlignment="1">
      <alignment horizontal="center" vertical="center"/>
    </xf>
    <xf numFmtId="49" fontId="0" fillId="0" borderId="13" xfId="0" applyNumberFormat="1" applyFont="1" applyBorder="1" applyAlignment="1">
      <alignment horizontal="center" vertical="center" wrapText="1"/>
    </xf>
    <xf numFmtId="4" fontId="24" fillId="0" borderId="13" xfId="0" applyNumberFormat="1" applyFont="1" applyBorder="1" applyAlignment="1">
      <alignment horizontal="center" vertical="center" wrapText="1"/>
    </xf>
    <xf numFmtId="0" fontId="24" fillId="0" borderId="33" xfId="0" applyFont="1" applyBorder="1" applyAlignment="1">
      <alignment horizontal="center" vertical="center" wrapText="1"/>
    </xf>
    <xf numFmtId="49" fontId="0" fillId="4" borderId="20" xfId="0" applyNumberFormat="1" applyFont="1" applyFill="1" applyBorder="1" applyAlignment="1">
      <alignment horizontal="left" vertical="center" wrapText="1"/>
    </xf>
    <xf numFmtId="49" fontId="0" fillId="4" borderId="32" xfId="0" applyNumberFormat="1" applyFont="1" applyFill="1" applyBorder="1" applyAlignment="1">
      <alignment horizontal="left" vertical="center" wrapText="1"/>
    </xf>
    <xf numFmtId="49" fontId="0" fillId="8" borderId="23" xfId="0" applyNumberFormat="1" applyFont="1" applyFill="1" applyBorder="1" applyAlignment="1">
      <alignment horizontal="left" vertical="top" wrapText="1"/>
    </xf>
    <xf numFmtId="49" fontId="0" fillId="8" borderId="32" xfId="0" applyNumberFormat="1" applyFont="1" applyFill="1" applyBorder="1" applyAlignment="1">
      <alignment horizontal="left" vertical="top" wrapText="1"/>
    </xf>
    <xf numFmtId="49" fontId="0" fillId="4" borderId="30" xfId="0" applyNumberFormat="1" applyFont="1" applyFill="1" applyBorder="1" applyAlignment="1">
      <alignment horizontal="left" vertical="center" wrapText="1"/>
    </xf>
    <xf numFmtId="49" fontId="0" fillId="8" borderId="20" xfId="0" applyNumberFormat="1" applyFont="1" applyFill="1" applyBorder="1" applyAlignment="1">
      <alignment horizontal="left" vertical="center" wrapText="1"/>
    </xf>
    <xf numFmtId="49" fontId="0" fillId="8" borderId="32" xfId="0" applyNumberFormat="1" applyFont="1" applyFill="1" applyBorder="1" applyAlignment="1">
      <alignment horizontal="left" vertical="center" wrapText="1"/>
    </xf>
    <xf numFmtId="0" fontId="0" fillId="0" borderId="0" xfId="0" applyAlignment="1">
      <alignment horizontal="center" wrapText="1"/>
    </xf>
    <xf numFmtId="4" fontId="0" fillId="8" borderId="2" xfId="0" applyNumberFormat="1" applyFont="1" applyFill="1" applyBorder="1" applyAlignment="1">
      <alignment horizontal="center" vertical="center" wrapText="1"/>
    </xf>
    <xf numFmtId="4" fontId="0" fillId="8" borderId="10" xfId="0" applyNumberFormat="1" applyFont="1" applyFill="1" applyBorder="1" applyAlignment="1">
      <alignment horizontal="center" vertical="center" wrapText="1"/>
    </xf>
    <xf numFmtId="4" fontId="0" fillId="8" borderId="13" xfId="0" applyNumberFormat="1" applyFont="1" applyFill="1" applyBorder="1" applyAlignment="1">
      <alignment horizontal="center" vertical="center" wrapText="1"/>
    </xf>
    <xf numFmtId="4" fontId="0" fillId="4" borderId="2" xfId="0" applyNumberFormat="1" applyFont="1" applyFill="1" applyBorder="1" applyAlignment="1">
      <alignment horizontal="center" vertical="center" wrapText="1"/>
    </xf>
    <xf numFmtId="4" fontId="0" fillId="4" borderId="10" xfId="0" applyNumberFormat="1" applyFont="1" applyFill="1" applyBorder="1" applyAlignment="1">
      <alignment horizontal="center" vertical="center" wrapText="1"/>
    </xf>
    <xf numFmtId="4" fontId="0" fillId="4" borderId="8" xfId="0" applyNumberFormat="1" applyFont="1" applyFill="1" applyBorder="1" applyAlignment="1">
      <alignment horizontal="center" vertical="center" wrapText="1"/>
    </xf>
    <xf numFmtId="4" fontId="0" fillId="4" borderId="13" xfId="0" applyNumberFormat="1" applyFont="1" applyFill="1" applyBorder="1" applyAlignment="1">
      <alignment horizontal="center" vertical="center" wrapText="1"/>
    </xf>
    <xf numFmtId="4" fontId="0" fillId="4" borderId="1" xfId="0" applyNumberFormat="1" applyFont="1" applyFill="1" applyBorder="1" applyAlignment="1">
      <alignment horizontal="center" vertical="center"/>
    </xf>
    <xf numFmtId="4" fontId="24" fillId="8" borderId="2" xfId="0" applyNumberFormat="1" applyFont="1" applyFill="1" applyBorder="1" applyAlignment="1">
      <alignment horizontal="center" vertical="center"/>
    </xf>
    <xf numFmtId="4" fontId="24" fillId="8" borderId="10" xfId="0" applyNumberFormat="1" applyFont="1" applyFill="1" applyBorder="1" applyAlignment="1">
      <alignment horizontal="center" vertical="center"/>
    </xf>
    <xf numFmtId="4" fontId="24" fillId="8" borderId="13" xfId="0" applyNumberFormat="1" applyFont="1" applyFill="1" applyBorder="1" applyAlignment="1">
      <alignment horizontal="center" vertical="center"/>
    </xf>
    <xf numFmtId="4" fontId="24" fillId="8" borderId="1" xfId="0" applyNumberFormat="1" applyFont="1" applyFill="1" applyBorder="1" applyAlignment="1">
      <alignment horizontal="center" vertical="center" wrapText="1"/>
    </xf>
    <xf numFmtId="0" fontId="0" fillId="8" borderId="2" xfId="0" applyFont="1" applyFill="1" applyBorder="1" applyAlignment="1">
      <alignment horizontal="center" vertical="center" wrapText="1"/>
    </xf>
    <xf numFmtId="0" fontId="0" fillId="8" borderId="10" xfId="0" applyFont="1" applyFill="1" applyBorder="1" applyAlignment="1">
      <alignment horizontal="center" vertical="center" wrapText="1"/>
    </xf>
    <xf numFmtId="0" fontId="0" fillId="8" borderId="13" xfId="0" applyFont="1" applyFill="1" applyBorder="1" applyAlignment="1">
      <alignment horizontal="center" vertical="center" wrapText="1"/>
    </xf>
    <xf numFmtId="4" fontId="24" fillId="4" borderId="8" xfId="0" applyNumberFormat="1" applyFont="1" applyFill="1" applyBorder="1" applyAlignment="1">
      <alignment horizontal="center" vertical="center"/>
    </xf>
    <xf numFmtId="4" fontId="24" fillId="4" borderId="10" xfId="0" applyNumberFormat="1" applyFont="1" applyFill="1" applyBorder="1" applyAlignment="1">
      <alignment horizontal="center" vertical="center"/>
    </xf>
    <xf numFmtId="4" fontId="24" fillId="4" borderId="13" xfId="0" applyNumberFormat="1" applyFont="1" applyFill="1" applyBorder="1" applyAlignment="1">
      <alignment horizontal="center" vertical="center"/>
    </xf>
    <xf numFmtId="4" fontId="24" fillId="4" borderId="2" xfId="0" applyNumberFormat="1" applyFont="1" applyFill="1" applyBorder="1" applyAlignment="1">
      <alignment horizontal="center" vertical="center"/>
    </xf>
    <xf numFmtId="49" fontId="24" fillId="0" borderId="2" xfId="0" applyNumberFormat="1" applyFont="1" applyFill="1" applyBorder="1" applyAlignment="1">
      <alignment horizontal="center" vertical="center" wrapText="1"/>
    </xf>
    <xf numFmtId="49" fontId="24" fillId="0" borderId="10" xfId="0" applyNumberFormat="1" applyFont="1" applyFill="1" applyBorder="1" applyAlignment="1">
      <alignment horizontal="center" vertical="center" wrapText="1"/>
    </xf>
    <xf numFmtId="49" fontId="24" fillId="0" borderId="13" xfId="0" applyNumberFormat="1" applyFont="1" applyFill="1" applyBorder="1" applyAlignment="1">
      <alignment horizontal="center" vertical="center" wrapText="1"/>
    </xf>
    <xf numFmtId="4" fontId="0" fillId="4" borderId="8" xfId="0" applyNumberFormat="1" applyFont="1" applyFill="1" applyBorder="1" applyAlignment="1">
      <alignment horizontal="center" vertical="center"/>
    </xf>
    <xf numFmtId="4" fontId="0" fillId="4" borderId="10" xfId="0" applyNumberFormat="1" applyFont="1" applyFill="1" applyBorder="1" applyAlignment="1">
      <alignment horizontal="center" vertical="center"/>
    </xf>
    <xf numFmtId="4" fontId="0" fillId="4" borderId="13" xfId="0" applyNumberFormat="1" applyFont="1" applyFill="1" applyBorder="1" applyAlignment="1">
      <alignment horizontal="center" vertical="center"/>
    </xf>
    <xf numFmtId="0" fontId="12" fillId="0" borderId="5" xfId="0" applyFont="1" applyBorder="1" applyAlignment="1">
      <alignment horizontal="left" vertical="top" wrapText="1"/>
    </xf>
    <xf numFmtId="4" fontId="24" fillId="8" borderId="1" xfId="0" applyNumberFormat="1" applyFont="1" applyFill="1" applyBorder="1" applyAlignment="1">
      <alignment horizontal="center" vertical="center"/>
    </xf>
    <xf numFmtId="4" fontId="24" fillId="8" borderId="12" xfId="0" applyNumberFormat="1" applyFont="1" applyFill="1" applyBorder="1" applyAlignment="1">
      <alignment horizontal="center" vertical="center"/>
    </xf>
    <xf numFmtId="4" fontId="24" fillId="8" borderId="12" xfId="0" applyNumberFormat="1" applyFont="1" applyFill="1" applyBorder="1" applyAlignment="1">
      <alignment horizontal="center" vertical="center" wrapText="1"/>
    </xf>
    <xf numFmtId="4" fontId="24" fillId="4" borderId="1" xfId="0" applyNumberFormat="1" applyFont="1" applyFill="1" applyBorder="1" applyAlignment="1">
      <alignment horizontal="center" vertical="center" wrapText="1"/>
    </xf>
    <xf numFmtId="4" fontId="24" fillId="4" borderId="1" xfId="0" applyNumberFormat="1" applyFont="1" applyFill="1" applyBorder="1" applyAlignment="1">
      <alignment horizontal="center" vertical="center"/>
    </xf>
    <xf numFmtId="4" fontId="0" fillId="4" borderId="7" xfId="0" applyNumberFormat="1" applyFont="1" applyFill="1" applyBorder="1" applyAlignment="1">
      <alignment horizontal="center" vertical="center"/>
    </xf>
    <xf numFmtId="4" fontId="0" fillId="4" borderId="2" xfId="0" applyNumberFormat="1" applyFont="1" applyFill="1" applyBorder="1" applyAlignment="1">
      <alignment horizontal="center" vertical="center"/>
    </xf>
    <xf numFmtId="4" fontId="0" fillId="8" borderId="1" xfId="0" applyNumberFormat="1" applyFont="1" applyFill="1" applyBorder="1" applyAlignment="1">
      <alignment horizontal="center" vertical="center" wrapText="1"/>
    </xf>
    <xf numFmtId="4" fontId="0" fillId="8" borderId="12" xfId="0" applyNumberFormat="1" applyFont="1" applyFill="1" applyBorder="1" applyAlignment="1">
      <alignment horizontal="center" vertical="center" wrapText="1"/>
    </xf>
    <xf numFmtId="0" fontId="12" fillId="0" borderId="41" xfId="0" applyFont="1" applyBorder="1" applyAlignment="1">
      <alignment horizontal="center" vertical="top" wrapText="1"/>
    </xf>
    <xf numFmtId="0" fontId="12" fillId="0" borderId="3" xfId="0" applyFont="1" applyBorder="1" applyAlignment="1">
      <alignment horizontal="center" vertical="top"/>
    </xf>
    <xf numFmtId="0" fontId="12" fillId="0" borderId="4" xfId="0" applyFont="1" applyBorder="1" applyAlignment="1">
      <alignment horizontal="center" vertical="top"/>
    </xf>
    <xf numFmtId="49" fontId="24" fillId="0" borderId="1" xfId="0" applyNumberFormat="1" applyFont="1" applyFill="1" applyBorder="1" applyAlignment="1">
      <alignment horizontal="center" vertical="center" wrapText="1"/>
    </xf>
    <xf numFmtId="49" fontId="24" fillId="0" borderId="12" xfId="0" applyNumberFormat="1" applyFont="1" applyFill="1" applyBorder="1" applyAlignment="1">
      <alignment horizontal="center" vertical="center" wrapText="1"/>
    </xf>
    <xf numFmtId="0" fontId="0" fillId="8" borderId="5" xfId="0" applyFont="1" applyFill="1" applyBorder="1" applyAlignment="1">
      <alignment horizontal="center" vertical="center" wrapText="1"/>
    </xf>
    <xf numFmtId="49" fontId="0" fillId="4" borderId="1" xfId="0" applyNumberFormat="1" applyFont="1" applyFill="1" applyBorder="1" applyAlignment="1">
      <alignment horizontal="center" vertical="center" wrapText="1"/>
    </xf>
    <xf numFmtId="0" fontId="0" fillId="4" borderId="1" xfId="0" applyFont="1" applyFill="1" applyBorder="1" applyAlignment="1">
      <alignment horizontal="center" vertical="center" wrapText="1"/>
    </xf>
    <xf numFmtId="49" fontId="0" fillId="4" borderId="8" xfId="0" applyNumberFormat="1" applyFont="1" applyFill="1" applyBorder="1" applyAlignment="1">
      <alignment horizontal="center" vertical="center" wrapText="1"/>
    </xf>
    <xf numFmtId="0" fontId="0" fillId="4" borderId="10" xfId="0" applyFont="1" applyFill="1" applyBorder="1" applyAlignment="1">
      <alignment horizontal="center" vertical="center" wrapText="1"/>
    </xf>
    <xf numFmtId="4" fontId="0" fillId="4" borderId="1" xfId="0" applyNumberFormat="1" applyFont="1" applyFill="1" applyBorder="1" applyAlignment="1">
      <alignment horizontal="center" vertical="center" wrapText="1"/>
    </xf>
    <xf numFmtId="3" fontId="12" fillId="0" borderId="2" xfId="0" applyNumberFormat="1" applyFont="1" applyBorder="1" applyAlignment="1">
      <alignment horizontal="center" vertical="top" wrapText="1"/>
    </xf>
    <xf numFmtId="3" fontId="12" fillId="0" borderId="5" xfId="0" applyNumberFormat="1" applyFont="1" applyBorder="1" applyAlignment="1">
      <alignment horizontal="center" vertical="top" wrapText="1"/>
    </xf>
    <xf numFmtId="0" fontId="12" fillId="0" borderId="5" xfId="0" applyFont="1" applyBorder="1" applyAlignment="1">
      <alignment horizontal="center" vertical="top"/>
    </xf>
    <xf numFmtId="0" fontId="14" fillId="2" borderId="33"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2" fillId="0" borderId="13" xfId="0" applyFont="1" applyBorder="1" applyAlignment="1">
      <alignment horizontal="center" vertical="top" wrapText="1"/>
    </xf>
    <xf numFmtId="0" fontId="12" fillId="0" borderId="13" xfId="0" applyFont="1" applyBorder="1" applyAlignment="1">
      <alignment horizontal="left" vertical="top"/>
    </xf>
    <xf numFmtId="0" fontId="24" fillId="2" borderId="33" xfId="0" applyFont="1" applyFill="1" applyBorder="1" applyAlignment="1">
      <alignment horizontal="center" vertical="center" wrapText="1"/>
    </xf>
    <xf numFmtId="49" fontId="21" fillId="0" borderId="8" xfId="0" applyNumberFormat="1" applyFont="1" applyBorder="1" applyAlignment="1">
      <alignment horizontal="center" vertical="center" wrapText="1"/>
    </xf>
    <xf numFmtId="49" fontId="21" fillId="0" borderId="5" xfId="0" applyNumberFormat="1" applyFont="1" applyBorder="1" applyAlignment="1">
      <alignment horizontal="center" vertical="center" wrapText="1"/>
    </xf>
    <xf numFmtId="49" fontId="21" fillId="3" borderId="8" xfId="0" applyNumberFormat="1" applyFont="1" applyFill="1" applyBorder="1" applyAlignment="1">
      <alignment horizontal="center" vertical="center" wrapText="1"/>
    </xf>
    <xf numFmtId="49" fontId="21" fillId="3" borderId="5" xfId="0" applyNumberFormat="1" applyFont="1" applyFill="1" applyBorder="1" applyAlignment="1">
      <alignment horizontal="center" vertical="center" wrapText="1"/>
    </xf>
    <xf numFmtId="3" fontId="24" fillId="0" borderId="1" xfId="0" applyNumberFormat="1" applyFont="1" applyBorder="1" applyAlignment="1">
      <alignment horizontal="center" vertical="center"/>
    </xf>
    <xf numFmtId="3" fontId="24" fillId="0" borderId="12" xfId="0" applyNumberFormat="1" applyFont="1" applyBorder="1" applyAlignment="1">
      <alignment horizontal="center" vertical="center"/>
    </xf>
    <xf numFmtId="3" fontId="24" fillId="0" borderId="1" xfId="0" applyNumberFormat="1" applyFont="1" applyBorder="1" applyAlignment="1">
      <alignment horizontal="center" vertical="center" wrapText="1"/>
    </xf>
    <xf numFmtId="3" fontId="24" fillId="0" borderId="12" xfId="0" applyNumberFormat="1" applyFont="1" applyBorder="1" applyAlignment="1">
      <alignment horizontal="center" vertical="center" wrapText="1"/>
    </xf>
    <xf numFmtId="49" fontId="21" fillId="0" borderId="25" xfId="0" applyNumberFormat="1" applyFont="1" applyBorder="1" applyAlignment="1">
      <alignment horizontal="center" vertical="center" wrapText="1"/>
    </xf>
    <xf numFmtId="49" fontId="21" fillId="0" borderId="27" xfId="0" applyNumberFormat="1" applyFont="1" applyBorder="1" applyAlignment="1">
      <alignment horizontal="center" vertical="center" wrapText="1"/>
    </xf>
    <xf numFmtId="3" fontId="21" fillId="0" borderId="8" xfId="0" applyNumberFormat="1" applyFont="1" applyBorder="1" applyAlignment="1">
      <alignment horizontal="center" vertical="center" wrapText="1"/>
    </xf>
    <xf numFmtId="3" fontId="21" fillId="0" borderId="5" xfId="0" applyNumberFormat="1" applyFont="1" applyBorder="1" applyAlignment="1">
      <alignment horizontal="center" vertical="center" wrapText="1"/>
    </xf>
    <xf numFmtId="3" fontId="21" fillId="0" borderId="8" xfId="0" applyNumberFormat="1" applyFont="1" applyBorder="1" applyAlignment="1">
      <alignment horizontal="center" vertical="center"/>
    </xf>
    <xf numFmtId="3" fontId="21" fillId="0" borderId="5" xfId="0" applyNumberFormat="1" applyFont="1" applyBorder="1" applyAlignment="1">
      <alignment horizontal="center" vertical="center"/>
    </xf>
    <xf numFmtId="49" fontId="24" fillId="0" borderId="12" xfId="0" applyNumberFormat="1" applyFont="1" applyBorder="1" applyAlignment="1">
      <alignment horizontal="center" vertical="center" wrapText="1"/>
    </xf>
    <xf numFmtId="3" fontId="24" fillId="0" borderId="13" xfId="0" applyNumberFormat="1" applyFont="1" applyBorder="1" applyAlignment="1">
      <alignment horizontal="center" vertical="center"/>
    </xf>
    <xf numFmtId="3" fontId="24" fillId="0" borderId="2" xfId="0" applyNumberFormat="1" applyFont="1" applyBorder="1" applyAlignment="1">
      <alignment horizontal="center" vertical="center"/>
    </xf>
    <xf numFmtId="4" fontId="0" fillId="0" borderId="0" xfId="0" applyNumberFormat="1" applyBorder="1" applyAlignment="1">
      <alignment horizontal="center" vertical="center"/>
    </xf>
    <xf numFmtId="3" fontId="21" fillId="0" borderId="1" xfId="0" applyNumberFormat="1" applyFont="1" applyBorder="1" applyAlignment="1">
      <alignment horizontal="center" vertical="center"/>
    </xf>
    <xf numFmtId="3" fontId="21" fillId="0" borderId="12" xfId="0" applyNumberFormat="1" applyFont="1" applyBorder="1" applyAlignment="1">
      <alignment horizontal="center" vertical="center"/>
    </xf>
    <xf numFmtId="0" fontId="0" fillId="0" borderId="0" xfId="0" applyBorder="1" applyAlignment="1">
      <alignment horizontal="center" vertical="center"/>
    </xf>
    <xf numFmtId="4" fontId="0" fillId="0" borderId="0" xfId="0" applyNumberFormat="1" applyBorder="1" applyAlignment="1">
      <alignment horizontal="center"/>
    </xf>
    <xf numFmtId="49" fontId="0" fillId="0" borderId="7"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49" fontId="0" fillId="0" borderId="7" xfId="0" applyNumberFormat="1" applyFont="1" applyBorder="1" applyAlignment="1">
      <alignment horizontal="center" vertical="center"/>
    </xf>
    <xf numFmtId="49" fontId="0" fillId="0" borderId="1" xfId="0" applyNumberFormat="1" applyFont="1" applyBorder="1" applyAlignment="1">
      <alignment horizontal="center" vertical="center"/>
    </xf>
    <xf numFmtId="0" fontId="12" fillId="0" borderId="7" xfId="0" applyFont="1" applyBorder="1" applyAlignment="1">
      <alignment horizontal="center" vertical="top" wrapText="1"/>
    </xf>
    <xf numFmtId="0" fontId="12" fillId="0" borderId="6" xfId="0" applyFont="1" applyBorder="1" applyAlignment="1">
      <alignment horizontal="left" vertical="top" wrapText="1"/>
    </xf>
    <xf numFmtId="0" fontId="12" fillId="0" borderId="15" xfId="0" applyFont="1" applyBorder="1" applyAlignment="1">
      <alignment horizontal="left" vertical="top"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49" fontId="24" fillId="0" borderId="9" xfId="0" applyNumberFormat="1" applyFont="1" applyBorder="1" applyAlignment="1">
      <alignment horizontal="center" vertical="center" wrapText="1"/>
    </xf>
    <xf numFmtId="49" fontId="24" fillId="0" borderId="11" xfId="0" applyNumberFormat="1" applyFont="1" applyBorder="1" applyAlignment="1">
      <alignment horizontal="center" vertical="center" wrapText="1"/>
    </xf>
    <xf numFmtId="0" fontId="12" fillId="0" borderId="16" xfId="0" applyFont="1" applyBorder="1" applyAlignment="1">
      <alignment horizontal="left" vertical="top"/>
    </xf>
    <xf numFmtId="0" fontId="12" fillId="0" borderId="20" xfId="0" applyFont="1" applyBorder="1" applyAlignment="1">
      <alignment horizontal="left" vertical="top"/>
    </xf>
    <xf numFmtId="0" fontId="12" fillId="0" borderId="7" xfId="0" applyFont="1" applyBorder="1" applyAlignment="1">
      <alignment horizontal="center" vertical="top"/>
    </xf>
    <xf numFmtId="0" fontId="12" fillId="0" borderId="12" xfId="0" applyFont="1" applyBorder="1" applyAlignment="1">
      <alignment horizontal="center" vertical="top" wrapText="1"/>
    </xf>
    <xf numFmtId="0" fontId="12" fillId="0" borderId="12" xfId="0" applyFont="1" applyBorder="1" applyAlignment="1">
      <alignment horizontal="center" vertical="top"/>
    </xf>
    <xf numFmtId="0" fontId="12" fillId="0" borderId="7" xfId="0" applyFont="1" applyBorder="1" applyAlignment="1">
      <alignment horizontal="left" vertical="top" wrapText="1"/>
    </xf>
    <xf numFmtId="49" fontId="0" fillId="3" borderId="10" xfId="0" applyNumberFormat="1" applyFont="1" applyFill="1" applyBorder="1" applyAlignment="1">
      <alignment horizontal="center" vertical="center" wrapText="1"/>
    </xf>
    <xf numFmtId="49" fontId="0" fillId="3" borderId="5" xfId="0" applyNumberFormat="1" applyFont="1" applyFill="1" applyBorder="1" applyAlignment="1">
      <alignment horizontal="center" vertical="center" wrapText="1"/>
    </xf>
    <xf numFmtId="4" fontId="21" fillId="0" borderId="16" xfId="0" applyNumberFormat="1" applyFont="1" applyFill="1" applyBorder="1" applyAlignment="1">
      <alignment horizontal="left" vertical="center" wrapText="1"/>
    </xf>
    <xf numFmtId="4" fontId="21" fillId="0" borderId="17" xfId="0" applyNumberFormat="1" applyFont="1" applyFill="1" applyBorder="1" applyAlignment="1">
      <alignment horizontal="left" vertical="center" wrapText="1"/>
    </xf>
    <xf numFmtId="0" fontId="21" fillId="0" borderId="7" xfId="0" applyFont="1" applyBorder="1" applyAlignment="1">
      <alignment horizontal="center" vertical="center" wrapText="1"/>
    </xf>
    <xf numFmtId="0" fontId="21" fillId="0" borderId="1" xfId="0" applyFont="1" applyBorder="1" applyAlignment="1">
      <alignment horizontal="center" vertical="center" wrapText="1"/>
    </xf>
    <xf numFmtId="2" fontId="24" fillId="0" borderId="7" xfId="0" applyNumberFormat="1" applyFont="1" applyBorder="1" applyAlignment="1">
      <alignment horizontal="center" vertical="center" wrapText="1"/>
    </xf>
    <xf numFmtId="2" fontId="24" fillId="0" borderId="1" xfId="0" applyNumberFormat="1" applyFont="1" applyBorder="1" applyAlignment="1">
      <alignment horizontal="center" vertical="center" wrapText="1"/>
    </xf>
    <xf numFmtId="4" fontId="24" fillId="0" borderId="7" xfId="0" applyNumberFormat="1" applyFont="1" applyBorder="1" applyAlignment="1">
      <alignment horizontal="center" vertical="center" wrapText="1"/>
    </xf>
    <xf numFmtId="4" fontId="24" fillId="0" borderId="1" xfId="0" applyNumberFormat="1" applyFont="1" applyBorder="1" applyAlignment="1">
      <alignment horizontal="center" vertical="center" wrapText="1"/>
    </xf>
    <xf numFmtId="49" fontId="15" fillId="0" borderId="25" xfId="0" applyNumberFormat="1" applyFont="1" applyBorder="1" applyAlignment="1">
      <alignment horizontal="center" vertical="center" wrapText="1"/>
    </xf>
    <xf numFmtId="49" fontId="15" fillId="0" borderId="27" xfId="0" applyNumberFormat="1" applyFont="1" applyBorder="1" applyAlignment="1">
      <alignment horizontal="center" vertical="center" wrapText="1"/>
    </xf>
    <xf numFmtId="4" fontId="15" fillId="0" borderId="8" xfId="0" applyNumberFormat="1" applyFont="1" applyBorder="1" applyAlignment="1">
      <alignment horizontal="center" vertical="center"/>
    </xf>
    <xf numFmtId="4" fontId="15" fillId="0" borderId="5" xfId="0" applyNumberFormat="1" applyFont="1" applyBorder="1" applyAlignment="1">
      <alignment horizontal="center" vertical="center"/>
    </xf>
    <xf numFmtId="49" fontId="15" fillId="0" borderId="8"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49" fontId="15" fillId="4" borderId="7" xfId="0" applyNumberFormat="1" applyFont="1" applyFill="1" applyBorder="1" applyAlignment="1">
      <alignment horizontal="center" vertical="center" wrapText="1"/>
    </xf>
    <xf numFmtId="49" fontId="15" fillId="4" borderId="12" xfId="0" applyNumberFormat="1" applyFont="1" applyFill="1" applyBorder="1" applyAlignment="1">
      <alignment horizontal="center" vertical="center" wrapText="1"/>
    </xf>
    <xf numFmtId="2" fontId="62" fillId="0" borderId="0" xfId="0" applyNumberFormat="1" applyFont="1" applyAlignment="1">
      <alignment horizontal="center" vertical="center" wrapText="1"/>
    </xf>
    <xf numFmtId="0" fontId="65" fillId="3" borderId="1" xfId="0" applyFont="1" applyFill="1" applyBorder="1" applyAlignment="1">
      <alignment horizontal="center" vertical="center"/>
    </xf>
    <xf numFmtId="0" fontId="52" fillId="3" borderId="2" xfId="0" applyFont="1" applyFill="1" applyBorder="1" applyAlignment="1">
      <alignment vertical="center" wrapText="1"/>
    </xf>
    <xf numFmtId="0" fontId="52" fillId="3" borderId="13" xfId="0" applyFont="1" applyFill="1" applyBorder="1" applyAlignment="1">
      <alignment vertical="center" wrapText="1"/>
    </xf>
    <xf numFmtId="0" fontId="65" fillId="3" borderId="1" xfId="0" applyFont="1" applyFill="1" applyBorder="1" applyAlignment="1">
      <alignment vertical="center"/>
    </xf>
    <xf numFmtId="0" fontId="52" fillId="3" borderId="1" xfId="0" applyFont="1" applyFill="1" applyBorder="1" applyAlignment="1">
      <alignment horizontal="center" vertical="center"/>
    </xf>
    <xf numFmtId="0" fontId="52" fillId="3" borderId="1" xfId="0" applyFont="1" applyFill="1" applyBorder="1" applyAlignment="1">
      <alignment vertical="center"/>
    </xf>
  </cellXfs>
  <cellStyles count="3">
    <cellStyle name="Įprastas" xfId="0" builtinId="0"/>
    <cellStyle name="Įprastas 2" xfId="1"/>
    <cellStyle name="Kablelis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_vp_dep/bendras/Stebesenos_rodikliai/Post%202020/VP%20projektai/4%20draft/3PO/SM/Metod.%20dok.%20SM%201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vencijų lėšos"/>
      <sheetName val="Bendras SM"/>
      <sheetName val="2PO 2.2"/>
      <sheetName val="Lapas1"/>
      <sheetName val="2PO2.8"/>
      <sheetName val="3PO3.1"/>
      <sheetName val="3PO 3.2"/>
      <sheetName val="3PO 3.3"/>
    </sheetNames>
    <sheetDataSet>
      <sheetData sheetId="0">
        <row r="8">
          <cell r="I8">
            <v>10000000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8"/>
  <sheetViews>
    <sheetView zoomScale="55" zoomScaleNormal="55" workbookViewId="0">
      <selection activeCell="J7" activeCellId="1" sqref="J5 J7"/>
    </sheetView>
  </sheetViews>
  <sheetFormatPr defaultRowHeight="15"/>
  <cols>
    <col min="1" max="1" width="15" customWidth="1"/>
    <col min="2" max="2" width="31.140625" customWidth="1"/>
    <col min="3" max="3" width="10.85546875" style="339" customWidth="1"/>
    <col min="4" max="4" width="11" style="339" customWidth="1"/>
    <col min="5" max="5" width="15.140625" style="341" customWidth="1"/>
    <col min="6" max="6" width="12.85546875" style="339" customWidth="1"/>
    <col min="7" max="7" width="12.85546875" style="340" customWidth="1"/>
    <col min="8" max="10" width="23.42578125" style="339" customWidth="1"/>
    <col min="11" max="11" width="54.42578125" style="338" customWidth="1"/>
    <col min="12" max="12" width="21" customWidth="1"/>
    <col min="14" max="14" width="16.28515625" customWidth="1"/>
    <col min="15" max="15" width="8.42578125" customWidth="1"/>
    <col min="16" max="16" width="26.28515625" customWidth="1"/>
    <col min="18" max="18" width="13.28515625" customWidth="1"/>
    <col min="19" max="19" width="10.28515625" bestFit="1" customWidth="1"/>
    <col min="20" max="20" width="11.85546875" bestFit="1" customWidth="1"/>
  </cols>
  <sheetData>
    <row r="1" spans="1:16" ht="18.75">
      <c r="C1" s="714" t="s">
        <v>257</v>
      </c>
      <c r="D1" s="715"/>
      <c r="E1" s="715"/>
      <c r="F1" s="715"/>
      <c r="G1" s="715"/>
      <c r="H1" s="716"/>
      <c r="I1" s="350"/>
      <c r="J1" s="350"/>
      <c r="L1" s="349"/>
    </row>
    <row r="2" spans="1:16" ht="32.25" thickBot="1">
      <c r="C2" s="398" t="s">
        <v>185</v>
      </c>
      <c r="D2" s="398" t="s">
        <v>14</v>
      </c>
      <c r="E2" s="398" t="s">
        <v>15</v>
      </c>
      <c r="F2" s="398" t="s">
        <v>184</v>
      </c>
      <c r="G2" s="399" t="s">
        <v>183</v>
      </c>
      <c r="H2" s="398" t="s">
        <v>182</v>
      </c>
      <c r="I2" s="445" t="s">
        <v>261</v>
      </c>
      <c r="J2" s="445" t="s">
        <v>258</v>
      </c>
      <c r="L2" s="349"/>
    </row>
    <row r="3" spans="1:16" ht="38.25" customHeight="1">
      <c r="A3" s="676" t="s">
        <v>256</v>
      </c>
      <c r="B3" s="678" t="s">
        <v>255</v>
      </c>
      <c r="C3" s="443">
        <v>2</v>
      </c>
      <c r="D3" s="443" t="s">
        <v>16</v>
      </c>
      <c r="E3" s="444" t="s">
        <v>193</v>
      </c>
      <c r="F3" s="443" t="s">
        <v>197</v>
      </c>
      <c r="G3" s="442" t="s">
        <v>246</v>
      </c>
      <c r="H3" s="446">
        <v>103039200</v>
      </c>
      <c r="I3" s="453">
        <f>H3+20897600-10000000</f>
        <v>113936800</v>
      </c>
      <c r="J3" s="453">
        <f>124531822+10000000</f>
        <v>134531822</v>
      </c>
      <c r="K3" s="680" t="s">
        <v>245</v>
      </c>
      <c r="L3" s="726" t="s">
        <v>254</v>
      </c>
      <c r="M3" s="738">
        <v>44105</v>
      </c>
      <c r="N3" s="739"/>
    </row>
    <row r="4" spans="1:16" ht="67.150000000000006" customHeight="1" thickBot="1">
      <c r="A4" s="677"/>
      <c r="B4" s="679"/>
      <c r="C4" s="440">
        <v>2</v>
      </c>
      <c r="D4" s="440" t="s">
        <v>23</v>
      </c>
      <c r="E4" s="441" t="s">
        <v>119</v>
      </c>
      <c r="F4" s="440" t="s">
        <v>197</v>
      </c>
      <c r="G4" s="439" t="s">
        <v>246</v>
      </c>
      <c r="H4" s="447">
        <v>7000000</v>
      </c>
      <c r="I4" s="453">
        <f>H4-600000</f>
        <v>6400000</v>
      </c>
      <c r="J4" s="453">
        <v>6400000</v>
      </c>
      <c r="K4" s="680"/>
      <c r="L4" s="727"/>
      <c r="M4" s="721">
        <v>123936800</v>
      </c>
      <c r="N4" s="722"/>
      <c r="O4" s="3" t="s">
        <v>16</v>
      </c>
      <c r="P4" s="475">
        <f>I3+I8</f>
        <v>123936800</v>
      </c>
    </row>
    <row r="5" spans="1:16" ht="40.5" customHeight="1">
      <c r="A5" s="480" t="s">
        <v>253</v>
      </c>
      <c r="B5" s="479" t="s">
        <v>252</v>
      </c>
      <c r="C5" s="477">
        <v>2</v>
      </c>
      <c r="D5" s="477" t="s">
        <v>23</v>
      </c>
      <c r="E5" s="478" t="s">
        <v>119</v>
      </c>
      <c r="F5" s="477" t="s">
        <v>195</v>
      </c>
      <c r="G5" s="476" t="s">
        <v>251</v>
      </c>
      <c r="H5" s="481">
        <v>122382600</v>
      </c>
      <c r="I5" s="454">
        <f>(H5-615010)</f>
        <v>121767590</v>
      </c>
      <c r="J5" s="454">
        <v>121730794</v>
      </c>
      <c r="K5" s="474" t="s">
        <v>250</v>
      </c>
      <c r="L5" s="727"/>
      <c r="M5" s="721">
        <v>173867590</v>
      </c>
      <c r="N5" s="722"/>
      <c r="O5" s="3" t="s">
        <v>249</v>
      </c>
      <c r="P5" s="475">
        <f>SUM(I5:I7)</f>
        <v>167467590</v>
      </c>
    </row>
    <row r="6" spans="1:16" ht="16.5" customHeight="1">
      <c r="A6" s="681" t="s">
        <v>248</v>
      </c>
      <c r="B6" s="682" t="s">
        <v>247</v>
      </c>
      <c r="C6" s="437">
        <v>2</v>
      </c>
      <c r="D6" s="437" t="s">
        <v>23</v>
      </c>
      <c r="E6" s="438" t="s">
        <v>119</v>
      </c>
      <c r="F6" s="437" t="s">
        <v>195</v>
      </c>
      <c r="G6" s="436" t="s">
        <v>246</v>
      </c>
      <c r="H6" s="435">
        <v>300000</v>
      </c>
      <c r="I6" s="455">
        <v>0</v>
      </c>
      <c r="J6" s="455">
        <v>0</v>
      </c>
      <c r="K6" s="474" t="s">
        <v>245</v>
      </c>
      <c r="L6" s="727"/>
      <c r="M6" s="425"/>
      <c r="N6" s="425"/>
    </row>
    <row r="7" spans="1:16" ht="25.5" customHeight="1">
      <c r="A7" s="681"/>
      <c r="B7" s="682"/>
      <c r="C7" s="437">
        <v>2</v>
      </c>
      <c r="D7" s="437" t="s">
        <v>23</v>
      </c>
      <c r="E7" s="438" t="s">
        <v>119</v>
      </c>
      <c r="F7" s="437" t="s">
        <v>195</v>
      </c>
      <c r="G7" s="436" t="s">
        <v>244</v>
      </c>
      <c r="H7" s="435">
        <v>46000000</v>
      </c>
      <c r="I7" s="455">
        <f>H7-600000+H6</f>
        <v>45700000</v>
      </c>
      <c r="J7" s="455">
        <v>45700000</v>
      </c>
      <c r="K7" s="468" t="s">
        <v>243</v>
      </c>
      <c r="L7" s="727"/>
      <c r="M7" s="425"/>
      <c r="N7" s="434"/>
    </row>
    <row r="8" spans="1:16" ht="25.5" customHeight="1" thickBot="1">
      <c r="A8" s="473" t="s">
        <v>260</v>
      </c>
      <c r="B8" s="472" t="s">
        <v>259</v>
      </c>
      <c r="C8" s="470">
        <v>2</v>
      </c>
      <c r="D8" s="470" t="s">
        <v>16</v>
      </c>
      <c r="E8" s="471" t="s">
        <v>193</v>
      </c>
      <c r="F8" s="470" t="s">
        <v>195</v>
      </c>
      <c r="G8" s="469" t="s">
        <v>200</v>
      </c>
      <c r="H8" s="482">
        <v>8000000</v>
      </c>
      <c r="I8" s="487">
        <v>10000000</v>
      </c>
      <c r="J8" s="487">
        <v>0</v>
      </c>
      <c r="K8" s="468" t="s">
        <v>202</v>
      </c>
      <c r="L8" s="728"/>
      <c r="M8" s="425"/>
      <c r="N8" s="434"/>
    </row>
    <row r="9" spans="1:16" ht="39.75" customHeight="1">
      <c r="A9" s="673" t="s">
        <v>242</v>
      </c>
      <c r="B9" s="688" t="s">
        <v>241</v>
      </c>
      <c r="C9" s="685">
        <v>3</v>
      </c>
      <c r="D9" s="683" t="s">
        <v>16</v>
      </c>
      <c r="E9" s="382" t="s">
        <v>193</v>
      </c>
      <c r="F9" s="433"/>
      <c r="G9" s="432" t="s">
        <v>240</v>
      </c>
      <c r="H9" s="483">
        <v>5000000</v>
      </c>
      <c r="I9" s="426">
        <f>H9+1250000+ 6250000</f>
        <v>12500000</v>
      </c>
      <c r="J9" s="426">
        <v>11908130</v>
      </c>
      <c r="K9" s="414" t="s">
        <v>239</v>
      </c>
      <c r="L9" s="726" t="s">
        <v>238</v>
      </c>
      <c r="M9" s="425"/>
      <c r="N9" s="425"/>
    </row>
    <row r="10" spans="1:16" ht="39.75" customHeight="1" thickBot="1">
      <c r="A10" s="674"/>
      <c r="B10" s="689"/>
      <c r="C10" s="686"/>
      <c r="D10" s="684"/>
      <c r="E10" s="488" t="s">
        <v>201</v>
      </c>
      <c r="F10" s="717" t="s">
        <v>161</v>
      </c>
      <c r="G10" s="489"/>
      <c r="H10" s="490"/>
      <c r="I10" s="426"/>
      <c r="J10" s="426">
        <v>588200</v>
      </c>
      <c r="K10" s="491"/>
      <c r="L10" s="727"/>
      <c r="M10" s="425"/>
      <c r="N10" s="425"/>
    </row>
    <row r="11" spans="1:16" s="428" customFormat="1" ht="59.25" customHeight="1">
      <c r="A11" s="674"/>
      <c r="B11" s="689"/>
      <c r="C11" s="686"/>
      <c r="D11" s="683" t="s">
        <v>16</v>
      </c>
      <c r="E11" s="427" t="s">
        <v>193</v>
      </c>
      <c r="F11" s="717"/>
      <c r="G11" s="718" t="s">
        <v>237</v>
      </c>
      <c r="H11" s="448">
        <v>5000000</v>
      </c>
      <c r="I11" s="426">
        <v>0</v>
      </c>
      <c r="J11" s="426">
        <v>0</v>
      </c>
      <c r="K11" s="430" t="s">
        <v>236</v>
      </c>
      <c r="L11" s="727"/>
      <c r="M11" s="425"/>
      <c r="N11" s="425"/>
    </row>
    <row r="12" spans="1:16" s="428" customFormat="1" ht="59.25" customHeight="1" thickBot="1">
      <c r="A12" s="674"/>
      <c r="B12" s="689"/>
      <c r="C12" s="686"/>
      <c r="D12" s="684"/>
      <c r="E12" s="427" t="s">
        <v>201</v>
      </c>
      <c r="F12" s="717"/>
      <c r="G12" s="719"/>
      <c r="H12" s="448"/>
      <c r="I12" s="426"/>
      <c r="J12" s="426">
        <v>0</v>
      </c>
      <c r="K12" s="430"/>
      <c r="L12" s="727"/>
      <c r="M12" s="425"/>
      <c r="N12" s="425"/>
    </row>
    <row r="13" spans="1:16" s="428" customFormat="1" ht="42" customHeight="1">
      <c r="A13" s="674"/>
      <c r="B13" s="689"/>
      <c r="C13" s="686"/>
      <c r="D13" s="683" t="s">
        <v>16</v>
      </c>
      <c r="E13" s="427" t="s">
        <v>193</v>
      </c>
      <c r="F13" s="717"/>
      <c r="G13" s="720" t="s">
        <v>235</v>
      </c>
      <c r="H13" s="448">
        <v>5000000</v>
      </c>
      <c r="I13" s="426">
        <f>H13+1250000</f>
        <v>6250000</v>
      </c>
      <c r="J13" s="426">
        <v>5960260</v>
      </c>
      <c r="K13" s="429" t="s">
        <v>234</v>
      </c>
      <c r="L13" s="727"/>
      <c r="M13" s="425"/>
      <c r="N13" s="425"/>
    </row>
    <row r="14" spans="1:16" s="428" customFormat="1" ht="42" customHeight="1" thickBot="1">
      <c r="A14" s="674"/>
      <c r="B14" s="689"/>
      <c r="C14" s="686"/>
      <c r="D14" s="684"/>
      <c r="E14" s="492" t="s">
        <v>201</v>
      </c>
      <c r="F14" s="717"/>
      <c r="G14" s="720"/>
      <c r="H14" s="493"/>
      <c r="I14" s="426"/>
      <c r="J14" s="426">
        <v>291200</v>
      </c>
      <c r="K14" s="429"/>
      <c r="L14" s="727"/>
      <c r="M14" s="425"/>
      <c r="N14" s="425"/>
    </row>
    <row r="15" spans="1:16" ht="42" customHeight="1" thickBot="1">
      <c r="A15" s="674"/>
      <c r="B15" s="689"/>
      <c r="C15" s="686"/>
      <c r="D15" s="683" t="s">
        <v>16</v>
      </c>
      <c r="E15" s="467" t="s">
        <v>193</v>
      </c>
      <c r="F15" s="717"/>
      <c r="G15" s="431" t="s">
        <v>233</v>
      </c>
      <c r="H15" s="484">
        <v>5000000</v>
      </c>
      <c r="I15" s="426">
        <f>H15+1250000</f>
        <v>6250000</v>
      </c>
      <c r="J15" s="426">
        <v>5961710</v>
      </c>
      <c r="K15" s="414" t="s">
        <v>232</v>
      </c>
      <c r="L15" s="727"/>
      <c r="M15" s="425"/>
      <c r="N15" s="425"/>
    </row>
    <row r="16" spans="1:16" ht="42" customHeight="1" thickBot="1">
      <c r="A16" s="675"/>
      <c r="B16" s="690"/>
      <c r="C16" s="687"/>
      <c r="D16" s="684"/>
      <c r="E16" s="494"/>
      <c r="F16" s="684"/>
      <c r="G16" s="431"/>
      <c r="H16" s="495"/>
      <c r="I16" s="426"/>
      <c r="J16" s="426">
        <v>290500</v>
      </c>
      <c r="K16" s="414"/>
      <c r="L16" s="727"/>
      <c r="M16" s="425"/>
      <c r="N16" s="425"/>
    </row>
    <row r="17" spans="1:20" ht="14.25" customHeight="1">
      <c r="A17" s="691" t="s">
        <v>231</v>
      </c>
      <c r="B17" s="693" t="s">
        <v>230</v>
      </c>
      <c r="C17" s="466">
        <v>3</v>
      </c>
      <c r="D17" s="464" t="s">
        <v>23</v>
      </c>
      <c r="E17" s="465" t="s">
        <v>119</v>
      </c>
      <c r="F17" s="464" t="s">
        <v>162</v>
      </c>
      <c r="G17" s="496" t="s">
        <v>229</v>
      </c>
      <c r="H17" s="485">
        <v>94000000</v>
      </c>
      <c r="I17" s="456">
        <f>H17-900000+2000000</f>
        <v>95100000</v>
      </c>
      <c r="J17" s="456">
        <f>I17</f>
        <v>95100000</v>
      </c>
      <c r="K17" s="414" t="s">
        <v>228</v>
      </c>
      <c r="L17" s="727"/>
      <c r="M17" s="425"/>
      <c r="N17" s="425"/>
    </row>
    <row r="18" spans="1:20" ht="25.5" customHeight="1">
      <c r="A18" s="692"/>
      <c r="B18" s="694"/>
      <c r="C18" s="376">
        <v>3</v>
      </c>
      <c r="D18" s="374" t="s">
        <v>23</v>
      </c>
      <c r="E18" s="375" t="s">
        <v>119</v>
      </c>
      <c r="F18" s="374" t="s">
        <v>162</v>
      </c>
      <c r="G18" s="373" t="s">
        <v>227</v>
      </c>
      <c r="H18" s="449">
        <v>52290000</v>
      </c>
      <c r="I18" s="456">
        <f>H18-800000</f>
        <v>51490000</v>
      </c>
      <c r="J18" s="456">
        <f>I18</f>
        <v>51490000</v>
      </c>
      <c r="K18" s="414" t="s">
        <v>226</v>
      </c>
      <c r="L18" s="727"/>
      <c r="M18" s="425"/>
      <c r="N18" s="434">
        <f>I17+I18+I19+I24</f>
        <v>158790000</v>
      </c>
      <c r="P18" s="290"/>
      <c r="S18">
        <f>123936800+121767590+45700000+6400000+25000000+90080000+10000000+146790000+242432250+10000000+2000000</f>
        <v>824106640</v>
      </c>
    </row>
    <row r="19" spans="1:20" ht="86.25" customHeight="1">
      <c r="A19" s="692"/>
      <c r="B19" s="695"/>
      <c r="C19" s="376">
        <v>3</v>
      </c>
      <c r="D19" s="374" t="s">
        <v>23</v>
      </c>
      <c r="E19" s="375" t="s">
        <v>119</v>
      </c>
      <c r="F19" s="374" t="s">
        <v>162</v>
      </c>
      <c r="G19" s="373" t="s">
        <v>225</v>
      </c>
      <c r="H19" s="449">
        <v>3000000</v>
      </c>
      <c r="I19" s="456">
        <f>H19-800000</f>
        <v>2200000</v>
      </c>
      <c r="J19" s="456">
        <f>I19</f>
        <v>2200000</v>
      </c>
      <c r="K19" s="420" t="s">
        <v>224</v>
      </c>
      <c r="L19" s="727"/>
      <c r="M19" s="740">
        <v>44105</v>
      </c>
      <c r="N19" s="741"/>
      <c r="P19" s="290"/>
      <c r="S19">
        <f>113936800+10000000+121767590+45700000+6400000+25000000+90080000+10000000+148790000+242432250+10000000</f>
        <v>824106640</v>
      </c>
      <c r="T19" s="129">
        <f>824106640-S19</f>
        <v>0</v>
      </c>
    </row>
    <row r="20" spans="1:20" ht="25.5" customHeight="1">
      <c r="A20" s="702" t="s">
        <v>223</v>
      </c>
      <c r="B20" s="705" t="s">
        <v>222</v>
      </c>
      <c r="C20" s="424">
        <v>3</v>
      </c>
      <c r="D20" s="422" t="s">
        <v>23</v>
      </c>
      <c r="E20" s="423" t="s">
        <v>119</v>
      </c>
      <c r="F20" s="422" t="s">
        <v>162</v>
      </c>
      <c r="G20" s="421" t="s">
        <v>221</v>
      </c>
      <c r="H20" s="450">
        <v>177000000</v>
      </c>
      <c r="I20" s="457">
        <v>63315000</v>
      </c>
      <c r="J20" s="457">
        <v>65530043</v>
      </c>
      <c r="K20" s="414" t="s">
        <v>220</v>
      </c>
      <c r="L20" s="727"/>
      <c r="M20" s="721">
        <v>125080000</v>
      </c>
      <c r="N20" s="722"/>
      <c r="O20" s="3" t="s">
        <v>16</v>
      </c>
      <c r="P20" s="4">
        <f>SUM(I9:I15,I25)</f>
        <v>115080000</v>
      </c>
    </row>
    <row r="21" spans="1:20" ht="36" customHeight="1">
      <c r="A21" s="703"/>
      <c r="B21" s="706"/>
      <c r="C21" s="424">
        <v>3</v>
      </c>
      <c r="D21" s="422" t="s">
        <v>23</v>
      </c>
      <c r="E21" s="423" t="s">
        <v>119</v>
      </c>
      <c r="F21" s="422" t="s">
        <v>162</v>
      </c>
      <c r="G21" s="421" t="s">
        <v>219</v>
      </c>
      <c r="H21" s="450">
        <v>44500000</v>
      </c>
      <c r="I21" s="457">
        <v>147896000</v>
      </c>
      <c r="J21" s="457">
        <v>147844205</v>
      </c>
      <c r="K21" s="420" t="s">
        <v>218</v>
      </c>
      <c r="L21" s="727"/>
      <c r="M21" s="721">
        <v>401222250</v>
      </c>
      <c r="N21" s="722"/>
      <c r="O21" s="3" t="s">
        <v>217</v>
      </c>
      <c r="P21" s="463">
        <f>SUM(I17:I24)</f>
        <v>401222250</v>
      </c>
      <c r="R21" s="290"/>
    </row>
    <row r="22" spans="1:20" ht="15" customHeight="1">
      <c r="A22" s="703"/>
      <c r="B22" s="706"/>
      <c r="C22" s="424">
        <v>3</v>
      </c>
      <c r="D22" s="422" t="s">
        <v>23</v>
      </c>
      <c r="E22" s="423" t="s">
        <v>119</v>
      </c>
      <c r="F22" s="422" t="s">
        <v>162</v>
      </c>
      <c r="G22" s="421" t="s">
        <v>216</v>
      </c>
      <c r="H22" s="450">
        <v>18500000</v>
      </c>
      <c r="I22" s="457">
        <v>26671250</v>
      </c>
      <c r="J22" s="457">
        <v>26661909</v>
      </c>
      <c r="K22" s="420" t="s">
        <v>215</v>
      </c>
      <c r="L22" s="727"/>
    </row>
    <row r="23" spans="1:20">
      <c r="A23" s="704"/>
      <c r="B23" s="707"/>
      <c r="C23" s="424">
        <v>3</v>
      </c>
      <c r="D23" s="422" t="s">
        <v>23</v>
      </c>
      <c r="E23" s="423" t="s">
        <v>119</v>
      </c>
      <c r="F23" s="422" t="s">
        <v>162</v>
      </c>
      <c r="G23" s="421" t="s">
        <v>214</v>
      </c>
      <c r="H23" s="450">
        <v>5000000</v>
      </c>
      <c r="I23" s="457">
        <v>4550000</v>
      </c>
      <c r="J23" s="457">
        <v>2311190</v>
      </c>
      <c r="K23" s="420" t="s">
        <v>213</v>
      </c>
      <c r="L23" s="727"/>
    </row>
    <row r="24" spans="1:20" ht="34.5" thickBot="1">
      <c r="A24" s="462" t="s">
        <v>212</v>
      </c>
      <c r="B24" s="461" t="s">
        <v>211</v>
      </c>
      <c r="C24" s="364">
        <v>3</v>
      </c>
      <c r="D24" s="362" t="s">
        <v>23</v>
      </c>
      <c r="E24" s="363" t="s">
        <v>119</v>
      </c>
      <c r="F24" s="362" t="s">
        <v>162</v>
      </c>
      <c r="G24" s="361" t="s">
        <v>210</v>
      </c>
      <c r="H24" s="451">
        <v>10000000</v>
      </c>
      <c r="I24" s="458">
        <f>H24</f>
        <v>10000000</v>
      </c>
      <c r="J24" s="458">
        <f>I24</f>
        <v>10000000</v>
      </c>
      <c r="K24" s="420" t="s">
        <v>209</v>
      </c>
      <c r="L24" s="727"/>
      <c r="P24" s="290"/>
    </row>
    <row r="25" spans="1:20" ht="135.75" customHeight="1">
      <c r="A25" s="419" t="s">
        <v>208</v>
      </c>
      <c r="B25" s="710" t="s">
        <v>207</v>
      </c>
      <c r="C25" s="418">
        <v>3</v>
      </c>
      <c r="D25" s="416" t="s">
        <v>16</v>
      </c>
      <c r="E25" s="417" t="s">
        <v>193</v>
      </c>
      <c r="F25" s="416" t="s">
        <v>163</v>
      </c>
      <c r="G25" s="415" t="s">
        <v>206</v>
      </c>
      <c r="H25" s="452">
        <v>82017360</v>
      </c>
      <c r="I25" s="459">
        <f>H25+8062640</f>
        <v>90080000</v>
      </c>
      <c r="J25" s="459">
        <v>87958750</v>
      </c>
      <c r="K25" s="414" t="s">
        <v>205</v>
      </c>
      <c r="L25" s="727"/>
      <c r="N25" s="290">
        <f>I20+I21+I22+I23</f>
        <v>242432250</v>
      </c>
    </row>
    <row r="26" spans="1:20" ht="135.75" customHeight="1">
      <c r="A26" s="419"/>
      <c r="B26" s="711"/>
      <c r="C26" s="418">
        <v>3</v>
      </c>
      <c r="D26" s="416" t="s">
        <v>16</v>
      </c>
      <c r="E26" s="417" t="s">
        <v>193</v>
      </c>
      <c r="F26" s="416" t="s">
        <v>163</v>
      </c>
      <c r="G26" s="415" t="s">
        <v>200</v>
      </c>
      <c r="H26" s="486"/>
      <c r="I26" s="459">
        <v>10000000</v>
      </c>
      <c r="J26" s="459">
        <v>10000000</v>
      </c>
      <c r="K26" s="420" t="s">
        <v>202</v>
      </c>
      <c r="L26" s="727"/>
      <c r="N26" s="290"/>
    </row>
    <row r="27" spans="1:20" ht="123.75" customHeight="1">
      <c r="A27" s="708" t="s">
        <v>204</v>
      </c>
      <c r="B27" s="712" t="s">
        <v>203</v>
      </c>
      <c r="C27" s="413">
        <v>3</v>
      </c>
      <c r="D27" s="411" t="s">
        <v>16</v>
      </c>
      <c r="E27" s="412" t="s">
        <v>193</v>
      </c>
      <c r="F27" s="411" t="s">
        <v>163</v>
      </c>
      <c r="G27" s="410" t="s">
        <v>200</v>
      </c>
      <c r="H27" s="409">
        <v>8000000</v>
      </c>
      <c r="I27" s="454">
        <v>0</v>
      </c>
      <c r="J27" s="454"/>
      <c r="K27" s="729" t="s">
        <v>202</v>
      </c>
      <c r="L27" s="727"/>
      <c r="N27">
        <f>123936800+121767590+45700000+6400000+25000000+90080000+10000000+146790000+242432250+10000000+2000000</f>
        <v>824106640</v>
      </c>
    </row>
    <row r="28" spans="1:20" ht="38.25" customHeight="1" thickBot="1">
      <c r="A28" s="709"/>
      <c r="B28" s="713"/>
      <c r="C28" s="408">
        <v>3</v>
      </c>
      <c r="D28" s="406" t="s">
        <v>16</v>
      </c>
      <c r="E28" s="407" t="s">
        <v>201</v>
      </c>
      <c r="F28" s="406" t="s">
        <v>163</v>
      </c>
      <c r="G28" s="405" t="s">
        <v>200</v>
      </c>
      <c r="H28" s="404">
        <v>2000000</v>
      </c>
      <c r="I28" s="403">
        <v>0</v>
      </c>
      <c r="J28" s="460"/>
      <c r="K28" s="730"/>
      <c r="L28" s="728"/>
    </row>
    <row r="29" spans="1:20" ht="15" customHeight="1" thickBot="1">
      <c r="A29" s="401"/>
      <c r="B29" s="400"/>
      <c r="H29" s="351"/>
      <c r="I29" s="351"/>
      <c r="J29" s="351"/>
      <c r="K29" s="402"/>
      <c r="L29" s="349"/>
    </row>
    <row r="30" spans="1:20" ht="18" customHeight="1">
      <c r="A30" s="401"/>
      <c r="B30" s="400"/>
      <c r="G30" s="357" t="s">
        <v>191</v>
      </c>
      <c r="H30" s="356">
        <f>H3</f>
        <v>103039200</v>
      </c>
      <c r="I30" s="356">
        <f>I3+I8</f>
        <v>123936800</v>
      </c>
      <c r="J30" s="356">
        <f>J3+J8</f>
        <v>134531822</v>
      </c>
      <c r="K30" s="737">
        <f>J30+J31</f>
        <v>308362616</v>
      </c>
      <c r="L30" s="349"/>
    </row>
    <row r="31" spans="1:20" ht="18.75" customHeight="1">
      <c r="A31" s="401"/>
      <c r="B31" s="400"/>
      <c r="G31" s="355" t="s">
        <v>190</v>
      </c>
      <c r="H31" s="354">
        <f>H4+H5+H6+H7</f>
        <v>175682600</v>
      </c>
      <c r="I31" s="354">
        <f>I4+I5+I6+I7</f>
        <v>173867590</v>
      </c>
      <c r="J31" s="354">
        <f>J4+J5+J6+J7</f>
        <v>173830794</v>
      </c>
      <c r="K31" s="737"/>
      <c r="L31" s="349"/>
    </row>
    <row r="32" spans="1:20" ht="18" customHeight="1">
      <c r="A32" s="401"/>
      <c r="B32" s="400"/>
      <c r="G32" s="355" t="s">
        <v>189</v>
      </c>
      <c r="H32" s="354">
        <f>H9+H11+H13+H15+H25+H27</f>
        <v>110017360</v>
      </c>
      <c r="I32" s="354">
        <f>I9+I11+I13+I15+I25+I26</f>
        <v>125080000</v>
      </c>
      <c r="J32" s="354">
        <f>SUM(J9:J16,J25:J26)</f>
        <v>122958750</v>
      </c>
      <c r="K32" s="737">
        <f>J32+J33</f>
        <v>524096097</v>
      </c>
      <c r="L32" s="349"/>
    </row>
    <row r="33" spans="1:12" ht="18.600000000000001" customHeight="1" thickBot="1">
      <c r="A33" s="401"/>
      <c r="B33" s="400"/>
      <c r="G33" s="353" t="s">
        <v>188</v>
      </c>
      <c r="H33" s="352">
        <f>H17+H18+H19+H20+H21+H22+H23+H24+H28</f>
        <v>406290000</v>
      </c>
      <c r="I33" s="352">
        <f>I17+I18+I19+I20+I21+I22+I23+I24</f>
        <v>401222250</v>
      </c>
      <c r="J33" s="352">
        <f>J17+J18+J19+J20+J21+J22+J23+J24</f>
        <v>401137347</v>
      </c>
      <c r="K33" s="737"/>
      <c r="L33" s="349"/>
    </row>
    <row r="34" spans="1:12" ht="18.75">
      <c r="A34" s="401"/>
      <c r="B34" s="400"/>
      <c r="H34" s="351"/>
      <c r="I34" s="351">
        <f>SUM(I30:I33)</f>
        <v>824106640</v>
      </c>
      <c r="J34" s="351">
        <f>SUM(J30:J33)</f>
        <v>832458713</v>
      </c>
      <c r="K34" s="524">
        <f>K30+K32</f>
        <v>832458713</v>
      </c>
      <c r="L34" s="349"/>
    </row>
    <row r="35" spans="1:12" ht="25.5" customHeight="1">
      <c r="L35" s="349"/>
    </row>
    <row r="36" spans="1:12" ht="18.75">
      <c r="C36" s="714" t="s">
        <v>199</v>
      </c>
      <c r="D36" s="715"/>
      <c r="E36" s="715"/>
      <c r="F36" s="715"/>
      <c r="G36" s="715"/>
      <c r="H36" s="716"/>
      <c r="I36" s="350"/>
      <c r="J36" s="350"/>
      <c r="L36" s="349"/>
    </row>
    <row r="37" spans="1:12" ht="26.25" thickBot="1">
      <c r="C37" s="398" t="s">
        <v>185</v>
      </c>
      <c r="D37" s="398" t="s">
        <v>14</v>
      </c>
      <c r="E37" s="398" t="s">
        <v>15</v>
      </c>
      <c r="F37" s="398" t="s">
        <v>184</v>
      </c>
      <c r="G37" s="399" t="s">
        <v>183</v>
      </c>
      <c r="H37" s="398" t="s">
        <v>182</v>
      </c>
      <c r="I37" s="345"/>
      <c r="J37" s="345"/>
      <c r="L37" s="349"/>
    </row>
    <row r="38" spans="1:12" ht="19.5" customHeight="1">
      <c r="C38" s="397">
        <v>2</v>
      </c>
      <c r="D38" s="395" t="s">
        <v>16</v>
      </c>
      <c r="E38" s="396" t="s">
        <v>193</v>
      </c>
      <c r="F38" s="395" t="s">
        <v>197</v>
      </c>
      <c r="G38" s="394" t="s">
        <v>196</v>
      </c>
      <c r="H38" s="393">
        <f>H3</f>
        <v>103039200</v>
      </c>
      <c r="I38" s="392"/>
      <c r="J38" s="392"/>
      <c r="K38" s="731" t="s">
        <v>198</v>
      </c>
      <c r="L38" s="349"/>
    </row>
    <row r="39" spans="1:12" ht="38.25" customHeight="1">
      <c r="C39" s="391">
        <v>2</v>
      </c>
      <c r="D39" s="389" t="s">
        <v>23</v>
      </c>
      <c r="E39" s="390" t="s">
        <v>119</v>
      </c>
      <c r="F39" s="389" t="s">
        <v>197</v>
      </c>
      <c r="G39" s="388" t="s">
        <v>196</v>
      </c>
      <c r="H39" s="387">
        <f>H4</f>
        <v>7000000</v>
      </c>
      <c r="I39" s="386"/>
      <c r="J39" s="386"/>
      <c r="K39" s="731"/>
      <c r="L39" s="349"/>
    </row>
    <row r="40" spans="1:12" ht="47.25" customHeight="1">
      <c r="C40" s="732">
        <v>2</v>
      </c>
      <c r="D40" s="696" t="s">
        <v>23</v>
      </c>
      <c r="E40" s="734" t="s">
        <v>119</v>
      </c>
      <c r="F40" s="696" t="s">
        <v>195</v>
      </c>
      <c r="G40" s="698" t="s">
        <v>192</v>
      </c>
      <c r="H40" s="700">
        <f>SUM(H5:H7)</f>
        <v>168682600</v>
      </c>
      <c r="I40" s="385"/>
      <c r="J40" s="385"/>
      <c r="K40" s="736" t="s">
        <v>194</v>
      </c>
      <c r="L40" s="349"/>
    </row>
    <row r="41" spans="1:12" ht="19.5" thickBot="1">
      <c r="C41" s="733"/>
      <c r="D41" s="697"/>
      <c r="E41" s="735"/>
      <c r="F41" s="697"/>
      <c r="G41" s="699"/>
      <c r="H41" s="701"/>
      <c r="I41" s="384"/>
      <c r="J41" s="384"/>
      <c r="K41" s="736"/>
      <c r="L41" s="349"/>
    </row>
    <row r="42" spans="1:12" ht="25.5">
      <c r="C42" s="383">
        <v>3</v>
      </c>
      <c r="D42" s="381" t="s">
        <v>16</v>
      </c>
      <c r="E42" s="382" t="s">
        <v>193</v>
      </c>
      <c r="F42" s="381" t="s">
        <v>161</v>
      </c>
      <c r="G42" s="380" t="s">
        <v>192</v>
      </c>
      <c r="H42" s="379">
        <f>SUM(H9:H15)</f>
        <v>20000000</v>
      </c>
      <c r="I42" s="378"/>
      <c r="J42" s="378"/>
      <c r="K42" s="736"/>
      <c r="L42" s="377"/>
    </row>
    <row r="43" spans="1:12" ht="25.5" customHeight="1">
      <c r="C43" s="376">
        <v>3</v>
      </c>
      <c r="D43" s="374" t="s">
        <v>23</v>
      </c>
      <c r="E43" s="375" t="s">
        <v>119</v>
      </c>
      <c r="F43" s="374" t="s">
        <v>162</v>
      </c>
      <c r="G43" s="373" t="s">
        <v>192</v>
      </c>
      <c r="H43" s="372">
        <f>SUM(H17:H24)</f>
        <v>404290000</v>
      </c>
      <c r="I43" s="371"/>
      <c r="J43" s="371"/>
      <c r="K43" s="736"/>
      <c r="L43" s="358"/>
    </row>
    <row r="44" spans="1:12" ht="25.5">
      <c r="C44" s="370"/>
      <c r="D44" s="368" t="s">
        <v>16</v>
      </c>
      <c r="E44" s="369" t="s">
        <v>193</v>
      </c>
      <c r="F44" s="368" t="s">
        <v>163</v>
      </c>
      <c r="G44" s="367" t="s">
        <v>192</v>
      </c>
      <c r="H44" s="366">
        <f>SUM(H25:H27)</f>
        <v>90017360</v>
      </c>
      <c r="I44" s="365"/>
      <c r="J44" s="365"/>
      <c r="K44" s="736"/>
      <c r="L44" s="358"/>
    </row>
    <row r="45" spans="1:12" ht="19.5" thickBot="1">
      <c r="C45" s="364">
        <v>3</v>
      </c>
      <c r="D45" s="362" t="s">
        <v>23</v>
      </c>
      <c r="E45" s="363" t="s">
        <v>119</v>
      </c>
      <c r="F45" s="362" t="s">
        <v>163</v>
      </c>
      <c r="G45" s="361" t="s">
        <v>192</v>
      </c>
      <c r="H45" s="360">
        <f>H28</f>
        <v>2000000</v>
      </c>
      <c r="I45" s="359"/>
      <c r="J45" s="359"/>
      <c r="K45" s="736"/>
      <c r="L45" s="358"/>
    </row>
    <row r="46" spans="1:12" ht="19.5" thickBot="1">
      <c r="L46" s="349"/>
    </row>
    <row r="47" spans="1:12" ht="18.75">
      <c r="G47" s="357" t="s">
        <v>191</v>
      </c>
      <c r="H47" s="356">
        <f>H38</f>
        <v>103039200</v>
      </c>
      <c r="I47" s="351"/>
      <c r="J47" s="351"/>
      <c r="L47" s="349"/>
    </row>
    <row r="48" spans="1:12" ht="18.75">
      <c r="G48" s="355" t="s">
        <v>190</v>
      </c>
      <c r="H48" s="354">
        <f>H39+H40</f>
        <v>175682600</v>
      </c>
      <c r="I48" s="351"/>
      <c r="J48" s="351"/>
      <c r="L48" s="349"/>
    </row>
    <row r="49" spans="3:12" ht="18.75">
      <c r="G49" s="355" t="s">
        <v>189</v>
      </c>
      <c r="H49" s="354">
        <f>H42+H44</f>
        <v>110017360</v>
      </c>
      <c r="I49" s="351"/>
      <c r="J49" s="351"/>
      <c r="L49" s="349"/>
    </row>
    <row r="50" spans="3:12" ht="19.5" thickBot="1">
      <c r="G50" s="353" t="s">
        <v>188</v>
      </c>
      <c r="H50" s="352">
        <f>H43+H45</f>
        <v>406290000</v>
      </c>
      <c r="I50" s="351"/>
      <c r="J50" s="351"/>
      <c r="L50" s="349"/>
    </row>
    <row r="51" spans="3:12" ht="18.75">
      <c r="L51" s="349"/>
    </row>
    <row r="52" spans="3:12" ht="18.75">
      <c r="C52" s="714" t="s">
        <v>187</v>
      </c>
      <c r="D52" s="715"/>
      <c r="E52" s="715"/>
      <c r="F52" s="715"/>
      <c r="G52" s="715"/>
      <c r="H52" s="716"/>
      <c r="I52" s="350"/>
      <c r="J52" s="350"/>
      <c r="L52" s="349"/>
    </row>
    <row r="53" spans="3:12" ht="25.5">
      <c r="C53" s="346" t="s">
        <v>185</v>
      </c>
      <c r="D53" s="346" t="s">
        <v>14</v>
      </c>
      <c r="E53" s="346" t="s">
        <v>15</v>
      </c>
      <c r="F53" s="346" t="s">
        <v>184</v>
      </c>
      <c r="G53" s="347" t="s">
        <v>183</v>
      </c>
      <c r="H53" s="346" t="s">
        <v>182</v>
      </c>
      <c r="I53" s="345"/>
      <c r="J53" s="345"/>
      <c r="L53" s="349"/>
    </row>
    <row r="54" spans="3:12" ht="18.75">
      <c r="C54" s="342"/>
      <c r="D54" s="342"/>
      <c r="E54" s="344"/>
      <c r="F54" s="342"/>
      <c r="G54" s="343"/>
      <c r="H54" s="342"/>
      <c r="L54" s="349"/>
    </row>
    <row r="55" spans="3:12" ht="18.75">
      <c r="C55" s="342"/>
      <c r="D55" s="342"/>
      <c r="E55" s="344"/>
      <c r="F55" s="342"/>
      <c r="G55" s="343"/>
      <c r="H55" s="342"/>
      <c r="L55" s="349"/>
    </row>
    <row r="56" spans="3:12" ht="18.75">
      <c r="C56" s="342"/>
      <c r="D56" s="342"/>
      <c r="E56" s="344"/>
      <c r="F56" s="342"/>
      <c r="G56" s="343"/>
      <c r="H56" s="342"/>
      <c r="L56" s="349"/>
    </row>
    <row r="57" spans="3:12" ht="18.75">
      <c r="C57" s="342"/>
      <c r="D57" s="342"/>
      <c r="E57" s="344"/>
      <c r="F57" s="342"/>
      <c r="G57" s="343"/>
      <c r="H57" s="342"/>
      <c r="L57" s="349"/>
    </row>
    <row r="58" spans="3:12" ht="18.75">
      <c r="C58" s="342"/>
      <c r="D58" s="342"/>
      <c r="E58" s="344"/>
      <c r="F58" s="342"/>
      <c r="G58" s="343"/>
      <c r="H58" s="342"/>
      <c r="L58" s="349"/>
    </row>
    <row r="59" spans="3:12" ht="18.75">
      <c r="C59" s="342"/>
      <c r="D59" s="342"/>
      <c r="E59" s="344"/>
      <c r="F59" s="342"/>
      <c r="G59" s="343"/>
      <c r="H59" s="342"/>
      <c r="L59" s="349"/>
    </row>
    <row r="60" spans="3:12" ht="18.75">
      <c r="C60" s="342"/>
      <c r="D60" s="342"/>
      <c r="E60" s="344"/>
      <c r="F60" s="342"/>
      <c r="G60" s="343"/>
      <c r="H60" s="342"/>
      <c r="L60" s="349"/>
    </row>
    <row r="61" spans="3:12" ht="18.75">
      <c r="C61" s="342"/>
      <c r="D61" s="342"/>
      <c r="E61" s="344"/>
      <c r="F61" s="342"/>
      <c r="G61" s="343"/>
      <c r="H61" s="342"/>
      <c r="L61" s="349"/>
    </row>
    <row r="62" spans="3:12" ht="18.75">
      <c r="C62" s="342"/>
      <c r="D62" s="342"/>
      <c r="E62" s="344"/>
      <c r="F62" s="342"/>
      <c r="G62" s="343"/>
      <c r="H62" s="342"/>
      <c r="L62" s="349"/>
    </row>
    <row r="63" spans="3:12" ht="18.75">
      <c r="C63" s="342"/>
      <c r="D63" s="342"/>
      <c r="E63" s="344"/>
      <c r="F63" s="342"/>
      <c r="G63" s="343"/>
      <c r="H63" s="342"/>
      <c r="L63" s="349"/>
    </row>
    <row r="64" spans="3:12" ht="18.75">
      <c r="C64" s="342"/>
      <c r="D64" s="342"/>
      <c r="E64" s="344"/>
      <c r="F64" s="342"/>
      <c r="G64" s="343"/>
      <c r="H64" s="342"/>
      <c r="L64" s="349"/>
    </row>
    <row r="65" spans="3:12" ht="18.75">
      <c r="L65" s="349"/>
    </row>
    <row r="66" spans="3:12" ht="18.75">
      <c r="L66" s="349"/>
    </row>
    <row r="67" spans="3:12" ht="18.75">
      <c r="L67" s="349"/>
    </row>
    <row r="68" spans="3:12" ht="18.75">
      <c r="L68" s="349"/>
    </row>
    <row r="69" spans="3:12" ht="18.75">
      <c r="L69" s="349"/>
    </row>
    <row r="70" spans="3:12" ht="18.75">
      <c r="L70" s="349"/>
    </row>
    <row r="71" spans="3:12">
      <c r="C71" s="342"/>
      <c r="D71" s="342"/>
      <c r="E71" s="344"/>
      <c r="F71" s="342"/>
      <c r="G71" s="343"/>
      <c r="H71" s="342"/>
    </row>
    <row r="72" spans="3:12">
      <c r="C72" s="342"/>
      <c r="D72" s="342"/>
      <c r="E72" s="344"/>
      <c r="F72" s="342"/>
      <c r="G72" s="343"/>
      <c r="H72" s="342"/>
    </row>
    <row r="73" spans="3:12">
      <c r="C73" s="342"/>
      <c r="D73" s="342"/>
      <c r="E73" s="344"/>
      <c r="F73" s="342"/>
      <c r="G73" s="343"/>
      <c r="H73" s="342"/>
    </row>
    <row r="76" spans="3:12" ht="15.75" customHeight="1">
      <c r="C76" s="723" t="s">
        <v>186</v>
      </c>
      <c r="D76" s="724"/>
      <c r="E76" s="724"/>
      <c r="F76" s="724"/>
      <c r="G76" s="724"/>
      <c r="H76" s="725"/>
      <c r="I76" s="348"/>
      <c r="J76" s="348"/>
    </row>
    <row r="77" spans="3:12" ht="25.5">
      <c r="C77" s="346" t="s">
        <v>185</v>
      </c>
      <c r="D77" s="346" t="s">
        <v>14</v>
      </c>
      <c r="E77" s="346" t="s">
        <v>15</v>
      </c>
      <c r="F77" s="346" t="s">
        <v>184</v>
      </c>
      <c r="G77" s="347" t="s">
        <v>183</v>
      </c>
      <c r="H77" s="346" t="s">
        <v>182</v>
      </c>
      <c r="I77" s="345"/>
      <c r="J77" s="345"/>
    </row>
    <row r="78" spans="3:12" ht="25.5" customHeight="1">
      <c r="C78" s="342"/>
      <c r="D78" s="342"/>
      <c r="E78" s="344"/>
      <c r="F78" s="342"/>
      <c r="G78" s="343"/>
      <c r="H78" s="342"/>
    </row>
    <row r="79" spans="3:12">
      <c r="C79" s="342"/>
      <c r="D79" s="342"/>
      <c r="E79" s="344"/>
      <c r="F79" s="342"/>
      <c r="G79" s="343"/>
      <c r="H79" s="342"/>
    </row>
    <row r="80" spans="3:12">
      <c r="C80" s="342"/>
      <c r="D80" s="342"/>
      <c r="E80" s="344"/>
      <c r="F80" s="342"/>
      <c r="G80" s="343"/>
      <c r="H80" s="342"/>
    </row>
    <row r="81" spans="3:8">
      <c r="C81" s="342"/>
      <c r="D81" s="342"/>
      <c r="E81" s="344"/>
      <c r="F81" s="342"/>
      <c r="G81" s="343"/>
      <c r="H81" s="342"/>
    </row>
    <row r="82" spans="3:8">
      <c r="C82" s="342"/>
      <c r="D82" s="342"/>
      <c r="E82" s="344"/>
      <c r="F82" s="342"/>
      <c r="G82" s="343"/>
      <c r="H82" s="342"/>
    </row>
    <row r="83" spans="3:8">
      <c r="C83" s="342"/>
      <c r="D83" s="342"/>
      <c r="E83" s="344"/>
      <c r="F83" s="342"/>
      <c r="G83" s="343"/>
      <c r="H83" s="342"/>
    </row>
    <row r="84" spans="3:8">
      <c r="C84" s="342"/>
      <c r="D84" s="342"/>
      <c r="E84" s="344"/>
      <c r="F84" s="342"/>
      <c r="G84" s="343"/>
      <c r="H84" s="342"/>
    </row>
    <row r="85" spans="3:8">
      <c r="C85" s="342"/>
      <c r="D85" s="342"/>
      <c r="E85" s="344"/>
      <c r="F85" s="342"/>
      <c r="G85" s="343"/>
      <c r="H85" s="342"/>
    </row>
    <row r="86" spans="3:8">
      <c r="C86" s="342"/>
      <c r="D86" s="342"/>
      <c r="E86" s="344"/>
      <c r="F86" s="342"/>
      <c r="G86" s="343"/>
      <c r="H86" s="342"/>
    </row>
    <row r="87" spans="3:8">
      <c r="C87" s="342"/>
      <c r="D87" s="342"/>
      <c r="E87" s="344"/>
      <c r="F87" s="342"/>
      <c r="G87" s="343"/>
      <c r="H87" s="342"/>
    </row>
    <row r="88" spans="3:8">
      <c r="C88" s="342"/>
      <c r="D88" s="342"/>
      <c r="E88" s="344"/>
      <c r="F88" s="342"/>
      <c r="G88" s="343"/>
      <c r="H88" s="342"/>
    </row>
  </sheetData>
  <mergeCells count="45">
    <mergeCell ref="M3:N3"/>
    <mergeCell ref="M19:N19"/>
    <mergeCell ref="L3:L8"/>
    <mergeCell ref="M4:N4"/>
    <mergeCell ref="M5:N5"/>
    <mergeCell ref="M21:N21"/>
    <mergeCell ref="C76:H76"/>
    <mergeCell ref="C36:H36"/>
    <mergeCell ref="C52:H52"/>
    <mergeCell ref="L9:L28"/>
    <mergeCell ref="K27:K28"/>
    <mergeCell ref="K38:K39"/>
    <mergeCell ref="C40:C41"/>
    <mergeCell ref="D40:D41"/>
    <mergeCell ref="E40:E41"/>
    <mergeCell ref="M20:N20"/>
    <mergeCell ref="K40:K45"/>
    <mergeCell ref="K30:K31"/>
    <mergeCell ref="K32:K33"/>
    <mergeCell ref="C1:H1"/>
    <mergeCell ref="D9:D10"/>
    <mergeCell ref="F10:F16"/>
    <mergeCell ref="G11:G12"/>
    <mergeCell ref="G13:G14"/>
    <mergeCell ref="A17:A19"/>
    <mergeCell ref="B17:B19"/>
    <mergeCell ref="F40:F41"/>
    <mergeCell ref="G40:G41"/>
    <mergeCell ref="H40:H41"/>
    <mergeCell ref="A20:A23"/>
    <mergeCell ref="B20:B23"/>
    <mergeCell ref="A27:A28"/>
    <mergeCell ref="B25:B26"/>
    <mergeCell ref="B27:B28"/>
    <mergeCell ref="A9:A16"/>
    <mergeCell ref="A3:A4"/>
    <mergeCell ref="B3:B4"/>
    <mergeCell ref="K3:K4"/>
    <mergeCell ref="A6:A7"/>
    <mergeCell ref="B6:B7"/>
    <mergeCell ref="D15:D16"/>
    <mergeCell ref="D13:D14"/>
    <mergeCell ref="D11:D12"/>
    <mergeCell ref="C9:C16"/>
    <mergeCell ref="B9:B16"/>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111"/>
  <sheetViews>
    <sheetView topLeftCell="H39" zoomScale="55" zoomScaleNormal="55" workbookViewId="0">
      <selection activeCell="P42" sqref="P42"/>
    </sheetView>
  </sheetViews>
  <sheetFormatPr defaultColWidth="9.140625" defaultRowHeight="15"/>
  <cols>
    <col min="1" max="1" width="19.140625" style="13" customWidth="1"/>
    <col min="2" max="2" width="18.28515625" style="69" customWidth="1"/>
    <col min="3" max="3" width="17.5703125" style="13" bestFit="1" customWidth="1"/>
    <col min="4" max="4" width="16" style="13" customWidth="1"/>
    <col min="5" max="5" width="20.28515625" style="13" customWidth="1"/>
    <col min="6" max="6" width="16.42578125" style="13" customWidth="1"/>
    <col min="7" max="7" width="19.140625" style="13" customWidth="1"/>
    <col min="8" max="8" width="17.140625" style="13" bestFit="1" customWidth="1"/>
    <col min="9" max="9" width="17.28515625" style="13" customWidth="1"/>
    <col min="10" max="10" width="16.42578125" style="13" customWidth="1"/>
    <col min="11" max="11" width="15.5703125" style="13" bestFit="1" customWidth="1"/>
    <col min="12" max="12" width="13.7109375" style="13" customWidth="1"/>
    <col min="13" max="13" width="14.7109375" style="13" customWidth="1"/>
    <col min="14" max="14" width="10.28515625" style="68" customWidth="1"/>
    <col min="15" max="15" width="11.7109375" style="68" customWidth="1"/>
    <col min="16" max="16" width="12.140625" style="13" customWidth="1"/>
    <col min="17" max="17" width="26.7109375" style="13" customWidth="1"/>
    <col min="18" max="18" width="77.85546875" style="13" customWidth="1"/>
    <col min="19" max="19" width="75" style="279" customWidth="1"/>
    <col min="20" max="20" width="9.140625" style="202"/>
    <col min="21" max="21" width="59.7109375" style="202" customWidth="1"/>
    <col min="22" max="22" width="15.140625" style="202" bestFit="1" customWidth="1"/>
    <col min="23" max="16384" width="9.140625" style="13"/>
  </cols>
  <sheetData>
    <row r="1" spans="1:22" s="122" customFormat="1">
      <c r="A1" s="894" t="s">
        <v>11</v>
      </c>
      <c r="B1" s="894"/>
      <c r="C1" s="894"/>
      <c r="D1" s="894"/>
      <c r="E1" s="894"/>
      <c r="I1" s="149" t="s">
        <v>128</v>
      </c>
      <c r="J1" s="149"/>
      <c r="K1" s="149"/>
      <c r="L1" s="149"/>
      <c r="M1" s="149"/>
      <c r="N1" s="149"/>
      <c r="O1" s="149"/>
      <c r="P1" s="149"/>
      <c r="S1" s="516"/>
      <c r="T1" s="145"/>
      <c r="U1" s="145"/>
      <c r="V1" s="145"/>
    </row>
    <row r="2" spans="1:22" s="124" customFormat="1" ht="16.5" customHeight="1">
      <c r="A2" s="124" t="s">
        <v>106</v>
      </c>
      <c r="S2" s="516"/>
      <c r="T2" s="242"/>
      <c r="U2" s="242"/>
      <c r="V2" s="242"/>
    </row>
    <row r="3" spans="1:22" s="122" customFormat="1" ht="16.5" customHeight="1">
      <c r="A3" s="901" t="s">
        <v>107</v>
      </c>
      <c r="B3" s="901"/>
      <c r="C3" s="901"/>
      <c r="D3" s="901"/>
      <c r="E3" s="901"/>
      <c r="F3" s="901"/>
      <c r="G3" s="901"/>
      <c r="J3" s="122" t="s">
        <v>127</v>
      </c>
      <c r="N3" s="123"/>
      <c r="O3" s="123"/>
      <c r="S3" s="516"/>
      <c r="T3" s="145"/>
      <c r="U3" s="145"/>
      <c r="V3" s="145"/>
    </row>
    <row r="4" spans="1:22" s="122" customFormat="1" ht="16.5" customHeight="1">
      <c r="A4" s="905" t="s">
        <v>135</v>
      </c>
      <c r="B4" s="905"/>
      <c r="C4" s="905"/>
      <c r="D4" s="905"/>
      <c r="E4" s="905"/>
      <c r="F4" s="905"/>
      <c r="G4" s="905"/>
      <c r="N4" s="123"/>
      <c r="O4" s="123"/>
      <c r="S4" s="516"/>
      <c r="T4" s="145"/>
      <c r="U4" s="145"/>
      <c r="V4" s="145"/>
    </row>
    <row r="5" spans="1:22" s="122" customFormat="1" ht="16.5" customHeight="1">
      <c r="A5" s="901" t="s">
        <v>109</v>
      </c>
      <c r="B5" s="901"/>
      <c r="C5" s="901"/>
      <c r="D5" s="901"/>
      <c r="E5" s="901"/>
      <c r="F5" s="901"/>
      <c r="G5" s="901"/>
      <c r="N5" s="123"/>
      <c r="O5" s="123"/>
      <c r="S5" s="516"/>
      <c r="T5" s="145"/>
      <c r="U5" s="145"/>
      <c r="V5" s="145"/>
    </row>
    <row r="6" spans="1:22" s="122" customFormat="1" ht="16.5" customHeight="1">
      <c r="A6" s="901" t="s">
        <v>100</v>
      </c>
      <c r="B6" s="901"/>
      <c r="C6" s="901"/>
      <c r="D6" s="901"/>
      <c r="E6" s="901"/>
      <c r="F6" s="901"/>
      <c r="G6" s="901"/>
      <c r="H6" s="901"/>
      <c r="N6" s="123"/>
      <c r="O6" s="123"/>
      <c r="S6" s="516"/>
      <c r="T6" s="145"/>
      <c r="U6" s="145"/>
      <c r="V6" s="145"/>
    </row>
    <row r="7" spans="1:22" s="122" customFormat="1" ht="16.5" customHeight="1">
      <c r="A7" s="901" t="s">
        <v>101</v>
      </c>
      <c r="B7" s="901"/>
      <c r="C7" s="901"/>
      <c r="D7" s="901"/>
      <c r="E7" s="901"/>
      <c r="F7" s="901"/>
      <c r="G7" s="901"/>
      <c r="N7" s="123"/>
      <c r="O7" s="123"/>
      <c r="S7" s="516"/>
      <c r="T7" s="145"/>
      <c r="U7" s="145"/>
      <c r="V7" s="145"/>
    </row>
    <row r="8" spans="1:22" s="122" customFormat="1" ht="16.5" customHeight="1">
      <c r="A8" s="901" t="s">
        <v>110</v>
      </c>
      <c r="B8" s="901"/>
      <c r="C8" s="901"/>
      <c r="D8" s="901"/>
      <c r="E8" s="901"/>
      <c r="F8" s="901"/>
      <c r="G8" s="901"/>
      <c r="N8" s="123"/>
      <c r="O8" s="123"/>
      <c r="S8" s="516"/>
      <c r="T8" s="145"/>
      <c r="U8" s="145"/>
      <c r="V8" s="145"/>
    </row>
    <row r="9" spans="1:22" s="122" customFormat="1" ht="16.5" customHeight="1">
      <c r="A9" s="901" t="s">
        <v>111</v>
      </c>
      <c r="B9" s="901"/>
      <c r="C9" s="901"/>
      <c r="D9" s="901"/>
      <c r="E9" s="901"/>
      <c r="F9" s="901"/>
      <c r="G9" s="901"/>
      <c r="N9" s="123"/>
      <c r="O9" s="123"/>
      <c r="S9" s="516"/>
      <c r="T9" s="145"/>
      <c r="U9" s="145"/>
      <c r="V9" s="145"/>
    </row>
    <row r="10" spans="1:22" ht="15.75" thickBot="1">
      <c r="A10" s="13" t="s">
        <v>134</v>
      </c>
    </row>
    <row r="11" spans="1:22" ht="15" customHeight="1">
      <c r="A11" s="910" t="s">
        <v>24</v>
      </c>
      <c r="B11" s="906" t="s">
        <v>131</v>
      </c>
      <c r="C11" s="912" t="s">
        <v>132</v>
      </c>
      <c r="D11" s="920" t="s">
        <v>4</v>
      </c>
      <c r="E11" s="921"/>
      <c r="F11" s="921"/>
      <c r="G11" s="910" t="s">
        <v>18</v>
      </c>
      <c r="H11" s="922" t="s">
        <v>19</v>
      </c>
      <c r="I11" s="922"/>
      <c r="J11" s="916" t="s">
        <v>31</v>
      </c>
      <c r="K11" s="908" t="s">
        <v>38</v>
      </c>
      <c r="L11" s="916" t="s">
        <v>32</v>
      </c>
      <c r="M11" s="921" t="s">
        <v>26</v>
      </c>
      <c r="N11" s="923"/>
      <c r="O11" s="916" t="s">
        <v>33</v>
      </c>
      <c r="P11" s="916" t="s">
        <v>30</v>
      </c>
      <c r="Q11" s="916" t="s">
        <v>39</v>
      </c>
      <c r="R11" s="918" t="s">
        <v>40</v>
      </c>
    </row>
    <row r="12" spans="1:22" ht="65.45" customHeight="1" thickBot="1">
      <c r="A12" s="911"/>
      <c r="B12" s="907"/>
      <c r="C12" s="913"/>
      <c r="D12" s="1" t="s">
        <v>7</v>
      </c>
      <c r="E12" s="6" t="s">
        <v>17</v>
      </c>
      <c r="F12" s="5" t="s">
        <v>25</v>
      </c>
      <c r="G12" s="911"/>
      <c r="H12" s="1" t="s">
        <v>20</v>
      </c>
      <c r="I12" s="2" t="s">
        <v>21</v>
      </c>
      <c r="J12" s="917"/>
      <c r="K12" s="909"/>
      <c r="L12" s="917"/>
      <c r="M12" s="2" t="s">
        <v>27</v>
      </c>
      <c r="N12" s="2" t="s">
        <v>28</v>
      </c>
      <c r="O12" s="917"/>
      <c r="P12" s="917"/>
      <c r="Q12" s="917"/>
      <c r="R12" s="919"/>
    </row>
    <row r="13" spans="1:22" ht="69.75" customHeight="1">
      <c r="A13" s="850" t="s">
        <v>61</v>
      </c>
      <c r="B13" s="171"/>
      <c r="C13" s="872">
        <v>81711019.799999997</v>
      </c>
      <c r="D13" s="895" t="s">
        <v>83</v>
      </c>
      <c r="E13" s="860">
        <v>49026611.899999999</v>
      </c>
      <c r="F13" s="863">
        <f>E13+(E13*0.3/0.7)</f>
        <v>70038017</v>
      </c>
      <c r="G13" s="936"/>
      <c r="H13" s="100" t="s">
        <v>90</v>
      </c>
      <c r="I13" s="30" t="s">
        <v>99</v>
      </c>
      <c r="J13" s="781" t="s">
        <v>82</v>
      </c>
      <c r="K13" s="776" t="s">
        <v>23</v>
      </c>
      <c r="L13" s="31" t="s">
        <v>64</v>
      </c>
      <c r="M13" s="73">
        <v>0</v>
      </c>
      <c r="N13" s="73">
        <v>2021</v>
      </c>
      <c r="O13" s="98" t="s">
        <v>8</v>
      </c>
      <c r="P13" s="98" t="s">
        <v>53</v>
      </c>
      <c r="Q13" s="74" t="s">
        <v>52</v>
      </c>
      <c r="R13" s="70"/>
    </row>
    <row r="14" spans="1:22" ht="75">
      <c r="A14" s="826"/>
      <c r="B14" s="172"/>
      <c r="C14" s="806"/>
      <c r="D14" s="896"/>
      <c r="E14" s="861"/>
      <c r="F14" s="821"/>
      <c r="G14" s="937"/>
      <c r="H14" s="23" t="s">
        <v>91</v>
      </c>
      <c r="I14" s="32" t="s">
        <v>97</v>
      </c>
      <c r="J14" s="782"/>
      <c r="K14" s="777"/>
      <c r="L14" s="33" t="s">
        <v>98</v>
      </c>
      <c r="M14" s="94" t="s">
        <v>60</v>
      </c>
      <c r="N14" s="76">
        <v>2021</v>
      </c>
      <c r="O14" s="28" t="s">
        <v>8</v>
      </c>
      <c r="P14" s="28" t="s">
        <v>53</v>
      </c>
      <c r="Q14" s="75" t="s">
        <v>52</v>
      </c>
      <c r="R14" s="71"/>
    </row>
    <row r="15" spans="1:22" ht="75" customHeight="1">
      <c r="A15" s="826"/>
      <c r="B15" s="172"/>
      <c r="C15" s="806"/>
      <c r="D15" s="896"/>
      <c r="E15" s="861"/>
      <c r="F15" s="821"/>
      <c r="G15" s="937"/>
      <c r="H15" s="23" t="s">
        <v>92</v>
      </c>
      <c r="I15" s="32" t="s">
        <v>94</v>
      </c>
      <c r="J15" s="782"/>
      <c r="K15" s="777"/>
      <c r="L15" s="33" t="s">
        <v>64</v>
      </c>
      <c r="M15" s="76">
        <v>0</v>
      </c>
      <c r="N15" s="7" t="s">
        <v>8</v>
      </c>
      <c r="O15" s="28" t="s">
        <v>53</v>
      </c>
      <c r="P15" s="26" t="s">
        <v>53</v>
      </c>
      <c r="Q15" s="75" t="s">
        <v>52</v>
      </c>
      <c r="R15" s="71"/>
    </row>
    <row r="16" spans="1:22" ht="60.75" thickBot="1">
      <c r="A16" s="826"/>
      <c r="B16" s="172"/>
      <c r="C16" s="806"/>
      <c r="D16" s="896"/>
      <c r="E16" s="861"/>
      <c r="F16" s="821"/>
      <c r="G16" s="937"/>
      <c r="H16" s="23" t="s">
        <v>93</v>
      </c>
      <c r="I16" s="32" t="s">
        <v>95</v>
      </c>
      <c r="J16" s="782"/>
      <c r="K16" s="777"/>
      <c r="L16" s="32" t="s">
        <v>96</v>
      </c>
      <c r="M16" s="76">
        <v>0</v>
      </c>
      <c r="N16" s="7" t="s">
        <v>8</v>
      </c>
      <c r="O16" s="7" t="s">
        <v>69</v>
      </c>
      <c r="P16" s="26" t="s">
        <v>53</v>
      </c>
      <c r="Q16" s="75" t="s">
        <v>52</v>
      </c>
      <c r="R16" s="71"/>
    </row>
    <row r="17" spans="1:19" ht="45.75" thickBot="1">
      <c r="A17" s="826"/>
      <c r="B17" s="172"/>
      <c r="C17" s="806"/>
      <c r="D17" s="897"/>
      <c r="E17" s="862"/>
      <c r="F17" s="898"/>
      <c r="G17" s="938"/>
      <c r="H17" s="95" t="s">
        <v>70</v>
      </c>
      <c r="I17" s="36" t="s">
        <v>80</v>
      </c>
      <c r="J17" s="783"/>
      <c r="K17" s="778"/>
      <c r="L17" s="39" t="s">
        <v>81</v>
      </c>
      <c r="M17" s="126" t="s">
        <v>53</v>
      </c>
      <c r="N17" s="20">
        <v>2021</v>
      </c>
      <c r="O17" s="18" t="s">
        <v>8</v>
      </c>
      <c r="P17" s="18" t="s">
        <v>53</v>
      </c>
      <c r="Q17" s="72" t="s">
        <v>52</v>
      </c>
      <c r="R17" s="82"/>
    </row>
    <row r="18" spans="1:19" ht="81.75" customHeight="1">
      <c r="A18" s="826"/>
      <c r="B18" s="172"/>
      <c r="C18" s="861"/>
      <c r="D18" s="899" t="s">
        <v>84</v>
      </c>
      <c r="E18" s="900">
        <v>32684407.899999999</v>
      </c>
      <c r="F18" s="820">
        <f>E18+(E18*0.3/0.7)</f>
        <v>46692011.285714284</v>
      </c>
      <c r="G18" s="939"/>
      <c r="H18" s="100" t="s">
        <v>90</v>
      </c>
      <c r="I18" s="30" t="s">
        <v>99</v>
      </c>
      <c r="J18" s="781" t="s">
        <v>82</v>
      </c>
      <c r="K18" s="776" t="s">
        <v>23</v>
      </c>
      <c r="L18" s="31" t="s">
        <v>64</v>
      </c>
      <c r="M18" s="73">
        <v>0</v>
      </c>
      <c r="N18" s="73">
        <v>2021</v>
      </c>
      <c r="O18" s="98" t="s">
        <v>8</v>
      </c>
      <c r="P18" s="98" t="s">
        <v>53</v>
      </c>
      <c r="Q18" s="74" t="s">
        <v>52</v>
      </c>
      <c r="R18" s="70"/>
    </row>
    <row r="19" spans="1:19" ht="75">
      <c r="A19" s="826"/>
      <c r="B19" s="172"/>
      <c r="C19" s="861"/>
      <c r="D19" s="846"/>
      <c r="E19" s="846"/>
      <c r="F19" s="846"/>
      <c r="G19" s="940"/>
      <c r="H19" s="23" t="s">
        <v>91</v>
      </c>
      <c r="I19" s="32" t="s">
        <v>97</v>
      </c>
      <c r="J19" s="782"/>
      <c r="K19" s="777"/>
      <c r="L19" s="33" t="s">
        <v>98</v>
      </c>
      <c r="M19" s="94" t="s">
        <v>60</v>
      </c>
      <c r="N19" s="76">
        <v>2021</v>
      </c>
      <c r="O19" s="28" t="s">
        <v>8</v>
      </c>
      <c r="P19" s="28" t="s">
        <v>53</v>
      </c>
      <c r="Q19" s="75" t="s">
        <v>52</v>
      </c>
      <c r="R19" s="71"/>
    </row>
    <row r="20" spans="1:19" ht="81.95" customHeight="1">
      <c r="A20" s="826"/>
      <c r="B20" s="172"/>
      <c r="C20" s="861"/>
      <c r="D20" s="846"/>
      <c r="E20" s="846"/>
      <c r="F20" s="846"/>
      <c r="G20" s="940"/>
      <c r="H20" s="23" t="s">
        <v>92</v>
      </c>
      <c r="I20" s="32" t="s">
        <v>94</v>
      </c>
      <c r="J20" s="782"/>
      <c r="K20" s="777"/>
      <c r="L20" s="33" t="s">
        <v>64</v>
      </c>
      <c r="M20" s="76">
        <v>0</v>
      </c>
      <c r="N20" s="7" t="s">
        <v>8</v>
      </c>
      <c r="O20" s="28" t="s">
        <v>53</v>
      </c>
      <c r="P20" s="26" t="s">
        <v>53</v>
      </c>
      <c r="Q20" s="75" t="s">
        <v>52</v>
      </c>
      <c r="R20" s="71"/>
    </row>
    <row r="21" spans="1:19" ht="60">
      <c r="A21" s="826"/>
      <c r="B21" s="172"/>
      <c r="C21" s="861"/>
      <c r="D21" s="846"/>
      <c r="E21" s="846"/>
      <c r="F21" s="846"/>
      <c r="G21" s="940"/>
      <c r="H21" s="23" t="s">
        <v>93</v>
      </c>
      <c r="I21" s="32" t="s">
        <v>95</v>
      </c>
      <c r="J21" s="782"/>
      <c r="K21" s="777"/>
      <c r="L21" s="32" t="s">
        <v>96</v>
      </c>
      <c r="M21" s="76">
        <v>0</v>
      </c>
      <c r="N21" s="7" t="s">
        <v>8</v>
      </c>
      <c r="O21" s="7" t="s">
        <v>69</v>
      </c>
      <c r="P21" s="26" t="s">
        <v>53</v>
      </c>
      <c r="Q21" s="75" t="s">
        <v>52</v>
      </c>
      <c r="R21" s="71"/>
      <c r="S21" s="517"/>
    </row>
    <row r="22" spans="1:19" ht="45.75" thickBot="1">
      <c r="A22" s="853"/>
      <c r="B22" s="172"/>
      <c r="C22" s="861"/>
      <c r="D22" s="846"/>
      <c r="E22" s="846"/>
      <c r="F22" s="846"/>
      <c r="G22" s="940"/>
      <c r="H22" s="101" t="s">
        <v>70</v>
      </c>
      <c r="I22" s="34" t="s">
        <v>80</v>
      </c>
      <c r="J22" s="783"/>
      <c r="K22" s="778"/>
      <c r="L22" s="35" t="s">
        <v>81</v>
      </c>
      <c r="M22" s="127" t="s">
        <v>53</v>
      </c>
      <c r="N22" s="78">
        <v>2021</v>
      </c>
      <c r="O22" s="99" t="s">
        <v>8</v>
      </c>
      <c r="P22" s="99" t="s">
        <v>53</v>
      </c>
      <c r="Q22" s="81" t="s">
        <v>52</v>
      </c>
      <c r="R22" s="79"/>
    </row>
    <row r="23" spans="1:19" ht="113.25" customHeight="1" thickBot="1">
      <c r="A23" s="924" t="s">
        <v>71</v>
      </c>
      <c r="B23" s="161"/>
      <c r="C23" s="902">
        <v>15014039</v>
      </c>
      <c r="D23" s="927" t="s">
        <v>58</v>
      </c>
      <c r="E23" s="872">
        <v>3002807.8</v>
      </c>
      <c r="F23" s="874">
        <f>E23+(E23*0.3/0.7)</f>
        <v>4289725.4285714282</v>
      </c>
      <c r="G23" s="876"/>
      <c r="H23" s="888" t="s">
        <v>92</v>
      </c>
      <c r="I23" s="930" t="s">
        <v>94</v>
      </c>
      <c r="J23" s="781" t="s">
        <v>82</v>
      </c>
      <c r="K23" s="776" t="s">
        <v>23</v>
      </c>
      <c r="L23" s="930" t="s">
        <v>64</v>
      </c>
      <c r="M23" s="21">
        <v>0</v>
      </c>
      <c r="N23" s="19" t="s">
        <v>8</v>
      </c>
      <c r="O23" s="38" t="s">
        <v>53</v>
      </c>
      <c r="P23" s="96" t="s">
        <v>53</v>
      </c>
      <c r="Q23" s="22" t="s">
        <v>52</v>
      </c>
      <c r="R23" s="80"/>
    </row>
    <row r="24" spans="1:19" ht="12.6" hidden="1" customHeight="1">
      <c r="A24" s="925"/>
      <c r="B24" s="162"/>
      <c r="C24" s="903"/>
      <c r="D24" s="928"/>
      <c r="E24" s="806"/>
      <c r="F24" s="807"/>
      <c r="G24" s="877"/>
      <c r="H24" s="890"/>
      <c r="I24" s="767"/>
      <c r="J24" s="782"/>
      <c r="K24" s="777"/>
      <c r="L24" s="767"/>
      <c r="M24" s="76">
        <v>0</v>
      </c>
      <c r="N24" s="7" t="s">
        <v>8</v>
      </c>
      <c r="O24" s="28" t="s">
        <v>53</v>
      </c>
      <c r="P24" s="26" t="s">
        <v>53</v>
      </c>
      <c r="Q24" s="75" t="s">
        <v>51</v>
      </c>
      <c r="R24" s="71"/>
    </row>
    <row r="25" spans="1:19" ht="0.95" hidden="1" customHeight="1">
      <c r="A25" s="925"/>
      <c r="B25" s="162"/>
      <c r="C25" s="903"/>
      <c r="D25" s="928"/>
      <c r="E25" s="806"/>
      <c r="F25" s="807"/>
      <c r="G25" s="877"/>
      <c r="H25" s="890"/>
      <c r="I25" s="767"/>
      <c r="J25" s="782"/>
      <c r="K25" s="777"/>
      <c r="L25" s="767"/>
      <c r="M25" s="76">
        <v>0</v>
      </c>
      <c r="N25" s="7" t="s">
        <v>8</v>
      </c>
      <c r="O25" s="28" t="s">
        <v>53</v>
      </c>
      <c r="P25" s="26" t="s">
        <v>53</v>
      </c>
      <c r="Q25" s="75" t="s">
        <v>51</v>
      </c>
      <c r="R25" s="71"/>
    </row>
    <row r="26" spans="1:19" ht="78" customHeight="1" thickBot="1">
      <c r="A26" s="925"/>
      <c r="B26" s="162"/>
      <c r="C26" s="904"/>
      <c r="D26" s="929"/>
      <c r="E26" s="873"/>
      <c r="F26" s="875"/>
      <c r="G26" s="878"/>
      <c r="H26" s="95" t="s">
        <v>70</v>
      </c>
      <c r="I26" s="36" t="s">
        <v>80</v>
      </c>
      <c r="J26" s="783"/>
      <c r="K26" s="778"/>
      <c r="L26" s="39" t="s">
        <v>81</v>
      </c>
      <c r="M26" s="128" t="s">
        <v>53</v>
      </c>
      <c r="N26" s="20">
        <v>2021</v>
      </c>
      <c r="O26" s="18" t="s">
        <v>8</v>
      </c>
      <c r="P26" s="18" t="s">
        <v>53</v>
      </c>
      <c r="Q26" s="72" t="s">
        <v>52</v>
      </c>
      <c r="R26" s="82"/>
    </row>
    <row r="27" spans="1:19" ht="57.95" customHeight="1">
      <c r="A27" s="925"/>
      <c r="B27" s="162"/>
      <c r="C27" s="902"/>
      <c r="D27" s="869" t="s">
        <v>85</v>
      </c>
      <c r="E27" s="872">
        <v>6005615.5999999996</v>
      </c>
      <c r="F27" s="874">
        <f>E27+(E27*0.3/0.7)</f>
        <v>8579450.8571428563</v>
      </c>
      <c r="G27" s="876"/>
      <c r="H27" s="886" t="s">
        <v>92</v>
      </c>
      <c r="I27" s="884" t="s">
        <v>94</v>
      </c>
      <c r="J27" s="781" t="s">
        <v>82</v>
      </c>
      <c r="K27" s="776" t="s">
        <v>23</v>
      </c>
      <c r="L27" s="884" t="s">
        <v>64</v>
      </c>
      <c r="M27" s="766">
        <v>0</v>
      </c>
      <c r="N27" s="885" t="s">
        <v>8</v>
      </c>
      <c r="O27" s="885" t="s">
        <v>53</v>
      </c>
      <c r="P27" s="766" t="s">
        <v>53</v>
      </c>
      <c r="Q27" s="874" t="s">
        <v>52</v>
      </c>
      <c r="R27" s="879"/>
    </row>
    <row r="28" spans="1:19" ht="15.6" customHeight="1">
      <c r="A28" s="925"/>
      <c r="B28" s="162"/>
      <c r="C28" s="903"/>
      <c r="D28" s="870"/>
      <c r="E28" s="806"/>
      <c r="F28" s="807"/>
      <c r="G28" s="877"/>
      <c r="H28" s="887"/>
      <c r="I28" s="883"/>
      <c r="J28" s="782"/>
      <c r="K28" s="777"/>
      <c r="L28" s="883"/>
      <c r="M28" s="767"/>
      <c r="N28" s="841"/>
      <c r="O28" s="841"/>
      <c r="P28" s="767"/>
      <c r="Q28" s="807"/>
      <c r="R28" s="880"/>
    </row>
    <row r="29" spans="1:19" ht="15" customHeight="1" thickBot="1">
      <c r="A29" s="925"/>
      <c r="B29" s="162"/>
      <c r="C29" s="903"/>
      <c r="D29" s="870"/>
      <c r="E29" s="806"/>
      <c r="F29" s="807"/>
      <c r="G29" s="877"/>
      <c r="H29" s="888"/>
      <c r="I29" s="883"/>
      <c r="J29" s="782"/>
      <c r="K29" s="777"/>
      <c r="L29" s="883"/>
      <c r="M29" s="767"/>
      <c r="N29" s="841"/>
      <c r="O29" s="841"/>
      <c r="P29" s="767"/>
      <c r="Q29" s="807"/>
      <c r="R29" s="880"/>
    </row>
    <row r="30" spans="1:19" ht="75" customHeight="1" thickBot="1">
      <c r="A30" s="925"/>
      <c r="B30" s="162"/>
      <c r="C30" s="904"/>
      <c r="D30" s="871"/>
      <c r="E30" s="873"/>
      <c r="F30" s="875"/>
      <c r="G30" s="878"/>
      <c r="H30" s="95" t="s">
        <v>70</v>
      </c>
      <c r="I30" s="36" t="s">
        <v>80</v>
      </c>
      <c r="J30" s="783"/>
      <c r="K30" s="778"/>
      <c r="L30" s="39" t="s">
        <v>81</v>
      </c>
      <c r="M30" s="128" t="s">
        <v>53</v>
      </c>
      <c r="N30" s="20">
        <v>2021</v>
      </c>
      <c r="O30" s="18" t="s">
        <v>53</v>
      </c>
      <c r="P30" s="18" t="s">
        <v>53</v>
      </c>
      <c r="Q30" s="72" t="s">
        <v>52</v>
      </c>
      <c r="R30" s="82"/>
    </row>
    <row r="31" spans="1:19" ht="65.45" customHeight="1">
      <c r="A31" s="925"/>
      <c r="B31" s="162"/>
      <c r="C31" s="902"/>
      <c r="D31" s="869" t="s">
        <v>86</v>
      </c>
      <c r="E31" s="872">
        <v>6005615.5999999996</v>
      </c>
      <c r="F31" s="874">
        <f>E31+(E31*0.3/0.7)</f>
        <v>8579450.8571428563</v>
      </c>
      <c r="G31" s="876"/>
      <c r="H31" s="889" t="s">
        <v>70</v>
      </c>
      <c r="I31" s="884" t="s">
        <v>80</v>
      </c>
      <c r="J31" s="781" t="s">
        <v>82</v>
      </c>
      <c r="K31" s="776" t="s">
        <v>23</v>
      </c>
      <c r="L31" s="891" t="s">
        <v>81</v>
      </c>
      <c r="M31" s="892" t="s">
        <v>53</v>
      </c>
      <c r="N31" s="766">
        <v>2021</v>
      </c>
      <c r="O31" s="885" t="s">
        <v>8</v>
      </c>
      <c r="P31" s="766" t="s">
        <v>53</v>
      </c>
      <c r="Q31" s="74" t="s">
        <v>52</v>
      </c>
      <c r="R31" s="879"/>
    </row>
    <row r="32" spans="1:19" ht="52.5" hidden="1" customHeight="1">
      <c r="A32" s="925"/>
      <c r="B32" s="162"/>
      <c r="C32" s="903"/>
      <c r="D32" s="870"/>
      <c r="E32" s="806"/>
      <c r="F32" s="807"/>
      <c r="G32" s="877"/>
      <c r="H32" s="890"/>
      <c r="I32" s="767"/>
      <c r="J32" s="782"/>
      <c r="K32" s="777"/>
      <c r="L32" s="767"/>
      <c r="M32" s="893"/>
      <c r="N32" s="767"/>
      <c r="O32" s="841"/>
      <c r="P32" s="767"/>
      <c r="Q32" s="75" t="s">
        <v>51</v>
      </c>
      <c r="R32" s="880"/>
    </row>
    <row r="33" spans="1:37" ht="59.1" customHeight="1">
      <c r="A33" s="925"/>
      <c r="B33" s="162"/>
      <c r="C33" s="903"/>
      <c r="D33" s="870"/>
      <c r="E33" s="806"/>
      <c r="F33" s="807"/>
      <c r="G33" s="877"/>
      <c r="H33" s="881" t="s">
        <v>92</v>
      </c>
      <c r="I33" s="883" t="s">
        <v>94</v>
      </c>
      <c r="J33" s="782"/>
      <c r="K33" s="777"/>
      <c r="L33" s="883" t="s">
        <v>64</v>
      </c>
      <c r="M33" s="767">
        <v>0</v>
      </c>
      <c r="N33" s="767" t="s">
        <v>8</v>
      </c>
      <c r="O33" s="841" t="s">
        <v>53</v>
      </c>
      <c r="P33" s="767" t="s">
        <v>53</v>
      </c>
      <c r="Q33" s="807" t="s">
        <v>52</v>
      </c>
      <c r="R33" s="880"/>
    </row>
    <row r="34" spans="1:37" ht="15.75" thickBot="1">
      <c r="A34" s="926"/>
      <c r="B34" s="163"/>
      <c r="C34" s="904"/>
      <c r="D34" s="871"/>
      <c r="E34" s="873"/>
      <c r="F34" s="875"/>
      <c r="G34" s="878"/>
      <c r="H34" s="882"/>
      <c r="I34" s="840"/>
      <c r="J34" s="783"/>
      <c r="K34" s="778"/>
      <c r="L34" s="840"/>
      <c r="M34" s="840"/>
      <c r="N34" s="840"/>
      <c r="O34" s="842"/>
      <c r="P34" s="840"/>
      <c r="Q34" s="840"/>
      <c r="R34" s="823"/>
    </row>
    <row r="35" spans="1:37" ht="75" customHeight="1">
      <c r="A35" s="850" t="s">
        <v>108</v>
      </c>
      <c r="B35" s="173"/>
      <c r="C35" s="854">
        <v>32049198.600000001</v>
      </c>
      <c r="D35" s="857" t="s">
        <v>85</v>
      </c>
      <c r="E35" s="860">
        <v>32049198.600000001</v>
      </c>
      <c r="F35" s="863">
        <f>E35+(E35*0.3/0.7)</f>
        <v>45784569.428571433</v>
      </c>
      <c r="G35" s="864"/>
      <c r="H35" s="100" t="s">
        <v>91</v>
      </c>
      <c r="I35" s="159" t="s">
        <v>97</v>
      </c>
      <c r="J35" s="781" t="s">
        <v>82</v>
      </c>
      <c r="K35" s="776" t="s">
        <v>23</v>
      </c>
      <c r="L35" s="40" t="s">
        <v>98</v>
      </c>
      <c r="M35" s="164" t="s">
        <v>60</v>
      </c>
      <c r="N35" s="73">
        <v>2021</v>
      </c>
      <c r="O35" s="157" t="s">
        <v>8</v>
      </c>
      <c r="P35" s="157" t="s">
        <v>53</v>
      </c>
      <c r="Q35" s="158" t="s">
        <v>52</v>
      </c>
      <c r="R35" s="70"/>
    </row>
    <row r="36" spans="1:37" ht="75">
      <c r="A36" s="826"/>
      <c r="B36" s="174"/>
      <c r="C36" s="855"/>
      <c r="D36" s="858"/>
      <c r="E36" s="861"/>
      <c r="F36" s="821"/>
      <c r="G36" s="865"/>
      <c r="H36" s="23" t="s">
        <v>90</v>
      </c>
      <c r="I36" s="156" t="s">
        <v>99</v>
      </c>
      <c r="J36" s="782"/>
      <c r="K36" s="777"/>
      <c r="L36" s="33" t="s">
        <v>64</v>
      </c>
      <c r="M36" s="169">
        <v>0</v>
      </c>
      <c r="N36" s="169">
        <v>2021</v>
      </c>
      <c r="O36" s="155" t="s">
        <v>8</v>
      </c>
      <c r="P36" s="155" t="s">
        <v>53</v>
      </c>
      <c r="Q36" s="154" t="s">
        <v>52</v>
      </c>
      <c r="R36" s="77"/>
    </row>
    <row r="37" spans="1:37" ht="14.45" customHeight="1">
      <c r="A37" s="851"/>
      <c r="B37" s="174"/>
      <c r="C37" s="855"/>
      <c r="D37" s="858"/>
      <c r="E37" s="861"/>
      <c r="F37" s="821"/>
      <c r="G37" s="865"/>
      <c r="H37" s="809" t="s">
        <v>92</v>
      </c>
      <c r="I37" s="868" t="s">
        <v>94</v>
      </c>
      <c r="J37" s="782"/>
      <c r="K37" s="777"/>
      <c r="L37" s="843" t="s">
        <v>64</v>
      </c>
      <c r="M37" s="840">
        <v>0</v>
      </c>
      <c r="N37" s="842" t="s">
        <v>8</v>
      </c>
      <c r="O37" s="842" t="s">
        <v>53</v>
      </c>
      <c r="P37" s="840" t="s">
        <v>53</v>
      </c>
      <c r="Q37" s="820" t="s">
        <v>52</v>
      </c>
      <c r="R37" s="823"/>
    </row>
    <row r="38" spans="1:37" ht="22.5" customHeight="1">
      <c r="A38" s="852"/>
      <c r="B38" s="174"/>
      <c r="C38" s="855"/>
      <c r="D38" s="858"/>
      <c r="E38" s="861"/>
      <c r="F38" s="821"/>
      <c r="G38" s="865"/>
      <c r="H38" s="867"/>
      <c r="I38" s="777"/>
      <c r="J38" s="782"/>
      <c r="K38" s="777"/>
      <c r="L38" s="844"/>
      <c r="M38" s="846"/>
      <c r="N38" s="848"/>
      <c r="O38" s="848"/>
      <c r="P38" s="846"/>
      <c r="Q38" s="821"/>
      <c r="R38" s="824"/>
    </row>
    <row r="39" spans="1:37" ht="27.75" customHeight="1">
      <c r="A39" s="826"/>
      <c r="B39" s="174"/>
      <c r="C39" s="855"/>
      <c r="D39" s="858"/>
      <c r="E39" s="861"/>
      <c r="F39" s="821"/>
      <c r="G39" s="865"/>
      <c r="H39" s="867"/>
      <c r="I39" s="777"/>
      <c r="J39" s="782"/>
      <c r="K39" s="777"/>
      <c r="L39" s="844"/>
      <c r="M39" s="846"/>
      <c r="N39" s="848"/>
      <c r="O39" s="848"/>
      <c r="P39" s="846"/>
      <c r="Q39" s="821"/>
      <c r="R39" s="824"/>
    </row>
    <row r="40" spans="1:37" ht="66.75" customHeight="1" thickBot="1">
      <c r="A40" s="853"/>
      <c r="B40" s="174"/>
      <c r="C40" s="856"/>
      <c r="D40" s="859"/>
      <c r="E40" s="862"/>
      <c r="F40" s="830"/>
      <c r="G40" s="866"/>
      <c r="H40" s="810"/>
      <c r="I40" s="778"/>
      <c r="J40" s="783"/>
      <c r="K40" s="778"/>
      <c r="L40" s="845"/>
      <c r="M40" s="847"/>
      <c r="N40" s="849"/>
      <c r="O40" s="849"/>
      <c r="P40" s="847"/>
      <c r="Q40" s="822"/>
      <c r="R40" s="825"/>
    </row>
    <row r="41" spans="1:37" customFormat="1" ht="112.15" customHeight="1">
      <c r="A41" s="746" t="s">
        <v>100</v>
      </c>
      <c r="B41" s="742">
        <f>F41</f>
        <v>126618185.41176471</v>
      </c>
      <c r="C41" s="749">
        <f>0.8*'Intervencijų lėšos (2)'!J3</f>
        <v>107625457.60000001</v>
      </c>
      <c r="D41" s="751" t="s">
        <v>136</v>
      </c>
      <c r="E41" s="754">
        <f>C41/0.85*0.15</f>
        <v>18992727.81176471</v>
      </c>
      <c r="F41" s="749">
        <f>C41+E41</f>
        <v>126618185.41176471</v>
      </c>
      <c r="G41" s="756">
        <f>F41</f>
        <v>126618185.41176471</v>
      </c>
      <c r="H41" s="268" t="s">
        <v>140</v>
      </c>
      <c r="I41" s="328" t="s">
        <v>176</v>
      </c>
      <c r="J41" s="751" t="s">
        <v>45</v>
      </c>
      <c r="K41" s="751" t="s">
        <v>41</v>
      </c>
      <c r="L41" s="328" t="s">
        <v>177</v>
      </c>
      <c r="M41" s="328" t="s">
        <v>8</v>
      </c>
      <c r="N41" s="328" t="s">
        <v>46</v>
      </c>
      <c r="O41" s="525">
        <f>P41*0.1</f>
        <v>158.2727317647059</v>
      </c>
      <c r="P41" s="525">
        <f>G41/80000</f>
        <v>1582.727317647059</v>
      </c>
      <c r="Q41" s="328" t="s">
        <v>34</v>
      </c>
      <c r="R41" s="542" t="s">
        <v>274</v>
      </c>
      <c r="S41" s="548" t="s">
        <v>300</v>
      </c>
      <c r="T41" s="241"/>
      <c r="U41" s="241"/>
      <c r="V41" s="241"/>
      <c r="W41" s="170"/>
      <c r="X41" s="170"/>
      <c r="Y41" s="170"/>
      <c r="Z41" s="170"/>
      <c r="AA41" s="170"/>
      <c r="AB41" s="10"/>
      <c r="AC41" s="10"/>
      <c r="AD41" s="10"/>
      <c r="AE41" s="10"/>
      <c r="AF41" s="10"/>
      <c r="AG41" s="10"/>
      <c r="AH41" s="10"/>
      <c r="AI41" s="10"/>
      <c r="AJ41" s="10"/>
      <c r="AK41" s="10"/>
    </row>
    <row r="42" spans="1:37" customFormat="1" ht="202.15" customHeight="1">
      <c r="A42" s="747"/>
      <c r="B42" s="743"/>
      <c r="C42" s="750"/>
      <c r="D42" s="752"/>
      <c r="E42" s="755"/>
      <c r="F42" s="750"/>
      <c r="G42" s="757"/>
      <c r="H42" s="222" t="s">
        <v>70</v>
      </c>
      <c r="I42" s="327" t="s">
        <v>80</v>
      </c>
      <c r="J42" s="792"/>
      <c r="K42" s="784"/>
      <c r="L42" s="270" t="s">
        <v>81</v>
      </c>
      <c r="M42" s="526">
        <f>6.21/1000*0.955</f>
        <v>5.9305499999999997E-3</v>
      </c>
      <c r="N42" s="329" t="s">
        <v>46</v>
      </c>
      <c r="O42" s="269" t="s">
        <v>8</v>
      </c>
      <c r="P42" s="526">
        <f>131.51/1000*0.955</f>
        <v>0.12559204999999998</v>
      </c>
      <c r="Q42" s="329" t="s">
        <v>34</v>
      </c>
      <c r="R42" s="543" t="s">
        <v>275</v>
      </c>
      <c r="S42" s="549" t="s">
        <v>301</v>
      </c>
      <c r="T42" s="241"/>
      <c r="U42" s="241"/>
      <c r="V42" s="241"/>
      <c r="W42" s="170"/>
      <c r="X42" s="170"/>
      <c r="Y42" s="170"/>
      <c r="Z42" s="170"/>
      <c r="AA42" s="170"/>
      <c r="AB42" s="10"/>
      <c r="AC42" s="10"/>
      <c r="AD42" s="10"/>
      <c r="AE42" s="10"/>
      <c r="AF42" s="10"/>
      <c r="AG42" s="10"/>
      <c r="AH42" s="10"/>
      <c r="AI42" s="10"/>
      <c r="AJ42" s="10"/>
      <c r="AK42" s="10"/>
    </row>
    <row r="43" spans="1:37" customFormat="1" ht="97.9" customHeight="1">
      <c r="A43" s="747"/>
      <c r="B43" s="764">
        <f>F43</f>
        <v>6023529.4117647056</v>
      </c>
      <c r="C43" s="758">
        <f>0.8*'Intervencijų lėšos (2)'!J4</f>
        <v>5120000</v>
      </c>
      <c r="D43" s="752"/>
      <c r="E43" s="760">
        <f>(C43*100/85)-C43</f>
        <v>903529.41176470555</v>
      </c>
      <c r="F43" s="762">
        <f>C43+E43</f>
        <v>6023529.4117647056</v>
      </c>
      <c r="G43" s="762">
        <f>F43</f>
        <v>6023529.4117647056</v>
      </c>
      <c r="H43" s="222" t="s">
        <v>137</v>
      </c>
      <c r="I43" s="329" t="s">
        <v>176</v>
      </c>
      <c r="J43" s="793" t="s">
        <v>82</v>
      </c>
      <c r="K43" s="785" t="s">
        <v>289</v>
      </c>
      <c r="L43" s="329" t="s">
        <v>177</v>
      </c>
      <c r="M43" s="329" t="s">
        <v>8</v>
      </c>
      <c r="N43" s="329" t="s">
        <v>46</v>
      </c>
      <c r="O43" s="125">
        <f>P43*0.1</f>
        <v>7.5294117647058831</v>
      </c>
      <c r="P43" s="125">
        <f>G43/80000</f>
        <v>75.294117647058826</v>
      </c>
      <c r="Q43" s="329" t="s">
        <v>34</v>
      </c>
      <c r="R43" s="544" t="s">
        <v>276</v>
      </c>
      <c r="S43" s="548" t="s">
        <v>299</v>
      </c>
      <c r="T43" s="241"/>
      <c r="U43" s="241"/>
      <c r="V43" s="241"/>
      <c r="W43" s="170"/>
      <c r="X43" s="170"/>
      <c r="Y43" s="170"/>
      <c r="Z43" s="170"/>
      <c r="AA43" s="170"/>
      <c r="AB43" s="10"/>
      <c r="AC43" s="10"/>
      <c r="AD43" s="10"/>
      <c r="AE43" s="10"/>
      <c r="AF43" s="10"/>
      <c r="AG43" s="10"/>
      <c r="AH43" s="10"/>
      <c r="AI43" s="10"/>
      <c r="AJ43" s="10"/>
      <c r="AK43" s="10"/>
    </row>
    <row r="44" spans="1:37" customFormat="1" ht="168.6" customHeight="1" thickBot="1">
      <c r="A44" s="748"/>
      <c r="B44" s="765"/>
      <c r="C44" s="759"/>
      <c r="D44" s="753"/>
      <c r="E44" s="761"/>
      <c r="F44" s="763"/>
      <c r="G44" s="763"/>
      <c r="H44" s="178" t="s">
        <v>55</v>
      </c>
      <c r="I44" s="330" t="s">
        <v>80</v>
      </c>
      <c r="J44" s="794"/>
      <c r="K44" s="753"/>
      <c r="L44" s="120" t="s">
        <v>81</v>
      </c>
      <c r="M44" s="527">
        <f>6.21/1000*0.045</f>
        <v>2.7944999999999999E-4</v>
      </c>
      <c r="N44" s="330" t="s">
        <v>46</v>
      </c>
      <c r="O44" s="332" t="s">
        <v>8</v>
      </c>
      <c r="P44" s="527">
        <f>131.51/1000*0.045</f>
        <v>5.9179499999999991E-3</v>
      </c>
      <c r="Q44" s="330" t="s">
        <v>34</v>
      </c>
      <c r="R44" s="545" t="s">
        <v>277</v>
      </c>
      <c r="S44" s="550" t="s">
        <v>273</v>
      </c>
      <c r="T44" s="241"/>
      <c r="U44" s="536"/>
      <c r="V44" s="333"/>
      <c r="W44" s="170"/>
      <c r="X44" s="170"/>
      <c r="Y44" s="170"/>
      <c r="Z44" s="170"/>
      <c r="AA44" s="170"/>
      <c r="AB44" s="10"/>
      <c r="AC44" s="10"/>
      <c r="AD44" s="10"/>
      <c r="AE44" s="10"/>
      <c r="AF44" s="10"/>
      <c r="AG44" s="10"/>
      <c r="AH44" s="10"/>
      <c r="AI44" s="10"/>
      <c r="AJ44" s="10"/>
      <c r="AK44" s="10"/>
    </row>
    <row r="45" spans="1:37" customFormat="1" ht="78" customHeight="1" thickBot="1">
      <c r="A45" s="773" t="s">
        <v>101</v>
      </c>
      <c r="B45" s="744">
        <f>F45</f>
        <v>31654546.352941178</v>
      </c>
      <c r="C45" s="786">
        <f>0.2*'Intervencijų lėšos (2)'!J3</f>
        <v>26906364.400000002</v>
      </c>
      <c r="D45" s="766" t="s">
        <v>136</v>
      </c>
      <c r="E45" s="744">
        <f>C45/0.85*0.15</f>
        <v>4748181.9529411774</v>
      </c>
      <c r="F45" s="786">
        <f>C45+E45</f>
        <v>31654546.352941178</v>
      </c>
      <c r="G45" s="786">
        <f>F45</f>
        <v>31654546.352941178</v>
      </c>
      <c r="H45" s="139" t="s">
        <v>70</v>
      </c>
      <c r="I45" s="166" t="s">
        <v>80</v>
      </c>
      <c r="J45" s="788" t="s">
        <v>45</v>
      </c>
      <c r="K45" s="790" t="s">
        <v>41</v>
      </c>
      <c r="L45" s="326" t="s">
        <v>81</v>
      </c>
      <c r="M45" s="166"/>
      <c r="N45" s="166" t="s">
        <v>46</v>
      </c>
      <c r="O45" s="323" t="s">
        <v>8</v>
      </c>
      <c r="P45" s="166"/>
      <c r="Q45" s="166" t="s">
        <v>34</v>
      </c>
      <c r="R45" s="546" t="s">
        <v>297</v>
      </c>
      <c r="S45" s="931" t="s">
        <v>298</v>
      </c>
      <c r="T45" s="241"/>
      <c r="U45" s="241"/>
      <c r="V45" s="241"/>
      <c r="W45" s="170"/>
      <c r="X45" s="170"/>
      <c r="Y45" s="170"/>
      <c r="Z45" s="170"/>
      <c r="AA45" s="170"/>
      <c r="AB45" s="10"/>
      <c r="AC45" s="10"/>
      <c r="AD45" s="10"/>
      <c r="AE45" s="10"/>
      <c r="AF45" s="10"/>
      <c r="AG45" s="10"/>
      <c r="AH45" s="10"/>
      <c r="AI45" s="10"/>
      <c r="AJ45" s="10"/>
      <c r="AK45" s="10"/>
    </row>
    <row r="46" spans="1:37" customFormat="1" ht="109.5" customHeight="1" thickBot="1">
      <c r="A46" s="774"/>
      <c r="B46" s="745"/>
      <c r="C46" s="787"/>
      <c r="D46" s="767"/>
      <c r="E46" s="745"/>
      <c r="F46" s="770"/>
      <c r="G46" s="787"/>
      <c r="H46" s="222" t="s">
        <v>50</v>
      </c>
      <c r="I46" s="329" t="s">
        <v>138</v>
      </c>
      <c r="J46" s="789"/>
      <c r="K46" s="791"/>
      <c r="L46" s="329" t="s">
        <v>291</v>
      </c>
      <c r="M46" s="331"/>
      <c r="N46" s="331"/>
      <c r="O46" s="324"/>
      <c r="P46" s="331"/>
      <c r="Q46" s="331" t="s">
        <v>34</v>
      </c>
      <c r="R46" s="546" t="s">
        <v>297</v>
      </c>
      <c r="S46" s="931"/>
      <c r="T46" s="241"/>
      <c r="U46" s="241"/>
      <c r="V46" s="241"/>
      <c r="W46" s="170"/>
      <c r="X46" s="170"/>
      <c r="Y46" s="170"/>
      <c r="Z46" s="170"/>
      <c r="AA46" s="170"/>
      <c r="AB46" s="10"/>
      <c r="AC46" s="10"/>
      <c r="AD46" s="10"/>
      <c r="AE46" s="10"/>
      <c r="AF46" s="10"/>
      <c r="AG46" s="10"/>
      <c r="AH46" s="10"/>
      <c r="AI46" s="10"/>
      <c r="AJ46" s="10"/>
      <c r="AK46" s="10"/>
    </row>
    <row r="47" spans="1:37" customFormat="1" ht="109.5" customHeight="1" thickBot="1">
      <c r="A47" s="774"/>
      <c r="B47" s="745">
        <f>F47</f>
        <v>1505882.3529411764</v>
      </c>
      <c r="C47" s="770">
        <f>0.2*'Intervencijų lėšos (2)'!J4</f>
        <v>1280000</v>
      </c>
      <c r="D47" s="767"/>
      <c r="E47" s="745">
        <f>C47/0.85*0.15</f>
        <v>225882.35294117648</v>
      </c>
      <c r="F47" s="770">
        <f>C47+E47</f>
        <v>1505882.3529411764</v>
      </c>
      <c r="G47" s="770">
        <f>F47</f>
        <v>1505882.3529411764</v>
      </c>
      <c r="H47" s="137" t="s">
        <v>70</v>
      </c>
      <c r="I47" s="331" t="s">
        <v>80</v>
      </c>
      <c r="J47" s="797" t="s">
        <v>82</v>
      </c>
      <c r="K47" s="795" t="s">
        <v>289</v>
      </c>
      <c r="L47" s="150" t="s">
        <v>81</v>
      </c>
      <c r="M47" s="331"/>
      <c r="N47" s="331"/>
      <c r="O47" s="324"/>
      <c r="P47" s="331"/>
      <c r="Q47" s="331" t="s">
        <v>34</v>
      </c>
      <c r="R47" s="546" t="s">
        <v>297</v>
      </c>
      <c r="S47" s="931"/>
      <c r="T47" s="241"/>
      <c r="U47" s="241"/>
      <c r="V47" s="241"/>
      <c r="W47" s="170"/>
      <c r="X47" s="170"/>
      <c r="Y47" s="170"/>
      <c r="Z47" s="170"/>
      <c r="AA47" s="170"/>
      <c r="AB47" s="10"/>
      <c r="AC47" s="10"/>
      <c r="AD47" s="10"/>
      <c r="AE47" s="10"/>
      <c r="AF47" s="10"/>
      <c r="AG47" s="10"/>
      <c r="AH47" s="10"/>
      <c r="AI47" s="10"/>
      <c r="AJ47" s="10"/>
      <c r="AK47" s="10"/>
    </row>
    <row r="48" spans="1:37" customFormat="1" ht="109.5" customHeight="1" thickBot="1">
      <c r="A48" s="775"/>
      <c r="B48" s="769"/>
      <c r="C48" s="772"/>
      <c r="D48" s="768"/>
      <c r="E48" s="769"/>
      <c r="F48" s="772"/>
      <c r="G48" s="771"/>
      <c r="H48" s="178" t="s">
        <v>50</v>
      </c>
      <c r="I48" s="330" t="s">
        <v>138</v>
      </c>
      <c r="J48" s="798"/>
      <c r="K48" s="796"/>
      <c r="L48" s="330" t="s">
        <v>290</v>
      </c>
      <c r="M48" s="168"/>
      <c r="N48" s="168"/>
      <c r="O48" s="325"/>
      <c r="P48" s="168"/>
      <c r="Q48" s="168" t="s">
        <v>34</v>
      </c>
      <c r="R48" s="547" t="s">
        <v>297</v>
      </c>
      <c r="S48" s="931"/>
      <c r="T48" s="241"/>
      <c r="U48" s="241"/>
      <c r="V48" s="241"/>
      <c r="W48" s="170"/>
      <c r="X48" s="170"/>
      <c r="Y48" s="170"/>
      <c r="Z48" s="170"/>
      <c r="AA48" s="170"/>
      <c r="AB48" s="10"/>
      <c r="AC48" s="10"/>
      <c r="AD48" s="10"/>
      <c r="AE48" s="10"/>
      <c r="AF48" s="10"/>
      <c r="AG48" s="10"/>
      <c r="AH48" s="10"/>
      <c r="AI48" s="10"/>
      <c r="AJ48" s="10"/>
      <c r="AK48" s="10"/>
    </row>
    <row r="49" spans="1:18" ht="75">
      <c r="A49" s="826" t="s">
        <v>102</v>
      </c>
      <c r="B49" s="172"/>
      <c r="C49" s="799">
        <v>46197043</v>
      </c>
      <c r="D49" s="828" t="s">
        <v>87</v>
      </c>
      <c r="E49" s="799">
        <v>11549260.699999999</v>
      </c>
      <c r="F49" s="830">
        <f>E49+(E49*0.3/0.7)</f>
        <v>16498943.857142856</v>
      </c>
      <c r="G49" s="831"/>
      <c r="H49" s="271" t="s">
        <v>91</v>
      </c>
      <c r="I49" s="263" t="s">
        <v>97</v>
      </c>
      <c r="J49" s="782" t="s">
        <v>82</v>
      </c>
      <c r="K49" s="777" t="s">
        <v>23</v>
      </c>
      <c r="L49" s="272" t="s">
        <v>98</v>
      </c>
      <c r="M49" s="25" t="s">
        <v>60</v>
      </c>
      <c r="N49" s="266">
        <v>2021</v>
      </c>
      <c r="O49" s="259" t="s">
        <v>8</v>
      </c>
      <c r="P49" s="259" t="s">
        <v>53</v>
      </c>
      <c r="Q49" s="257" t="s">
        <v>52</v>
      </c>
      <c r="R49" s="80"/>
    </row>
    <row r="50" spans="1:18" ht="75">
      <c r="A50" s="826"/>
      <c r="B50" s="172"/>
      <c r="C50" s="800"/>
      <c r="D50" s="829"/>
      <c r="E50" s="800"/>
      <c r="F50" s="807"/>
      <c r="G50" s="832"/>
      <c r="H50" s="116" t="s">
        <v>90</v>
      </c>
      <c r="I50" s="32" t="s">
        <v>99</v>
      </c>
      <c r="J50" s="782"/>
      <c r="K50" s="777"/>
      <c r="L50" s="33" t="s">
        <v>64</v>
      </c>
      <c r="M50" s="76">
        <v>0</v>
      </c>
      <c r="N50" s="76">
        <v>2021</v>
      </c>
      <c r="O50" s="28" t="s">
        <v>8</v>
      </c>
      <c r="P50" s="28" t="s">
        <v>53</v>
      </c>
      <c r="Q50" s="75" t="s">
        <v>52</v>
      </c>
      <c r="R50" s="71"/>
    </row>
    <row r="51" spans="1:18" ht="74.45" customHeight="1">
      <c r="A51" s="826"/>
      <c r="B51" s="172"/>
      <c r="C51" s="800"/>
      <c r="D51" s="829"/>
      <c r="E51" s="800"/>
      <c r="F51" s="807"/>
      <c r="G51" s="832"/>
      <c r="H51" s="914" t="s">
        <v>92</v>
      </c>
      <c r="I51" s="883" t="s">
        <v>94</v>
      </c>
      <c r="J51" s="782"/>
      <c r="K51" s="777"/>
      <c r="L51" s="838" t="s">
        <v>64</v>
      </c>
      <c r="M51" s="767">
        <v>0</v>
      </c>
      <c r="N51" s="841" t="s">
        <v>8</v>
      </c>
      <c r="O51" s="841" t="s">
        <v>53</v>
      </c>
      <c r="P51" s="767" t="s">
        <v>53</v>
      </c>
      <c r="Q51" s="807" t="s">
        <v>52</v>
      </c>
      <c r="R51" s="934"/>
    </row>
    <row r="52" spans="1:18" ht="15.75" thickBot="1">
      <c r="A52" s="826"/>
      <c r="B52" s="172"/>
      <c r="C52" s="800"/>
      <c r="D52" s="829"/>
      <c r="E52" s="800"/>
      <c r="F52" s="807"/>
      <c r="G52" s="832"/>
      <c r="H52" s="915"/>
      <c r="I52" s="840"/>
      <c r="J52" s="783"/>
      <c r="K52" s="778"/>
      <c r="L52" s="839"/>
      <c r="M52" s="840"/>
      <c r="N52" s="842"/>
      <c r="O52" s="842"/>
      <c r="P52" s="840"/>
      <c r="Q52" s="840"/>
      <c r="R52" s="935"/>
    </row>
    <row r="53" spans="1:18" ht="75">
      <c r="A53" s="826"/>
      <c r="B53" s="172"/>
      <c r="C53" s="801"/>
      <c r="D53" s="829" t="s">
        <v>88</v>
      </c>
      <c r="E53" s="800">
        <v>9239408.5999999996</v>
      </c>
      <c r="F53" s="807">
        <f>E53+(E53*0.3/0.7)</f>
        <v>13199155.142857142</v>
      </c>
      <c r="G53" s="832"/>
      <c r="H53" s="115" t="s">
        <v>90</v>
      </c>
      <c r="I53" s="30" t="s">
        <v>99</v>
      </c>
      <c r="J53" s="781" t="s">
        <v>82</v>
      </c>
      <c r="K53" s="776" t="s">
        <v>23</v>
      </c>
      <c r="L53" s="31" t="s">
        <v>64</v>
      </c>
      <c r="M53" s="73">
        <v>0</v>
      </c>
      <c r="N53" s="73">
        <v>2021</v>
      </c>
      <c r="O53" s="98" t="s">
        <v>8</v>
      </c>
      <c r="P53" s="98" t="s">
        <v>53</v>
      </c>
      <c r="Q53" s="74" t="s">
        <v>52</v>
      </c>
      <c r="R53" s="70"/>
    </row>
    <row r="54" spans="1:18" ht="75">
      <c r="A54" s="826"/>
      <c r="B54" s="172"/>
      <c r="C54" s="801"/>
      <c r="D54" s="829"/>
      <c r="E54" s="800"/>
      <c r="F54" s="807"/>
      <c r="G54" s="832"/>
      <c r="H54" s="116" t="s">
        <v>91</v>
      </c>
      <c r="I54" s="32" t="s">
        <v>97</v>
      </c>
      <c r="J54" s="782"/>
      <c r="K54" s="777"/>
      <c r="L54" s="97" t="s">
        <v>98</v>
      </c>
      <c r="M54" s="94" t="s">
        <v>60</v>
      </c>
      <c r="N54" s="76">
        <v>2021</v>
      </c>
      <c r="O54" s="28" t="s">
        <v>8</v>
      </c>
      <c r="P54" s="28" t="s">
        <v>53</v>
      </c>
      <c r="Q54" s="75" t="s">
        <v>52</v>
      </c>
      <c r="R54" s="71"/>
    </row>
    <row r="55" spans="1:18" ht="51.95" customHeight="1" thickBot="1">
      <c r="A55" s="826"/>
      <c r="B55" s="172"/>
      <c r="C55" s="801"/>
      <c r="D55" s="829"/>
      <c r="E55" s="800"/>
      <c r="F55" s="807"/>
      <c r="G55" s="832"/>
      <c r="H55" s="117" t="s">
        <v>92</v>
      </c>
      <c r="I55" s="43" t="s">
        <v>94</v>
      </c>
      <c r="J55" s="782"/>
      <c r="K55" s="777"/>
      <c r="L55" s="41" t="s">
        <v>64</v>
      </c>
      <c r="M55" s="76">
        <v>0</v>
      </c>
      <c r="N55" s="76">
        <v>2021</v>
      </c>
      <c r="O55" s="28" t="s">
        <v>53</v>
      </c>
      <c r="P55" s="26" t="s">
        <v>53</v>
      </c>
      <c r="Q55" s="75" t="s">
        <v>52</v>
      </c>
      <c r="R55" s="71"/>
    </row>
    <row r="56" spans="1:18" ht="45.75" thickBot="1">
      <c r="A56" s="826"/>
      <c r="B56" s="172"/>
      <c r="C56" s="801"/>
      <c r="D56" s="829"/>
      <c r="E56" s="800"/>
      <c r="F56" s="807"/>
      <c r="G56" s="832"/>
      <c r="H56" s="118" t="s">
        <v>70</v>
      </c>
      <c r="I56" s="44" t="s">
        <v>80</v>
      </c>
      <c r="J56" s="783"/>
      <c r="K56" s="778"/>
      <c r="L56" s="44" t="s">
        <v>81</v>
      </c>
      <c r="M56" s="128" t="s">
        <v>53</v>
      </c>
      <c r="N56" s="20">
        <v>2021</v>
      </c>
      <c r="O56" s="18" t="s">
        <v>8</v>
      </c>
      <c r="P56" s="18" t="s">
        <v>53</v>
      </c>
      <c r="Q56" s="72" t="s">
        <v>52</v>
      </c>
      <c r="R56" s="82"/>
    </row>
    <row r="57" spans="1:18" ht="75">
      <c r="A57" s="826"/>
      <c r="B57" s="172"/>
      <c r="C57" s="802"/>
      <c r="D57" s="829" t="s">
        <v>89</v>
      </c>
      <c r="E57" s="800">
        <v>11549260.699999999</v>
      </c>
      <c r="F57" s="807">
        <f>E57+(E57*0.3/0.7)</f>
        <v>16498943.857142856</v>
      </c>
      <c r="G57" s="835"/>
      <c r="H57" s="104" t="s">
        <v>91</v>
      </c>
      <c r="I57" s="105" t="s">
        <v>97</v>
      </c>
      <c r="J57" s="781" t="s">
        <v>82</v>
      </c>
      <c r="K57" s="776" t="s">
        <v>23</v>
      </c>
      <c r="L57" s="45" t="s">
        <v>98</v>
      </c>
      <c r="M57" s="93" t="s">
        <v>60</v>
      </c>
      <c r="N57" s="73">
        <v>2021</v>
      </c>
      <c r="O57" s="98" t="s">
        <v>8</v>
      </c>
      <c r="P57" s="98" t="s">
        <v>53</v>
      </c>
      <c r="Q57" s="74" t="s">
        <v>52</v>
      </c>
      <c r="R57" s="70"/>
    </row>
    <row r="58" spans="1:18" ht="75">
      <c r="A58" s="826"/>
      <c r="B58" s="172"/>
      <c r="C58" s="803"/>
      <c r="D58" s="829"/>
      <c r="E58" s="800"/>
      <c r="F58" s="807"/>
      <c r="G58" s="836"/>
      <c r="H58" s="102" t="s">
        <v>90</v>
      </c>
      <c r="I58" s="43" t="s">
        <v>99</v>
      </c>
      <c r="J58" s="782"/>
      <c r="K58" s="777"/>
      <c r="L58" s="41" t="s">
        <v>64</v>
      </c>
      <c r="M58" s="76">
        <v>0</v>
      </c>
      <c r="N58" s="76">
        <v>2021</v>
      </c>
      <c r="O58" s="28" t="s">
        <v>8</v>
      </c>
      <c r="P58" s="28" t="s">
        <v>53</v>
      </c>
      <c r="Q58" s="75" t="s">
        <v>52</v>
      </c>
      <c r="R58" s="71"/>
    </row>
    <row r="59" spans="1:18" ht="105.75" thickBot="1">
      <c r="A59" s="826"/>
      <c r="B59" s="172"/>
      <c r="C59" s="803"/>
      <c r="D59" s="829"/>
      <c r="E59" s="800"/>
      <c r="F59" s="807"/>
      <c r="G59" s="836"/>
      <c r="H59" s="102" t="s">
        <v>92</v>
      </c>
      <c r="I59" s="43" t="s">
        <v>94</v>
      </c>
      <c r="J59" s="782"/>
      <c r="K59" s="777"/>
      <c r="L59" s="41" t="s">
        <v>64</v>
      </c>
      <c r="M59" s="42">
        <v>0</v>
      </c>
      <c r="N59" s="76">
        <v>2021</v>
      </c>
      <c r="O59" s="28" t="s">
        <v>53</v>
      </c>
      <c r="P59" s="26" t="s">
        <v>53</v>
      </c>
      <c r="Q59" s="75" t="s">
        <v>52</v>
      </c>
      <c r="R59" s="71"/>
    </row>
    <row r="60" spans="1:18" ht="45.75" thickBot="1">
      <c r="A60" s="826"/>
      <c r="B60" s="172"/>
      <c r="C60" s="803"/>
      <c r="D60" s="833"/>
      <c r="E60" s="834"/>
      <c r="F60" s="820"/>
      <c r="G60" s="837"/>
      <c r="H60" s="103" t="s">
        <v>70</v>
      </c>
      <c r="I60" s="44" t="s">
        <v>80</v>
      </c>
      <c r="J60" s="783"/>
      <c r="K60" s="778"/>
      <c r="L60" s="44" t="s">
        <v>81</v>
      </c>
      <c r="M60" s="128" t="s">
        <v>53</v>
      </c>
      <c r="N60" s="20">
        <v>2021</v>
      </c>
      <c r="O60" s="18" t="s">
        <v>8</v>
      </c>
      <c r="P60" s="18" t="s">
        <v>53</v>
      </c>
      <c r="Q60" s="72" t="s">
        <v>52</v>
      </c>
      <c r="R60" s="82"/>
    </row>
    <row r="61" spans="1:18" ht="83.25" customHeight="1">
      <c r="A61" s="826"/>
      <c r="B61" s="172"/>
      <c r="C61" s="802"/>
      <c r="D61" s="805" t="s">
        <v>58</v>
      </c>
      <c r="E61" s="806">
        <v>13859112.9</v>
      </c>
      <c r="F61" s="807">
        <f>E61+(E61*0.3/0.7)</f>
        <v>19798732.714285716</v>
      </c>
      <c r="G61" s="808"/>
      <c r="H61" s="119" t="s">
        <v>91</v>
      </c>
      <c r="I61" s="105" t="s">
        <v>97</v>
      </c>
      <c r="J61" s="781" t="s">
        <v>82</v>
      </c>
      <c r="K61" s="776" t="s">
        <v>23</v>
      </c>
      <c r="L61" s="45" t="s">
        <v>98</v>
      </c>
      <c r="M61" s="93" t="s">
        <v>60</v>
      </c>
      <c r="N61" s="73">
        <v>2021</v>
      </c>
      <c r="O61" s="98" t="s">
        <v>8</v>
      </c>
      <c r="P61" s="98" t="s">
        <v>53</v>
      </c>
      <c r="Q61" s="74" t="s">
        <v>52</v>
      </c>
      <c r="R61" s="70"/>
    </row>
    <row r="62" spans="1:18" ht="71.45" customHeight="1">
      <c r="A62" s="826"/>
      <c r="B62" s="172"/>
      <c r="C62" s="803"/>
      <c r="D62" s="805"/>
      <c r="E62" s="806"/>
      <c r="F62" s="807"/>
      <c r="G62" s="808"/>
      <c r="H62" s="117" t="s">
        <v>90</v>
      </c>
      <c r="I62" s="43" t="s">
        <v>99</v>
      </c>
      <c r="J62" s="782"/>
      <c r="K62" s="777"/>
      <c r="L62" s="41" t="s">
        <v>64</v>
      </c>
      <c r="M62" s="76">
        <v>0</v>
      </c>
      <c r="N62" s="76">
        <v>2021</v>
      </c>
      <c r="O62" s="28" t="s">
        <v>8</v>
      </c>
      <c r="P62" s="28" t="s">
        <v>53</v>
      </c>
      <c r="Q62" s="75" t="s">
        <v>52</v>
      </c>
      <c r="R62" s="106"/>
    </row>
    <row r="63" spans="1:18" ht="71.45" customHeight="1" thickBot="1">
      <c r="A63" s="826"/>
      <c r="B63" s="172"/>
      <c r="C63" s="803"/>
      <c r="D63" s="767"/>
      <c r="E63" s="767"/>
      <c r="F63" s="767"/>
      <c r="G63" s="767"/>
      <c r="H63" s="117" t="s">
        <v>92</v>
      </c>
      <c r="I63" s="43" t="s">
        <v>94</v>
      </c>
      <c r="J63" s="782"/>
      <c r="K63" s="777"/>
      <c r="L63" s="41" t="s">
        <v>64</v>
      </c>
      <c r="M63" s="42">
        <v>0</v>
      </c>
      <c r="N63" s="76">
        <v>2021</v>
      </c>
      <c r="O63" s="28" t="s">
        <v>53</v>
      </c>
      <c r="P63" s="26" t="s">
        <v>53</v>
      </c>
      <c r="Q63" s="75" t="s">
        <v>52</v>
      </c>
      <c r="R63" s="47"/>
    </row>
    <row r="64" spans="1:18" ht="71.45" customHeight="1" thickBot="1">
      <c r="A64" s="827"/>
      <c r="B64" s="175"/>
      <c r="C64" s="819"/>
      <c r="D64" s="767"/>
      <c r="E64" s="767"/>
      <c r="F64" s="767"/>
      <c r="G64" s="767"/>
      <c r="H64" s="118" t="s">
        <v>70</v>
      </c>
      <c r="I64" s="44" t="s">
        <v>80</v>
      </c>
      <c r="J64" s="783"/>
      <c r="K64" s="778"/>
      <c r="L64" s="107" t="s">
        <v>81</v>
      </c>
      <c r="M64" s="128" t="s">
        <v>53</v>
      </c>
      <c r="N64" s="46">
        <v>2021</v>
      </c>
      <c r="O64" s="18" t="s">
        <v>8</v>
      </c>
      <c r="P64" s="18" t="s">
        <v>53</v>
      </c>
      <c r="Q64" s="72" t="s">
        <v>52</v>
      </c>
      <c r="R64" s="108"/>
    </row>
    <row r="65" spans="1:18" ht="60" customHeight="1">
      <c r="A65" s="809" t="s">
        <v>112</v>
      </c>
      <c r="B65" s="160"/>
      <c r="C65" s="811">
        <v>51971673.399999999</v>
      </c>
      <c r="D65" s="813" t="s">
        <v>74</v>
      </c>
      <c r="E65" s="811">
        <v>51971673.399999999</v>
      </c>
      <c r="F65" s="815">
        <f>E65+(E65*0.3/0.7)</f>
        <v>74245247.714285716</v>
      </c>
      <c r="G65" s="817"/>
      <c r="H65" s="109" t="s">
        <v>59</v>
      </c>
      <c r="I65" s="110" t="s">
        <v>75</v>
      </c>
      <c r="J65" s="932" t="s">
        <v>43</v>
      </c>
      <c r="K65" s="779" t="s">
        <v>16</v>
      </c>
      <c r="L65" s="111" t="s">
        <v>22</v>
      </c>
      <c r="M65" s="112">
        <v>0</v>
      </c>
      <c r="N65" s="112">
        <v>2021</v>
      </c>
      <c r="O65" s="112"/>
      <c r="P65" s="112"/>
      <c r="Q65" s="74" t="s">
        <v>52</v>
      </c>
      <c r="R65" s="113"/>
    </row>
    <row r="66" spans="1:18" ht="79.5" customHeight="1" thickBot="1">
      <c r="A66" s="810"/>
      <c r="B66" s="176"/>
      <c r="C66" s="812"/>
      <c r="D66" s="814"/>
      <c r="E66" s="812"/>
      <c r="F66" s="816"/>
      <c r="G66" s="818"/>
      <c r="H66" s="114" t="s">
        <v>59</v>
      </c>
      <c r="I66" s="51" t="s">
        <v>76</v>
      </c>
      <c r="J66" s="933"/>
      <c r="K66" s="780"/>
      <c r="L66" s="52" t="s">
        <v>77</v>
      </c>
      <c r="M66" s="50">
        <v>0</v>
      </c>
      <c r="N66" s="50">
        <v>2021</v>
      </c>
      <c r="O66" s="50"/>
      <c r="P66" s="50"/>
      <c r="Q66" s="81" t="s">
        <v>52</v>
      </c>
      <c r="R66" s="53"/>
    </row>
    <row r="67" spans="1:18">
      <c r="C67" s="201">
        <f>C41+C45</f>
        <v>134531822</v>
      </c>
      <c r="D67" s="84"/>
      <c r="E67" s="85"/>
      <c r="F67" s="86"/>
      <c r="G67" s="86"/>
      <c r="H67" s="54"/>
      <c r="I67" s="55"/>
      <c r="J67" s="55"/>
      <c r="K67" s="54"/>
      <c r="L67" s="87"/>
      <c r="P67" s="16"/>
    </row>
    <row r="68" spans="1:18">
      <c r="C68" s="201">
        <f>C41+C45</f>
        <v>134531822</v>
      </c>
      <c r="D68" s="84"/>
      <c r="E68" s="85"/>
      <c r="F68" s="86"/>
      <c r="G68" s="86"/>
      <c r="H68" s="54"/>
      <c r="I68" s="55"/>
      <c r="J68" s="55"/>
      <c r="K68" s="54"/>
    </row>
    <row r="69" spans="1:18">
      <c r="C69" s="201"/>
      <c r="D69" s="84"/>
      <c r="E69" s="85"/>
      <c r="F69" s="86"/>
      <c r="G69" s="86"/>
      <c r="H69" s="54"/>
      <c r="I69" s="55"/>
      <c r="J69" s="55"/>
      <c r="K69" s="54"/>
    </row>
    <row r="70" spans="1:18">
      <c r="A70" s="804"/>
      <c r="B70" s="88"/>
      <c r="C70" s="83"/>
      <c r="D70" s="84"/>
      <c r="E70" s="85"/>
      <c r="F70" s="86"/>
      <c r="G70" s="86"/>
      <c r="H70" s="54"/>
      <c r="I70" s="55"/>
      <c r="J70" s="55"/>
      <c r="K70" s="54"/>
    </row>
    <row r="71" spans="1:18">
      <c r="A71" s="804"/>
      <c r="B71" s="88"/>
      <c r="C71" s="83"/>
      <c r="D71" s="84"/>
      <c r="E71" s="85"/>
      <c r="F71" s="86"/>
      <c r="G71" s="86"/>
      <c r="H71" s="54"/>
      <c r="I71" s="55"/>
      <c r="J71" s="55"/>
      <c r="K71" s="54"/>
    </row>
    <row r="72" spans="1:18">
      <c r="A72" s="804"/>
      <c r="C72" s="83"/>
      <c r="D72" s="84"/>
      <c r="E72" s="85"/>
      <c r="F72" s="86"/>
      <c r="G72" s="86"/>
      <c r="H72" s="54"/>
      <c r="I72" s="55"/>
      <c r="J72" s="55"/>
      <c r="K72" s="54"/>
    </row>
    <row r="73" spans="1:18">
      <c r="A73" s="89"/>
      <c r="C73" s="83"/>
      <c r="D73" s="84"/>
      <c r="E73" s="85"/>
      <c r="F73" s="86"/>
      <c r="G73" s="86"/>
      <c r="H73" s="54"/>
      <c r="I73" s="55"/>
      <c r="J73" s="55"/>
      <c r="K73" s="54"/>
    </row>
    <row r="74" spans="1:18">
      <c r="A74" s="89"/>
      <c r="C74" s="83"/>
      <c r="D74" s="84"/>
      <c r="E74" s="85"/>
      <c r="F74" s="86"/>
      <c r="G74" s="86"/>
      <c r="H74" s="54"/>
      <c r="I74" s="55"/>
      <c r="J74" s="55"/>
      <c r="K74" s="54"/>
    </row>
    <row r="75" spans="1:18">
      <c r="C75" s="83"/>
      <c r="D75" s="84"/>
      <c r="E75" s="85"/>
      <c r="F75" s="86"/>
      <c r="G75" s="86"/>
      <c r="H75" s="54"/>
      <c r="I75" s="55"/>
      <c r="J75" s="55"/>
      <c r="K75" s="54"/>
    </row>
    <row r="76" spans="1:18">
      <c r="C76" s="83"/>
      <c r="D76" s="84"/>
      <c r="E76" s="85"/>
      <c r="F76" s="86"/>
      <c r="G76" s="86"/>
      <c r="H76" s="54"/>
      <c r="I76" s="55"/>
      <c r="J76" s="55"/>
      <c r="K76" s="54"/>
    </row>
    <row r="77" spans="1:18">
      <c r="A77" s="90"/>
      <c r="B77" s="91"/>
      <c r="C77" s="83"/>
      <c r="D77" s="84"/>
      <c r="E77" s="85"/>
      <c r="F77" s="86"/>
      <c r="G77" s="86"/>
      <c r="H77" s="54"/>
      <c r="I77" s="55"/>
      <c r="J77" s="55"/>
      <c r="K77" s="54"/>
    </row>
    <row r="78" spans="1:18" ht="45">
      <c r="A78" s="15" t="s">
        <v>5</v>
      </c>
      <c r="B78" s="29" t="s">
        <v>6</v>
      </c>
      <c r="C78" s="15" t="s">
        <v>1</v>
      </c>
      <c r="D78" s="15" t="s">
        <v>9</v>
      </c>
      <c r="E78" s="15" t="s">
        <v>15</v>
      </c>
      <c r="F78" s="15" t="s">
        <v>14</v>
      </c>
      <c r="G78" s="15" t="s">
        <v>10</v>
      </c>
      <c r="H78" s="15" t="s">
        <v>2</v>
      </c>
      <c r="I78" s="15" t="s">
        <v>3</v>
      </c>
      <c r="J78" s="55"/>
      <c r="K78" s="54"/>
    </row>
    <row r="79" spans="1:18" ht="60">
      <c r="A79" s="15" t="s">
        <v>55</v>
      </c>
      <c r="B79" s="29" t="s">
        <v>56</v>
      </c>
      <c r="C79" s="15" t="s">
        <v>78</v>
      </c>
      <c r="D79" s="56">
        <v>0</v>
      </c>
      <c r="E79" s="57" t="s">
        <v>48</v>
      </c>
      <c r="F79" s="15" t="s">
        <v>23</v>
      </c>
      <c r="G79" s="57">
        <v>2021</v>
      </c>
      <c r="H79" s="15"/>
      <c r="I79" s="15"/>
      <c r="J79" s="55"/>
      <c r="K79" s="54"/>
    </row>
    <row r="80" spans="1:18" ht="60">
      <c r="A80" s="14" t="s">
        <v>65</v>
      </c>
      <c r="B80" s="58" t="s">
        <v>63</v>
      </c>
      <c r="C80" s="24" t="s">
        <v>64</v>
      </c>
      <c r="D80" s="56">
        <v>0</v>
      </c>
      <c r="E80" s="57" t="s">
        <v>48</v>
      </c>
      <c r="F80" s="59" t="s">
        <v>23</v>
      </c>
      <c r="G80" s="57">
        <v>2021</v>
      </c>
      <c r="H80" s="59"/>
      <c r="I80" s="59"/>
      <c r="J80" s="16"/>
      <c r="K80" s="16"/>
    </row>
    <row r="81" spans="1:15" ht="75">
      <c r="A81" s="14" t="s">
        <v>62</v>
      </c>
      <c r="B81" s="58" t="s">
        <v>72</v>
      </c>
      <c r="C81" s="24" t="s">
        <v>54</v>
      </c>
      <c r="D81" s="57">
        <v>0</v>
      </c>
      <c r="E81" s="57" t="s">
        <v>48</v>
      </c>
      <c r="F81" s="57" t="s">
        <v>23</v>
      </c>
      <c r="G81" s="59">
        <v>2021</v>
      </c>
      <c r="H81" s="59"/>
      <c r="I81" s="59"/>
      <c r="J81" s="92"/>
      <c r="K81" s="16"/>
    </row>
    <row r="82" spans="1:15" ht="30">
      <c r="A82" s="14" t="s">
        <v>66</v>
      </c>
      <c r="B82" s="58" t="s">
        <v>73</v>
      </c>
      <c r="C82" s="24" t="s">
        <v>64</v>
      </c>
      <c r="D82" s="57">
        <v>0</v>
      </c>
      <c r="E82" s="57" t="s">
        <v>48</v>
      </c>
      <c r="F82" s="57" t="s">
        <v>23</v>
      </c>
      <c r="G82" s="59">
        <v>2021</v>
      </c>
      <c r="H82" s="59"/>
      <c r="I82" s="59"/>
      <c r="J82" s="92"/>
      <c r="K82" s="92"/>
    </row>
    <row r="83" spans="1:15" ht="45">
      <c r="A83" s="17" t="s">
        <v>67</v>
      </c>
      <c r="B83" s="60" t="s">
        <v>68</v>
      </c>
      <c r="C83" s="37" t="s">
        <v>68</v>
      </c>
      <c r="D83" s="61">
        <v>0</v>
      </c>
      <c r="E83" s="61" t="s">
        <v>48</v>
      </c>
      <c r="F83" s="61" t="s">
        <v>23</v>
      </c>
      <c r="G83" s="62">
        <v>2021</v>
      </c>
      <c r="H83" s="27" t="s">
        <v>60</v>
      </c>
      <c r="I83" s="62"/>
      <c r="J83" s="92"/>
      <c r="K83" s="16"/>
      <c r="N83" s="13"/>
      <c r="O83" s="13"/>
    </row>
    <row r="84" spans="1:15" ht="45">
      <c r="A84" s="48" t="s">
        <v>59</v>
      </c>
      <c r="B84" s="63" t="s">
        <v>75</v>
      </c>
      <c r="C84" s="64" t="s">
        <v>22</v>
      </c>
      <c r="D84" s="65">
        <v>0</v>
      </c>
      <c r="E84" s="49" t="s">
        <v>57</v>
      </c>
      <c r="F84" s="66" t="s">
        <v>16</v>
      </c>
      <c r="G84" s="8">
        <v>2021</v>
      </c>
      <c r="H84" s="48"/>
      <c r="I84" s="48"/>
      <c r="J84" s="92"/>
      <c r="K84" s="16"/>
      <c r="N84" s="13"/>
      <c r="O84" s="13"/>
    </row>
    <row r="85" spans="1:15" ht="45">
      <c r="A85" s="48" t="s">
        <v>59</v>
      </c>
      <c r="B85" s="63" t="s">
        <v>76</v>
      </c>
      <c r="C85" s="64" t="s">
        <v>77</v>
      </c>
      <c r="D85" s="8">
        <v>0</v>
      </c>
      <c r="E85" s="8" t="s">
        <v>57</v>
      </c>
      <c r="F85" s="48" t="s">
        <v>16</v>
      </c>
      <c r="G85" s="48">
        <v>2021</v>
      </c>
      <c r="H85" s="49"/>
      <c r="I85" s="67"/>
      <c r="J85" s="92"/>
      <c r="K85" s="16"/>
      <c r="N85" s="13"/>
      <c r="O85" s="13"/>
    </row>
    <row r="86" spans="1:15" ht="60">
      <c r="A86" s="251" t="s">
        <v>70</v>
      </c>
      <c r="B86" s="249" t="s">
        <v>56</v>
      </c>
      <c r="C86" s="250" t="s">
        <v>78</v>
      </c>
      <c r="D86" s="334">
        <f>M42+M45</f>
        <v>5.9305499999999997E-3</v>
      </c>
      <c r="E86" s="273" t="s">
        <v>57</v>
      </c>
      <c r="F86" s="265" t="s">
        <v>41</v>
      </c>
      <c r="G86" s="267">
        <v>2021</v>
      </c>
      <c r="H86" s="265" t="s">
        <v>8</v>
      </c>
      <c r="I86" s="278">
        <f>P42+P45</f>
        <v>0.12559204999999998</v>
      </c>
      <c r="J86" s="767" t="s">
        <v>35</v>
      </c>
      <c r="K86" s="16"/>
      <c r="N86" s="13"/>
      <c r="O86" s="13"/>
    </row>
    <row r="87" spans="1:15" ht="60">
      <c r="A87" s="251" t="s">
        <v>70</v>
      </c>
      <c r="B87" s="252" t="s">
        <v>56</v>
      </c>
      <c r="C87" s="253" t="s">
        <v>78</v>
      </c>
      <c r="D87" s="334">
        <f>M44+M47</f>
        <v>2.7944999999999999E-4</v>
      </c>
      <c r="E87" s="273" t="s">
        <v>48</v>
      </c>
      <c r="F87" s="265" t="s">
        <v>23</v>
      </c>
      <c r="G87" s="267">
        <v>2021</v>
      </c>
      <c r="H87" s="265" t="s">
        <v>8</v>
      </c>
      <c r="I87" s="278">
        <f>P44+P47</f>
        <v>5.9179499999999991E-3</v>
      </c>
      <c r="J87" s="767"/>
      <c r="K87" s="16"/>
      <c r="N87" s="13"/>
      <c r="O87" s="13"/>
    </row>
    <row r="88" spans="1:15" ht="60">
      <c r="A88" s="251" t="s">
        <v>137</v>
      </c>
      <c r="B88" s="264" t="s">
        <v>176</v>
      </c>
      <c r="C88" s="264" t="s">
        <v>177</v>
      </c>
      <c r="D88" s="262" t="s">
        <v>8</v>
      </c>
      <c r="E88" s="265" t="s">
        <v>48</v>
      </c>
      <c r="F88" s="265" t="s">
        <v>41</v>
      </c>
      <c r="G88" s="267">
        <v>2021</v>
      </c>
      <c r="H88" s="248">
        <f>O41</f>
        <v>158.2727317647059</v>
      </c>
      <c r="I88" s="248">
        <f>P41</f>
        <v>1582.727317647059</v>
      </c>
      <c r="J88" s="767"/>
      <c r="K88" s="16"/>
      <c r="N88" s="13"/>
      <c r="O88" s="13"/>
    </row>
    <row r="89" spans="1:15" ht="60">
      <c r="A89" s="251" t="s">
        <v>137</v>
      </c>
      <c r="B89" s="258" t="s">
        <v>176</v>
      </c>
      <c r="C89" s="258" t="s">
        <v>177</v>
      </c>
      <c r="D89" s="262" t="s">
        <v>8</v>
      </c>
      <c r="E89" s="265" t="s">
        <v>48</v>
      </c>
      <c r="F89" s="265" t="s">
        <v>23</v>
      </c>
      <c r="G89" s="267">
        <v>2021</v>
      </c>
      <c r="H89" s="248">
        <f>O43</f>
        <v>7.5294117647058831</v>
      </c>
      <c r="I89" s="248">
        <f>P43</f>
        <v>75.294117647058826</v>
      </c>
      <c r="J89" s="767"/>
      <c r="K89" s="16"/>
      <c r="N89" s="13"/>
      <c r="O89" s="13"/>
    </row>
    <row r="90" spans="1:15" ht="90">
      <c r="A90" s="251" t="s">
        <v>50</v>
      </c>
      <c r="B90" s="261" t="s">
        <v>138</v>
      </c>
      <c r="C90" s="260" t="s">
        <v>139</v>
      </c>
      <c r="D90" s="262" t="s">
        <v>8</v>
      </c>
      <c r="E90" s="265" t="s">
        <v>48</v>
      </c>
      <c r="F90" s="265" t="s">
        <v>23</v>
      </c>
      <c r="G90" s="267">
        <v>2021</v>
      </c>
      <c r="H90" s="262" t="str">
        <f>O45</f>
        <v>n/a</v>
      </c>
      <c r="I90" s="248">
        <f>P46</f>
        <v>0</v>
      </c>
      <c r="J90" s="767"/>
      <c r="K90" s="16"/>
      <c r="N90" s="13"/>
      <c r="O90" s="13"/>
    </row>
    <row r="91" spans="1:15" ht="90">
      <c r="A91" s="251" t="s">
        <v>50</v>
      </c>
      <c r="B91" s="230" t="s">
        <v>138</v>
      </c>
      <c r="C91" s="232" t="s">
        <v>139</v>
      </c>
      <c r="D91" s="262" t="s">
        <v>8</v>
      </c>
      <c r="E91" s="265" t="s">
        <v>48</v>
      </c>
      <c r="F91" s="265" t="s">
        <v>23</v>
      </c>
      <c r="G91" s="267">
        <v>2021</v>
      </c>
      <c r="H91" s="262">
        <f>O46</f>
        <v>0</v>
      </c>
      <c r="I91" s="248">
        <f>P48</f>
        <v>0</v>
      </c>
      <c r="J91" s="767"/>
      <c r="K91" s="16"/>
      <c r="N91" s="13"/>
      <c r="O91" s="13"/>
    </row>
    <row r="92" spans="1:15">
      <c r="A92" s="16"/>
      <c r="B92" s="246"/>
      <c r="C92" s="245"/>
      <c r="D92" s="274"/>
      <c r="E92" s="275"/>
      <c r="F92" s="275"/>
      <c r="G92" s="276"/>
      <c r="H92" s="277"/>
      <c r="I92" s="277"/>
      <c r="J92" s="16"/>
      <c r="K92" s="16"/>
      <c r="N92" s="13"/>
      <c r="O92" s="13"/>
    </row>
    <row r="93" spans="1:15">
      <c r="A93" s="16"/>
      <c r="B93" s="246"/>
      <c r="C93" s="245"/>
      <c r="D93" s="274"/>
      <c r="E93" s="275"/>
      <c r="F93" s="275"/>
      <c r="G93" s="276"/>
      <c r="H93" s="277"/>
      <c r="I93" s="277"/>
      <c r="J93" s="16"/>
      <c r="K93" s="16"/>
      <c r="N93" s="13"/>
      <c r="O93" s="13"/>
    </row>
    <row r="94" spans="1:15">
      <c r="A94" s="16"/>
      <c r="B94" s="246"/>
      <c r="C94" s="243"/>
      <c r="D94" s="11"/>
      <c r="E94" s="247"/>
      <c r="F94" s="239"/>
      <c r="G94" s="244"/>
      <c r="H94" s="12"/>
      <c r="I94" s="12"/>
      <c r="J94" s="16"/>
      <c r="K94" s="16"/>
      <c r="N94" s="13"/>
      <c r="O94" s="13"/>
    </row>
    <row r="95" spans="1:15">
      <c r="A95" s="16"/>
      <c r="B95" s="246"/>
      <c r="C95" s="243"/>
      <c r="D95" s="11"/>
      <c r="E95" s="247"/>
      <c r="F95" s="239"/>
      <c r="G95" s="244"/>
      <c r="H95" s="12"/>
      <c r="I95" s="12"/>
      <c r="J95" s="16"/>
      <c r="K95" s="16"/>
      <c r="N95" s="13"/>
      <c r="O95" s="13"/>
    </row>
    <row r="96" spans="1:15">
      <c r="A96" s="16"/>
      <c r="B96" s="246"/>
      <c r="C96" s="243"/>
      <c r="D96" s="11"/>
      <c r="E96" s="247"/>
      <c r="F96" s="239"/>
      <c r="G96" s="244"/>
      <c r="H96" s="12"/>
      <c r="I96" s="12"/>
      <c r="J96" s="16"/>
      <c r="K96" s="16"/>
      <c r="N96" s="13"/>
      <c r="O96" s="13"/>
    </row>
    <row r="97" spans="1:15">
      <c r="A97" s="16"/>
      <c r="B97" s="246"/>
      <c r="C97" s="121"/>
      <c r="D97" s="11"/>
      <c r="E97" s="247"/>
      <c r="F97" s="239"/>
      <c r="G97" s="244"/>
      <c r="H97" s="12"/>
      <c r="I97" s="12"/>
      <c r="J97" s="16"/>
      <c r="K97" s="16"/>
      <c r="N97" s="13"/>
      <c r="O97" s="13"/>
    </row>
    <row r="98" spans="1:15">
      <c r="A98" s="16"/>
      <c r="B98" s="246"/>
      <c r="C98" s="244"/>
      <c r="D98" s="244"/>
      <c r="E98" s="244"/>
      <c r="F98" s="244"/>
      <c r="G98" s="244"/>
      <c r="H98" s="244"/>
      <c r="I98" s="244"/>
      <c r="J98" s="16"/>
      <c r="K98" s="16"/>
      <c r="N98" s="13"/>
      <c r="O98" s="13"/>
    </row>
    <row r="99" spans="1:15">
      <c r="A99" s="16"/>
      <c r="B99" s="246"/>
      <c r="C99" s="244"/>
      <c r="D99" s="244"/>
      <c r="E99" s="244"/>
      <c r="F99" s="244"/>
      <c r="G99" s="244"/>
      <c r="H99" s="244"/>
      <c r="I99" s="244"/>
      <c r="J99" s="16"/>
      <c r="K99" s="16"/>
      <c r="N99" s="13"/>
      <c r="O99" s="13"/>
    </row>
    <row r="100" spans="1:15">
      <c r="A100" s="16"/>
      <c r="B100" s="88"/>
      <c r="C100" s="90"/>
      <c r="D100" s="90"/>
      <c r="E100" s="90"/>
      <c r="F100" s="90"/>
      <c r="G100" s="90"/>
      <c r="H100" s="90"/>
      <c r="I100" s="90"/>
      <c r="J100" s="16"/>
      <c r="K100" s="16"/>
      <c r="N100" s="13"/>
      <c r="O100" s="13"/>
    </row>
    <row r="101" spans="1:15">
      <c r="A101" s="16"/>
      <c r="B101" s="88"/>
      <c r="C101" s="16"/>
      <c r="D101" s="16"/>
      <c r="E101" s="16"/>
      <c r="F101" s="16"/>
      <c r="G101" s="16"/>
      <c r="H101" s="16"/>
      <c r="I101" s="16"/>
      <c r="J101" s="16"/>
      <c r="K101" s="16"/>
      <c r="N101" s="13"/>
      <c r="O101" s="13"/>
    </row>
    <row r="102" spans="1:15">
      <c r="A102" s="16"/>
      <c r="B102" s="88"/>
      <c r="C102" s="16"/>
      <c r="D102" s="16"/>
      <c r="E102" s="16"/>
      <c r="F102" s="16"/>
      <c r="G102" s="16"/>
      <c r="H102" s="16"/>
      <c r="I102" s="16"/>
      <c r="J102" s="16"/>
      <c r="K102" s="16"/>
      <c r="N102" s="13"/>
      <c r="O102" s="13"/>
    </row>
    <row r="103" spans="1:15">
      <c r="A103" s="16"/>
      <c r="B103" s="88"/>
      <c r="C103" s="92"/>
      <c r="D103" s="16"/>
      <c r="E103" s="16"/>
      <c r="F103" s="16"/>
      <c r="G103" s="16"/>
      <c r="H103" s="16"/>
      <c r="I103" s="16"/>
      <c r="J103" s="16"/>
      <c r="K103" s="16"/>
      <c r="N103" s="13"/>
      <c r="O103" s="13"/>
    </row>
    <row r="104" spans="1:15">
      <c r="A104" s="16"/>
      <c r="B104" s="88"/>
      <c r="C104" s="16"/>
      <c r="D104" s="16"/>
      <c r="E104" s="16"/>
      <c r="F104" s="16"/>
      <c r="G104" s="16"/>
      <c r="H104" s="16"/>
      <c r="I104" s="16"/>
      <c r="J104" s="16"/>
      <c r="K104" s="16"/>
      <c r="N104" s="13"/>
      <c r="O104" s="13"/>
    </row>
    <row r="105" spans="1:15">
      <c r="A105" s="16"/>
      <c r="B105" s="88"/>
      <c r="C105" s="92"/>
      <c r="D105" s="16"/>
      <c r="E105" s="16"/>
      <c r="F105" s="16"/>
      <c r="G105" s="16"/>
      <c r="H105" s="16"/>
      <c r="I105" s="16"/>
      <c r="N105" s="13"/>
      <c r="O105" s="13"/>
    </row>
    <row r="106" spans="1:15">
      <c r="A106" s="16"/>
      <c r="B106" s="88"/>
      <c r="C106" s="16"/>
      <c r="D106" s="16"/>
      <c r="E106" s="16"/>
      <c r="F106" s="16"/>
      <c r="G106" s="16"/>
      <c r="H106" s="16"/>
      <c r="I106" s="16"/>
      <c r="N106" s="13"/>
      <c r="O106" s="13"/>
    </row>
    <row r="107" spans="1:15">
      <c r="A107" s="16"/>
      <c r="B107" s="88"/>
      <c r="C107" s="16"/>
      <c r="D107" s="16"/>
      <c r="E107" s="16"/>
      <c r="F107" s="16"/>
      <c r="G107" s="16"/>
      <c r="H107" s="16"/>
      <c r="I107" s="16"/>
      <c r="N107" s="13"/>
      <c r="O107" s="13"/>
    </row>
    <row r="108" spans="1:15">
      <c r="A108" s="16"/>
      <c r="B108" s="88"/>
      <c r="C108" s="16"/>
      <c r="D108" s="16"/>
      <c r="E108" s="16"/>
      <c r="F108" s="16"/>
      <c r="G108" s="16"/>
      <c r="H108" s="16"/>
      <c r="I108" s="16"/>
      <c r="N108" s="13"/>
      <c r="O108" s="13"/>
    </row>
    <row r="109" spans="1:15">
      <c r="A109" s="16"/>
      <c r="B109" s="88"/>
      <c r="C109" s="16"/>
      <c r="D109" s="16"/>
      <c r="E109" s="16"/>
      <c r="F109" s="16"/>
      <c r="G109" s="16"/>
      <c r="H109" s="16"/>
      <c r="I109" s="16"/>
      <c r="N109" s="13"/>
      <c r="O109" s="13"/>
    </row>
    <row r="110" spans="1:15">
      <c r="A110" s="16"/>
      <c r="B110" s="88"/>
      <c r="C110" s="16"/>
      <c r="D110" s="16"/>
      <c r="E110" s="16"/>
      <c r="F110" s="16"/>
      <c r="G110" s="16"/>
      <c r="H110" s="16"/>
      <c r="I110" s="16"/>
      <c r="N110" s="13"/>
      <c r="O110" s="13"/>
    </row>
    <row r="111" spans="1:15">
      <c r="A111" s="16"/>
      <c r="B111" s="88"/>
      <c r="C111" s="16"/>
      <c r="D111" s="16"/>
      <c r="E111" s="16"/>
      <c r="F111" s="16"/>
      <c r="G111" s="16"/>
      <c r="H111" s="16"/>
      <c r="I111" s="16"/>
      <c r="N111" s="13"/>
      <c r="O111" s="13"/>
    </row>
  </sheetData>
  <mergeCells count="186">
    <mergeCell ref="S45:S48"/>
    <mergeCell ref="I27:I29"/>
    <mergeCell ref="G23:G26"/>
    <mergeCell ref="H23:H25"/>
    <mergeCell ref="I23:I25"/>
    <mergeCell ref="J65:J66"/>
    <mergeCell ref="J86:J91"/>
    <mergeCell ref="J13:J17"/>
    <mergeCell ref="J18:J22"/>
    <mergeCell ref="J23:J26"/>
    <mergeCell ref="J27:J30"/>
    <mergeCell ref="J31:J34"/>
    <mergeCell ref="J35:J40"/>
    <mergeCell ref="J49:J52"/>
    <mergeCell ref="J53:J56"/>
    <mergeCell ref="J57:J60"/>
    <mergeCell ref="R51:R52"/>
    <mergeCell ref="G13:G17"/>
    <mergeCell ref="G18:G22"/>
    <mergeCell ref="O27:O29"/>
    <mergeCell ref="P27:P29"/>
    <mergeCell ref="Q27:Q29"/>
    <mergeCell ref="R27:R29"/>
    <mergeCell ref="O31:O32"/>
    <mergeCell ref="K11:K12"/>
    <mergeCell ref="A11:A12"/>
    <mergeCell ref="C11:C12"/>
    <mergeCell ref="G11:G12"/>
    <mergeCell ref="H51:H52"/>
    <mergeCell ref="I51:I52"/>
    <mergeCell ref="Q11:Q12"/>
    <mergeCell ref="R11:R12"/>
    <mergeCell ref="D11:F11"/>
    <mergeCell ref="H11:I11"/>
    <mergeCell ref="J11:J12"/>
    <mergeCell ref="M11:N11"/>
    <mergeCell ref="O11:O12"/>
    <mergeCell ref="L11:L12"/>
    <mergeCell ref="P11:P12"/>
    <mergeCell ref="A23:A34"/>
    <mergeCell ref="D23:D26"/>
    <mergeCell ref="E23:E26"/>
    <mergeCell ref="F23:F26"/>
    <mergeCell ref="G27:G30"/>
    <mergeCell ref="C13:C17"/>
    <mergeCell ref="L23:L25"/>
    <mergeCell ref="L33:L34"/>
    <mergeCell ref="C31:C34"/>
    <mergeCell ref="A1:E1"/>
    <mergeCell ref="A13:A22"/>
    <mergeCell ref="D13:D17"/>
    <mergeCell ref="E13:E17"/>
    <mergeCell ref="F13:F17"/>
    <mergeCell ref="D18:D22"/>
    <mergeCell ref="E18:E22"/>
    <mergeCell ref="F18:F22"/>
    <mergeCell ref="D27:D30"/>
    <mergeCell ref="E27:E30"/>
    <mergeCell ref="F27:F30"/>
    <mergeCell ref="A3:G3"/>
    <mergeCell ref="A5:G5"/>
    <mergeCell ref="A6:H6"/>
    <mergeCell ref="A7:G7"/>
    <mergeCell ref="A8:G8"/>
    <mergeCell ref="A9:G9"/>
    <mergeCell ref="C18:C22"/>
    <mergeCell ref="C23:C26"/>
    <mergeCell ref="C27:C30"/>
    <mergeCell ref="A4:G4"/>
    <mergeCell ref="B11:B12"/>
    <mergeCell ref="R31:R32"/>
    <mergeCell ref="R33:R34"/>
    <mergeCell ref="Q33:Q34"/>
    <mergeCell ref="H33:H34"/>
    <mergeCell ref="I33:I34"/>
    <mergeCell ref="L27:L29"/>
    <mergeCell ref="M27:M29"/>
    <mergeCell ref="N27:N29"/>
    <mergeCell ref="H27:H29"/>
    <mergeCell ref="H31:H32"/>
    <mergeCell ref="I31:I32"/>
    <mergeCell ref="L31:L32"/>
    <mergeCell ref="M31:M32"/>
    <mergeCell ref="N31:N32"/>
    <mergeCell ref="O37:O40"/>
    <mergeCell ref="P37:P40"/>
    <mergeCell ref="M33:M34"/>
    <mergeCell ref="N33:N34"/>
    <mergeCell ref="O33:O34"/>
    <mergeCell ref="P33:P34"/>
    <mergeCell ref="A35:A40"/>
    <mergeCell ref="C35:C40"/>
    <mergeCell ref="D35:D40"/>
    <mergeCell ref="E35:E40"/>
    <mergeCell ref="F35:F40"/>
    <mergeCell ref="G35:G40"/>
    <mergeCell ref="H37:H40"/>
    <mergeCell ref="I37:I40"/>
    <mergeCell ref="D31:D34"/>
    <mergeCell ref="E31:E34"/>
    <mergeCell ref="F31:F34"/>
    <mergeCell ref="G31:G34"/>
    <mergeCell ref="P31:P32"/>
    <mergeCell ref="Q37:Q40"/>
    <mergeCell ref="R37:R40"/>
    <mergeCell ref="A49:A64"/>
    <mergeCell ref="D49:D52"/>
    <mergeCell ref="E49:E52"/>
    <mergeCell ref="F49:F52"/>
    <mergeCell ref="G49:G52"/>
    <mergeCell ref="D53:D56"/>
    <mergeCell ref="E53:E56"/>
    <mergeCell ref="F53:F56"/>
    <mergeCell ref="G53:G56"/>
    <mergeCell ref="D57:D60"/>
    <mergeCell ref="E57:E60"/>
    <mergeCell ref="F57:F60"/>
    <mergeCell ref="G57:G60"/>
    <mergeCell ref="L51:L52"/>
    <mergeCell ref="M51:M52"/>
    <mergeCell ref="N51:N52"/>
    <mergeCell ref="O51:O52"/>
    <mergeCell ref="P51:P52"/>
    <mergeCell ref="Q51:Q52"/>
    <mergeCell ref="L37:L40"/>
    <mergeCell ref="M37:M40"/>
    <mergeCell ref="N37:N40"/>
    <mergeCell ref="A70:A72"/>
    <mergeCell ref="D61:D64"/>
    <mergeCell ref="E61:E64"/>
    <mergeCell ref="F61:F64"/>
    <mergeCell ref="G61:G64"/>
    <mergeCell ref="A65:A66"/>
    <mergeCell ref="C65:C66"/>
    <mergeCell ref="D65:D66"/>
    <mergeCell ref="E65:E66"/>
    <mergeCell ref="F65:F66"/>
    <mergeCell ref="G65:G66"/>
    <mergeCell ref="C61:C64"/>
    <mergeCell ref="K13:K17"/>
    <mergeCell ref="K18:K22"/>
    <mergeCell ref="K23:K26"/>
    <mergeCell ref="K27:K30"/>
    <mergeCell ref="K31:K34"/>
    <mergeCell ref="K35:K40"/>
    <mergeCell ref="K49:K52"/>
    <mergeCell ref="K53:K56"/>
    <mergeCell ref="K57:K60"/>
    <mergeCell ref="K61:K64"/>
    <mergeCell ref="K65:K66"/>
    <mergeCell ref="J61:J64"/>
    <mergeCell ref="K41:K42"/>
    <mergeCell ref="K43:K44"/>
    <mergeCell ref="C45:C46"/>
    <mergeCell ref="E45:E46"/>
    <mergeCell ref="F45:F46"/>
    <mergeCell ref="G45:G46"/>
    <mergeCell ref="J45:J46"/>
    <mergeCell ref="K45:K46"/>
    <mergeCell ref="J41:J42"/>
    <mergeCell ref="J43:J44"/>
    <mergeCell ref="K47:K48"/>
    <mergeCell ref="J47:J48"/>
    <mergeCell ref="C47:C48"/>
    <mergeCell ref="C49:C52"/>
    <mergeCell ref="C53:C56"/>
    <mergeCell ref="C57:C60"/>
    <mergeCell ref="B41:B42"/>
    <mergeCell ref="B45:B46"/>
    <mergeCell ref="A41:A44"/>
    <mergeCell ref="C41:C42"/>
    <mergeCell ref="D41:D44"/>
    <mergeCell ref="E41:E42"/>
    <mergeCell ref="F41:F42"/>
    <mergeCell ref="G41:G42"/>
    <mergeCell ref="C43:C44"/>
    <mergeCell ref="E43:E44"/>
    <mergeCell ref="F43:F44"/>
    <mergeCell ref="G43:G44"/>
    <mergeCell ref="B43:B44"/>
    <mergeCell ref="D45:D48"/>
    <mergeCell ref="E47:E48"/>
    <mergeCell ref="G47:G48"/>
    <mergeCell ref="F47:F48"/>
    <mergeCell ref="A45:A48"/>
    <mergeCell ref="B47:B48"/>
  </mergeCells>
  <phoneticPr fontId="44" type="noConversion"/>
  <pageMargins left="0.7" right="0.7" top="0.75" bottom="0.75" header="0.3" footer="0.3"/>
  <pageSetup paperSize="8" scale="37"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41"/>
  <sheetViews>
    <sheetView topLeftCell="A6" zoomScale="55" zoomScaleNormal="55" workbookViewId="0">
      <selection activeCell="P42" sqref="P42"/>
    </sheetView>
  </sheetViews>
  <sheetFormatPr defaultRowHeight="15"/>
  <cols>
    <col min="1" max="1" width="24.5703125" customWidth="1"/>
    <col min="2" max="2" width="17.85546875" customWidth="1"/>
    <col min="3" max="3" width="17.140625" customWidth="1"/>
    <col min="4" max="4" width="15.28515625" customWidth="1"/>
    <col min="5" max="5" width="17.28515625" customWidth="1"/>
    <col min="6" max="6" width="14.85546875" customWidth="1"/>
    <col min="7" max="7" width="17.7109375" customWidth="1"/>
    <col min="8" max="8" width="12.5703125" customWidth="1"/>
    <col min="9" max="9" width="26.28515625" customWidth="1"/>
    <col min="10" max="10" width="13.7109375" customWidth="1"/>
    <col min="12" max="12" width="20" customWidth="1"/>
    <col min="13" max="13" width="16" customWidth="1"/>
    <col min="14" max="14" width="17.28515625" customWidth="1"/>
    <col min="15" max="15" width="17" customWidth="1"/>
    <col min="16" max="16" width="20.85546875" customWidth="1"/>
    <col min="17" max="17" width="37" customWidth="1"/>
    <col min="18" max="18" width="92.7109375" customWidth="1"/>
    <col min="19" max="19" width="81" customWidth="1"/>
    <col min="20" max="20" width="60.5703125" customWidth="1"/>
    <col min="21" max="21" width="14.140625" style="129" bestFit="1" customWidth="1"/>
    <col min="22" max="23" width="8.85546875" style="129"/>
    <col min="24" max="24" width="10.42578125" bestFit="1" customWidth="1"/>
  </cols>
  <sheetData>
    <row r="1" spans="1:37">
      <c r="A1" s="9" t="s">
        <v>12</v>
      </c>
      <c r="L1" s="148" t="s">
        <v>129</v>
      </c>
    </row>
    <row r="2" spans="1:37">
      <c r="A2" t="s">
        <v>103</v>
      </c>
    </row>
    <row r="3" spans="1:37">
      <c r="A3" t="s">
        <v>104</v>
      </c>
    </row>
    <row r="4" spans="1:37" ht="15.75" thickBot="1">
      <c r="A4" s="9" t="s">
        <v>35</v>
      </c>
    </row>
    <row r="5" spans="1:37" ht="15" customHeight="1">
      <c r="A5" s="969" t="s">
        <v>0</v>
      </c>
      <c r="B5" s="906" t="s">
        <v>131</v>
      </c>
      <c r="C5" s="912" t="s">
        <v>132</v>
      </c>
      <c r="D5" s="964" t="s">
        <v>4</v>
      </c>
      <c r="E5" s="964"/>
      <c r="F5" s="964"/>
      <c r="G5" s="967" t="s">
        <v>18</v>
      </c>
      <c r="H5" s="965" t="s">
        <v>144</v>
      </c>
      <c r="I5" s="965"/>
      <c r="J5" s="964" t="s">
        <v>15</v>
      </c>
      <c r="K5" s="964" t="s">
        <v>14</v>
      </c>
      <c r="L5" s="964" t="s">
        <v>1</v>
      </c>
      <c r="M5" s="964" t="s">
        <v>145</v>
      </c>
      <c r="N5" s="964"/>
      <c r="O5" s="967" t="s">
        <v>2</v>
      </c>
      <c r="P5" s="964" t="s">
        <v>3</v>
      </c>
      <c r="Q5" s="964" t="s">
        <v>146</v>
      </c>
      <c r="R5" s="962" t="s">
        <v>147</v>
      </c>
      <c r="S5" s="170"/>
      <c r="T5" s="170"/>
      <c r="U5" s="241"/>
      <c r="V5" s="241"/>
      <c r="W5" s="241"/>
      <c r="X5" s="170"/>
      <c r="Y5" s="170"/>
      <c r="Z5" s="170"/>
      <c r="AA5" s="170"/>
      <c r="AB5" s="10"/>
      <c r="AC5" s="10"/>
      <c r="AD5" s="10"/>
      <c r="AE5" s="10"/>
      <c r="AF5" s="10"/>
      <c r="AG5" s="10"/>
      <c r="AH5" s="10"/>
      <c r="AI5" s="10"/>
      <c r="AJ5" s="10"/>
      <c r="AK5" s="10"/>
    </row>
    <row r="6" spans="1:37" ht="84" customHeight="1" thickBot="1">
      <c r="A6" s="970"/>
      <c r="B6" s="907"/>
      <c r="C6" s="913"/>
      <c r="D6" s="182" t="s">
        <v>7</v>
      </c>
      <c r="E6" s="183" t="s">
        <v>17</v>
      </c>
      <c r="F6" s="184" t="s">
        <v>148</v>
      </c>
      <c r="G6" s="968"/>
      <c r="H6" s="182" t="s">
        <v>5</v>
      </c>
      <c r="I6" s="182" t="s">
        <v>6</v>
      </c>
      <c r="J6" s="966"/>
      <c r="K6" s="966"/>
      <c r="L6" s="966"/>
      <c r="M6" s="182" t="s">
        <v>149</v>
      </c>
      <c r="N6" s="182" t="s">
        <v>150</v>
      </c>
      <c r="O6" s="968"/>
      <c r="P6" s="966"/>
      <c r="Q6" s="966"/>
      <c r="R6" s="963"/>
      <c r="S6" s="170"/>
      <c r="T6" s="170"/>
      <c r="U6" s="241"/>
      <c r="V6" s="241"/>
      <c r="W6" s="241"/>
      <c r="X6" s="170"/>
      <c r="Y6" s="170"/>
      <c r="Z6" s="170"/>
      <c r="AA6" s="170"/>
      <c r="AB6" s="10"/>
      <c r="AC6" s="10"/>
      <c r="AD6" s="10"/>
      <c r="AE6" s="10"/>
      <c r="AF6" s="10"/>
      <c r="AG6" s="10"/>
      <c r="AH6" s="10"/>
      <c r="AI6" s="10"/>
      <c r="AJ6" s="10"/>
      <c r="AK6" s="10"/>
    </row>
    <row r="7" spans="1:37" ht="115.15" customHeight="1">
      <c r="A7" s="953" t="s">
        <v>103</v>
      </c>
      <c r="B7" s="951">
        <f>F7</f>
        <v>143212698.82352942</v>
      </c>
      <c r="C7" s="941">
        <f>'Intervencijų lėšos (2)'!J5</f>
        <v>121730794</v>
      </c>
      <c r="D7" s="956" t="s">
        <v>154</v>
      </c>
      <c r="E7" s="959">
        <f>C7/0.85*0.15</f>
        <v>21481904.823529411</v>
      </c>
      <c r="F7" s="941">
        <f>C7+E7</f>
        <v>143212698.82352942</v>
      </c>
      <c r="G7" s="941">
        <f>F7</f>
        <v>143212698.82352942</v>
      </c>
      <c r="H7" s="139" t="s">
        <v>70</v>
      </c>
      <c r="I7" s="140" t="s">
        <v>80</v>
      </c>
      <c r="J7" s="971" t="s">
        <v>82</v>
      </c>
      <c r="K7" s="974" t="s">
        <v>289</v>
      </c>
      <c r="L7" s="166" t="s">
        <v>174</v>
      </c>
      <c r="M7" s="322">
        <f>60.96/1000</f>
        <v>6.096E-2</v>
      </c>
      <c r="N7" s="166" t="s">
        <v>46</v>
      </c>
      <c r="O7" s="282" t="s">
        <v>8</v>
      </c>
      <c r="P7" s="322">
        <f>223.54/1000</f>
        <v>0.22353999999999999</v>
      </c>
      <c r="Q7" s="166" t="s">
        <v>34</v>
      </c>
      <c r="R7" s="505" t="s">
        <v>180</v>
      </c>
      <c r="S7" s="537" t="s">
        <v>285</v>
      </c>
      <c r="T7" s="170"/>
      <c r="U7" s="241"/>
      <c r="V7" s="241"/>
      <c r="W7" s="241"/>
      <c r="X7" s="170"/>
      <c r="Y7" s="170"/>
      <c r="Z7" s="170"/>
      <c r="AA7" s="170"/>
      <c r="AB7" s="10"/>
      <c r="AC7" s="10"/>
      <c r="AD7" s="10"/>
      <c r="AE7" s="10"/>
      <c r="AF7" s="10"/>
      <c r="AG7" s="10"/>
      <c r="AH7" s="10"/>
      <c r="AI7" s="10"/>
      <c r="AJ7" s="10"/>
      <c r="AK7" s="10"/>
    </row>
    <row r="8" spans="1:37" ht="88.9" customHeight="1">
      <c r="A8" s="954"/>
      <c r="B8" s="952"/>
      <c r="C8" s="942"/>
      <c r="D8" s="957"/>
      <c r="E8" s="960"/>
      <c r="F8" s="942"/>
      <c r="G8" s="942"/>
      <c r="H8" s="238" t="s">
        <v>50</v>
      </c>
      <c r="I8" s="167" t="s">
        <v>278</v>
      </c>
      <c r="J8" s="972"/>
      <c r="K8" s="957"/>
      <c r="L8" s="167" t="s">
        <v>291</v>
      </c>
      <c r="M8" s="167" t="s">
        <v>8</v>
      </c>
      <c r="N8" s="281" t="s">
        <v>46</v>
      </c>
      <c r="O8" s="130">
        <f>P8*0.1</f>
        <v>5.1000000000000005</v>
      </c>
      <c r="P8" s="130">
        <f>ROUND(G7*0.67/1900000,0)</f>
        <v>51</v>
      </c>
      <c r="Q8" s="167" t="s">
        <v>34</v>
      </c>
      <c r="R8" s="506" t="s">
        <v>280</v>
      </c>
      <c r="S8" s="538" t="s">
        <v>282</v>
      </c>
      <c r="T8" s="528"/>
      <c r="U8" s="241"/>
      <c r="V8" s="241"/>
      <c r="W8" s="241"/>
      <c r="X8" s="170"/>
      <c r="Y8" s="170"/>
      <c r="Z8" s="170"/>
      <c r="AA8" s="170"/>
      <c r="AB8" s="10"/>
      <c r="AC8" s="10"/>
      <c r="AD8" s="10"/>
      <c r="AE8" s="10"/>
      <c r="AF8" s="10"/>
      <c r="AG8" s="10"/>
      <c r="AH8" s="10"/>
      <c r="AI8" s="10"/>
      <c r="AJ8" s="10"/>
      <c r="AK8" s="10"/>
    </row>
    <row r="9" spans="1:37" ht="78.599999999999994" customHeight="1" thickBot="1">
      <c r="A9" s="955"/>
      <c r="B9" s="816"/>
      <c r="C9" s="943"/>
      <c r="D9" s="958"/>
      <c r="E9" s="961"/>
      <c r="F9" s="943"/>
      <c r="G9" s="943"/>
      <c r="H9" s="233" t="s">
        <v>50</v>
      </c>
      <c r="I9" s="185" t="s">
        <v>279</v>
      </c>
      <c r="J9" s="973"/>
      <c r="K9" s="958"/>
      <c r="L9" s="185" t="s">
        <v>291</v>
      </c>
      <c r="M9" s="185" t="s">
        <v>8</v>
      </c>
      <c r="N9" s="280" t="s">
        <v>46</v>
      </c>
      <c r="O9" s="529">
        <f>P9*0.1</f>
        <v>2.5</v>
      </c>
      <c r="P9" s="530">
        <f>ROUND(G7*0.33/1900000,0)</f>
        <v>25</v>
      </c>
      <c r="Q9" s="185" t="s">
        <v>34</v>
      </c>
      <c r="R9" s="531" t="s">
        <v>281</v>
      </c>
      <c r="S9" s="538" t="s">
        <v>283</v>
      </c>
      <c r="T9" s="528"/>
      <c r="U9" s="241"/>
      <c r="V9" s="241"/>
      <c r="W9" s="241"/>
      <c r="X9" s="170"/>
      <c r="Y9" s="170"/>
      <c r="Z9" s="170"/>
      <c r="AA9" s="170"/>
      <c r="AB9" s="10"/>
      <c r="AC9" s="10"/>
      <c r="AD9" s="10"/>
      <c r="AE9" s="10"/>
      <c r="AF9" s="10"/>
      <c r="AG9" s="10"/>
      <c r="AH9" s="10"/>
      <c r="AI9" s="10"/>
      <c r="AJ9" s="10"/>
      <c r="AK9" s="10"/>
    </row>
    <row r="10" spans="1:37" ht="91.15" customHeight="1" thickBot="1">
      <c r="A10" s="953" t="s">
        <v>104</v>
      </c>
      <c r="B10" s="951">
        <f>F10</f>
        <v>53764705.882352941</v>
      </c>
      <c r="C10" s="951">
        <v>45700000</v>
      </c>
      <c r="D10" s="956" t="s">
        <v>155</v>
      </c>
      <c r="E10" s="959">
        <f>C10/0.85*0.15</f>
        <v>8064705.8823529407</v>
      </c>
      <c r="F10" s="951">
        <f>C10+E10</f>
        <v>53764705.882352941</v>
      </c>
      <c r="G10" s="951">
        <f>F10</f>
        <v>53764705.882352941</v>
      </c>
      <c r="H10" s="166" t="s">
        <v>151</v>
      </c>
      <c r="I10" s="166" t="s">
        <v>170</v>
      </c>
      <c r="J10" s="971" t="s">
        <v>82</v>
      </c>
      <c r="K10" s="974" t="s">
        <v>289</v>
      </c>
      <c r="L10" s="140" t="s">
        <v>173</v>
      </c>
      <c r="M10" s="166" t="s">
        <v>8</v>
      </c>
      <c r="N10" s="140" t="s">
        <v>46</v>
      </c>
      <c r="O10" s="197">
        <f>P10*0.1</f>
        <v>990</v>
      </c>
      <c r="P10" s="140" t="s">
        <v>175</v>
      </c>
      <c r="Q10" s="166" t="s">
        <v>34</v>
      </c>
      <c r="R10" s="180" t="s">
        <v>178</v>
      </c>
      <c r="S10" s="539" t="s">
        <v>284</v>
      </c>
      <c r="T10" s="181"/>
      <c r="U10" s="241"/>
      <c r="V10" s="241"/>
      <c r="W10" s="241"/>
      <c r="X10" s="170"/>
      <c r="Y10" s="170"/>
      <c r="Z10" s="170"/>
      <c r="AA10" s="170"/>
      <c r="AB10" s="10"/>
      <c r="AC10" s="10"/>
      <c r="AD10" s="10"/>
      <c r="AE10" s="10"/>
      <c r="AF10" s="10"/>
      <c r="AG10" s="10"/>
      <c r="AH10" s="10"/>
      <c r="AI10" s="10"/>
      <c r="AJ10" s="10"/>
      <c r="AK10" s="10"/>
    </row>
    <row r="11" spans="1:37" ht="72" customHeight="1">
      <c r="A11" s="954"/>
      <c r="B11" s="952"/>
      <c r="C11" s="952"/>
      <c r="D11" s="957"/>
      <c r="E11" s="960"/>
      <c r="F11" s="952"/>
      <c r="G11" s="952"/>
      <c r="H11" s="167" t="s">
        <v>70</v>
      </c>
      <c r="I11" s="238" t="s">
        <v>80</v>
      </c>
      <c r="J11" s="972"/>
      <c r="K11" s="846"/>
      <c r="L11" s="166" t="s">
        <v>174</v>
      </c>
      <c r="M11" s="186" t="s">
        <v>42</v>
      </c>
      <c r="N11" s="138" t="s">
        <v>46</v>
      </c>
      <c r="O11" s="187" t="s">
        <v>8</v>
      </c>
      <c r="P11" s="532">
        <f>99*0.005/1000</f>
        <v>4.95E-4</v>
      </c>
      <c r="Q11" s="167" t="s">
        <v>34</v>
      </c>
      <c r="R11" s="200" t="s">
        <v>181</v>
      </c>
      <c r="S11" s="540" t="s">
        <v>286</v>
      </c>
      <c r="T11" s="181"/>
      <c r="U11" s="241"/>
      <c r="V11" s="241"/>
      <c r="W11" s="241"/>
      <c r="X11" s="170"/>
      <c r="Y11" s="170"/>
      <c r="Z11" s="170"/>
      <c r="AA11" s="170"/>
      <c r="AB11" s="10"/>
      <c r="AC11" s="10"/>
      <c r="AD11" s="10"/>
      <c r="AE11" s="10"/>
      <c r="AF11" s="10"/>
      <c r="AG11" s="10"/>
      <c r="AH11" s="10"/>
      <c r="AI11" s="10"/>
      <c r="AJ11" s="10"/>
      <c r="AK11" s="10"/>
    </row>
    <row r="12" spans="1:37" ht="103.15" customHeight="1" thickBot="1">
      <c r="A12" s="954"/>
      <c r="B12" s="952"/>
      <c r="C12" s="975"/>
      <c r="D12" s="976"/>
      <c r="E12" s="977"/>
      <c r="F12" s="975"/>
      <c r="G12" s="975"/>
      <c r="H12" s="138" t="s">
        <v>152</v>
      </c>
      <c r="I12" s="237" t="s">
        <v>171</v>
      </c>
      <c r="J12" s="973"/>
      <c r="K12" s="898"/>
      <c r="L12" s="138" t="s">
        <v>172</v>
      </c>
      <c r="M12" s="138" t="s">
        <v>42</v>
      </c>
      <c r="N12" s="138" t="s">
        <v>46</v>
      </c>
      <c r="O12" s="533" t="s">
        <v>8</v>
      </c>
      <c r="P12" s="320">
        <f>39013*99</f>
        <v>3862287</v>
      </c>
      <c r="Q12" s="138" t="s">
        <v>288</v>
      </c>
      <c r="R12" s="321" t="s">
        <v>292</v>
      </c>
      <c r="S12" s="541" t="s">
        <v>296</v>
      </c>
      <c r="T12" s="170"/>
      <c r="U12" s="241"/>
      <c r="V12" s="241"/>
      <c r="W12" s="241"/>
      <c r="X12" s="241"/>
      <c r="Y12" s="170"/>
      <c r="Z12" s="170"/>
      <c r="AA12" s="170"/>
      <c r="AB12" s="10"/>
      <c r="AC12" s="10"/>
      <c r="AD12" s="10"/>
      <c r="AE12" s="10"/>
      <c r="AF12" s="10"/>
      <c r="AG12" s="10"/>
      <c r="AH12" s="10"/>
      <c r="AI12" s="10"/>
      <c r="AJ12" s="10"/>
      <c r="AK12" s="10"/>
    </row>
    <row r="13" spans="1:37" ht="42" hidden="1" customHeight="1">
      <c r="A13" s="954"/>
      <c r="B13" s="198"/>
      <c r="C13" s="944">
        <f>'[1]Intervencijų lėšos'!I8</f>
        <v>10000000</v>
      </c>
      <c r="D13" s="946" t="s">
        <v>136</v>
      </c>
      <c r="E13" s="948">
        <f>(C13*100/70)-C13</f>
        <v>4285714.2857142854</v>
      </c>
      <c r="F13" s="950">
        <f>C13+E13</f>
        <v>14285714.285714285</v>
      </c>
      <c r="G13" s="189">
        <f>F13</f>
        <v>14285714.285714285</v>
      </c>
      <c r="H13" s="190" t="s">
        <v>55</v>
      </c>
      <c r="I13" s="190" t="s">
        <v>56</v>
      </c>
      <c r="J13" s="191" t="s">
        <v>119</v>
      </c>
      <c r="K13" s="191" t="s">
        <v>23</v>
      </c>
      <c r="L13" s="190" t="s">
        <v>78</v>
      </c>
      <c r="M13" s="190"/>
      <c r="N13" s="190"/>
      <c r="O13" s="192"/>
      <c r="P13" s="190"/>
      <c r="Q13" s="190" t="s">
        <v>34</v>
      </c>
      <c r="R13" s="188"/>
      <c r="S13" s="170"/>
      <c r="T13" s="170"/>
      <c r="U13" s="241"/>
      <c r="V13" s="241"/>
      <c r="W13" s="241"/>
      <c r="X13" s="170"/>
      <c r="Y13" s="170"/>
      <c r="Z13" s="170"/>
      <c r="AA13" s="170"/>
      <c r="AB13" s="10"/>
      <c r="AC13" s="10"/>
      <c r="AD13" s="10"/>
      <c r="AE13" s="10"/>
      <c r="AF13" s="10"/>
      <c r="AG13" s="10"/>
      <c r="AH13" s="10"/>
      <c r="AI13" s="10"/>
      <c r="AJ13" s="10"/>
      <c r="AK13" s="10"/>
    </row>
    <row r="14" spans="1:37" ht="35.450000000000003" hidden="1" customHeight="1">
      <c r="A14" s="955"/>
      <c r="B14" s="199"/>
      <c r="C14" s="945"/>
      <c r="D14" s="947"/>
      <c r="E14" s="949"/>
      <c r="F14" s="945"/>
      <c r="G14" s="193"/>
      <c r="H14" s="194"/>
      <c r="I14" s="194"/>
      <c r="J14" s="194"/>
      <c r="K14" s="194"/>
      <c r="L14" s="194"/>
      <c r="M14" s="194"/>
      <c r="N14" s="194"/>
      <c r="O14" s="195"/>
      <c r="P14" s="194"/>
      <c r="Q14" s="194" t="s">
        <v>34</v>
      </c>
      <c r="R14" s="196"/>
      <c r="S14" s="170"/>
      <c r="T14" s="170"/>
      <c r="U14" s="241"/>
      <c r="V14" s="241"/>
      <c r="W14" s="241"/>
      <c r="X14" s="170"/>
      <c r="Y14" s="170"/>
      <c r="Z14" s="170"/>
      <c r="AA14" s="170"/>
      <c r="AB14" s="10"/>
      <c r="AC14" s="10"/>
      <c r="AD14" s="10"/>
      <c r="AE14" s="10"/>
      <c r="AF14" s="10"/>
      <c r="AG14" s="10"/>
      <c r="AH14" s="10"/>
      <c r="AI14" s="10"/>
      <c r="AJ14" s="10"/>
      <c r="AK14" s="10"/>
    </row>
    <row r="15" spans="1:37">
      <c r="B15" s="129"/>
      <c r="C15" s="129">
        <f>C10+C7</f>
        <v>167430794</v>
      </c>
    </row>
    <row r="16" spans="1:37">
      <c r="C16" s="129"/>
    </row>
    <row r="17" spans="1:22">
      <c r="C17" s="129">
        <f>C7+C10</f>
        <v>167430794</v>
      </c>
    </row>
    <row r="20" spans="1:22" s="13" customFormat="1" ht="45">
      <c r="A20" s="226" t="s">
        <v>5</v>
      </c>
      <c r="B20" s="29" t="s">
        <v>6</v>
      </c>
      <c r="C20" s="226" t="s">
        <v>1</v>
      </c>
      <c r="D20" s="226" t="s">
        <v>9</v>
      </c>
      <c r="E20" s="226" t="s">
        <v>15</v>
      </c>
      <c r="F20" s="226" t="s">
        <v>14</v>
      </c>
      <c r="G20" s="226" t="s">
        <v>10</v>
      </c>
      <c r="H20" s="226" t="s">
        <v>2</v>
      </c>
      <c r="I20" s="226" t="s">
        <v>3</v>
      </c>
      <c r="J20" s="55"/>
      <c r="K20" s="54"/>
      <c r="N20" s="68"/>
      <c r="O20" s="68"/>
      <c r="T20" s="202"/>
      <c r="U20" s="202"/>
      <c r="V20" s="202"/>
    </row>
    <row r="21" spans="1:22" s="13" customFormat="1" ht="60">
      <c r="A21" s="239" t="s">
        <v>70</v>
      </c>
      <c r="B21" s="252" t="s">
        <v>56</v>
      </c>
      <c r="C21" s="253" t="s">
        <v>78</v>
      </c>
      <c r="D21" s="177">
        <f>M7+M11</f>
        <v>6.096E-2</v>
      </c>
      <c r="E21" s="57" t="s">
        <v>48</v>
      </c>
      <c r="F21" s="236" t="s">
        <v>23</v>
      </c>
      <c r="G21" s="239">
        <v>2021</v>
      </c>
      <c r="H21" s="239" t="s">
        <v>8</v>
      </c>
      <c r="I21" s="278">
        <f>P7+P11</f>
        <v>0.22403499999999998</v>
      </c>
      <c r="J21" s="767" t="s">
        <v>35</v>
      </c>
      <c r="K21" s="16"/>
      <c r="S21" s="13" t="s">
        <v>270</v>
      </c>
      <c r="T21" s="202"/>
      <c r="U21" s="202"/>
      <c r="V21" s="202"/>
    </row>
    <row r="22" spans="1:22" s="13" customFormat="1" ht="45">
      <c r="A22" s="238" t="s">
        <v>50</v>
      </c>
      <c r="B22" s="238" t="s">
        <v>141</v>
      </c>
      <c r="C22" s="238" t="s">
        <v>139</v>
      </c>
      <c r="D22" s="231" t="s">
        <v>8</v>
      </c>
      <c r="E22" s="239" t="s">
        <v>48</v>
      </c>
      <c r="F22" s="239" t="s">
        <v>23</v>
      </c>
      <c r="G22" s="239">
        <v>2021</v>
      </c>
      <c r="H22" s="248">
        <f t="shared" ref="H22:I24" si="0">O8</f>
        <v>5.1000000000000005</v>
      </c>
      <c r="I22" s="248">
        <f t="shared" si="0"/>
        <v>51</v>
      </c>
      <c r="J22" s="767"/>
      <c r="K22" s="16"/>
      <c r="T22" s="202"/>
      <c r="U22" s="202"/>
      <c r="V22" s="202"/>
    </row>
    <row r="23" spans="1:22" s="13" customFormat="1" ht="70.900000000000006" customHeight="1">
      <c r="A23" s="238" t="s">
        <v>50</v>
      </c>
      <c r="B23" s="238" t="s">
        <v>142</v>
      </c>
      <c r="C23" s="232" t="s">
        <v>139</v>
      </c>
      <c r="D23" s="231" t="s">
        <v>8</v>
      </c>
      <c r="E23" s="239" t="s">
        <v>48</v>
      </c>
      <c r="F23" s="239" t="s">
        <v>23</v>
      </c>
      <c r="G23" s="239">
        <v>2021</v>
      </c>
      <c r="H23" s="248">
        <f t="shared" si="0"/>
        <v>2.5</v>
      </c>
      <c r="I23" s="248">
        <f t="shared" si="0"/>
        <v>25</v>
      </c>
      <c r="J23" s="767"/>
      <c r="K23" s="16"/>
      <c r="T23" s="202"/>
      <c r="U23" s="202"/>
      <c r="V23" s="202"/>
    </row>
    <row r="24" spans="1:22" s="13" customFormat="1" ht="75">
      <c r="A24" s="238" t="s">
        <v>151</v>
      </c>
      <c r="B24" s="238" t="s">
        <v>170</v>
      </c>
      <c r="C24" s="229" t="s">
        <v>173</v>
      </c>
      <c r="D24" s="231" t="str">
        <f>M10</f>
        <v>n/a</v>
      </c>
      <c r="E24" s="239" t="s">
        <v>48</v>
      </c>
      <c r="F24" s="239" t="s">
        <v>23</v>
      </c>
      <c r="G24" s="239">
        <v>2021</v>
      </c>
      <c r="H24" s="248">
        <f t="shared" si="0"/>
        <v>990</v>
      </c>
      <c r="I24" s="248" t="str">
        <f t="shared" si="0"/>
        <v>9900</v>
      </c>
      <c r="J24" s="767"/>
      <c r="K24" s="16"/>
      <c r="T24" s="202"/>
      <c r="U24" s="202"/>
      <c r="V24" s="202"/>
    </row>
    <row r="25" spans="1:22" ht="60">
      <c r="A25" s="238" t="s">
        <v>152</v>
      </c>
      <c r="B25" s="238" t="s">
        <v>171</v>
      </c>
      <c r="C25" s="238" t="s">
        <v>172</v>
      </c>
      <c r="D25" s="228" t="str">
        <f>M12</f>
        <v>0</v>
      </c>
      <c r="E25" s="225" t="s">
        <v>48</v>
      </c>
      <c r="F25" s="225" t="s">
        <v>23</v>
      </c>
      <c r="G25" s="225">
        <v>2021</v>
      </c>
      <c r="H25" s="152" t="str">
        <f>O12</f>
        <v>n/a</v>
      </c>
      <c r="I25" s="152">
        <f>P12</f>
        <v>3862287</v>
      </c>
      <c r="J25" s="767"/>
    </row>
    <row r="26" spans="1:22">
      <c r="A26" s="3"/>
      <c r="B26" s="3"/>
      <c r="C26" s="3"/>
      <c r="D26" s="4"/>
      <c r="E26" s="3"/>
      <c r="F26" s="3"/>
      <c r="G26" s="3"/>
      <c r="H26" s="3"/>
      <c r="I26" s="3"/>
      <c r="J26" s="767"/>
    </row>
    <row r="27" spans="1:22">
      <c r="A27" s="3"/>
      <c r="B27" s="3"/>
      <c r="C27" s="3"/>
      <c r="D27" s="4"/>
      <c r="E27" s="3"/>
      <c r="F27" s="3"/>
      <c r="G27" s="3"/>
      <c r="H27" s="3"/>
      <c r="I27" s="3"/>
      <c r="J27" s="767"/>
    </row>
    <row r="28" spans="1:22">
      <c r="A28" s="3"/>
      <c r="B28" s="3"/>
      <c r="C28" s="3"/>
      <c r="D28" s="4"/>
      <c r="E28" s="3"/>
      <c r="F28" s="3"/>
      <c r="G28" s="3"/>
      <c r="H28" s="3"/>
      <c r="I28" s="3"/>
      <c r="J28" s="767"/>
    </row>
    <row r="29" spans="1:22">
      <c r="A29" s="3"/>
      <c r="B29" s="3"/>
      <c r="C29" s="3"/>
      <c r="D29" s="4"/>
      <c r="E29" s="3"/>
      <c r="F29" s="3"/>
      <c r="G29" s="3"/>
      <c r="H29" s="3"/>
      <c r="I29" s="3"/>
      <c r="J29" s="767"/>
    </row>
    <row r="30" spans="1:22">
      <c r="A30" s="3"/>
      <c r="B30" s="3"/>
      <c r="C30" s="3"/>
      <c r="D30" s="4"/>
      <c r="E30" s="3"/>
      <c r="F30" s="3"/>
      <c r="G30" s="3"/>
      <c r="H30" s="3"/>
      <c r="I30" s="3"/>
      <c r="J30" s="767"/>
    </row>
    <row r="31" spans="1:22">
      <c r="A31" s="3"/>
      <c r="B31" s="3"/>
      <c r="C31" s="3"/>
      <c r="D31" s="4"/>
      <c r="E31" s="3"/>
      <c r="F31" s="3"/>
      <c r="G31" s="3"/>
      <c r="H31" s="3"/>
      <c r="I31" s="3"/>
      <c r="J31" s="767"/>
    </row>
    <row r="32" spans="1:22">
      <c r="A32" s="3"/>
      <c r="B32" s="3"/>
      <c r="C32" s="3"/>
      <c r="D32" s="4"/>
      <c r="E32" s="3"/>
      <c r="F32" s="3"/>
      <c r="G32" s="3"/>
      <c r="H32" s="3"/>
      <c r="I32" s="3"/>
      <c r="J32" s="767"/>
    </row>
    <row r="33" spans="4:4">
      <c r="D33" s="129"/>
    </row>
    <row r="34" spans="4:4">
      <c r="D34" s="129"/>
    </row>
    <row r="35" spans="4:4">
      <c r="D35" s="129"/>
    </row>
    <row r="36" spans="4:4">
      <c r="D36" s="129"/>
    </row>
    <row r="37" spans="4:4">
      <c r="D37" s="129"/>
    </row>
    <row r="38" spans="4:4">
      <c r="D38" s="129"/>
    </row>
    <row r="39" spans="4:4">
      <c r="D39" s="129"/>
    </row>
    <row r="40" spans="4:4">
      <c r="D40" s="129"/>
    </row>
    <row r="41" spans="4:4">
      <c r="D41" s="129"/>
    </row>
  </sheetData>
  <mergeCells count="37">
    <mergeCell ref="J21:J32"/>
    <mergeCell ref="A5:A6"/>
    <mergeCell ref="C5:C6"/>
    <mergeCell ref="G5:G6"/>
    <mergeCell ref="Q5:Q6"/>
    <mergeCell ref="B5:B6"/>
    <mergeCell ref="J7:J9"/>
    <mergeCell ref="K7:K9"/>
    <mergeCell ref="A10:A14"/>
    <mergeCell ref="C10:C12"/>
    <mergeCell ref="D10:D12"/>
    <mergeCell ref="E10:E12"/>
    <mergeCell ref="F10:F12"/>
    <mergeCell ref="G10:G12"/>
    <mergeCell ref="J10:J12"/>
    <mergeCell ref="K10:K12"/>
    <mergeCell ref="R5:R6"/>
    <mergeCell ref="D5:F5"/>
    <mergeCell ref="H5:I5"/>
    <mergeCell ref="J5:J6"/>
    <mergeCell ref="M5:N5"/>
    <mergeCell ref="O5:O6"/>
    <mergeCell ref="L5:L6"/>
    <mergeCell ref="P5:P6"/>
    <mergeCell ref="K5:K6"/>
    <mergeCell ref="B10:B12"/>
    <mergeCell ref="A7:A9"/>
    <mergeCell ref="C7:C9"/>
    <mergeCell ref="D7:D9"/>
    <mergeCell ref="E7:E9"/>
    <mergeCell ref="B7:B9"/>
    <mergeCell ref="G7:G9"/>
    <mergeCell ref="C13:C14"/>
    <mergeCell ref="D13:D14"/>
    <mergeCell ref="E13:E14"/>
    <mergeCell ref="F13:F14"/>
    <mergeCell ref="F7:F9"/>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8"/>
  <sheetViews>
    <sheetView topLeftCell="A28" zoomScale="55" zoomScaleNormal="55" workbookViewId="0">
      <selection activeCell="P42" sqref="P42"/>
    </sheetView>
  </sheetViews>
  <sheetFormatPr defaultRowHeight="15"/>
  <cols>
    <col min="1" max="1" width="17.5703125" customWidth="1"/>
    <col min="2" max="2" width="16.28515625" customWidth="1"/>
    <col min="3" max="3" width="15.7109375" customWidth="1"/>
    <col min="4" max="4" width="21.28515625" customWidth="1"/>
    <col min="5" max="5" width="16.7109375" customWidth="1"/>
    <col min="6" max="6" width="15.28515625" customWidth="1"/>
    <col min="7" max="7" width="17" customWidth="1"/>
    <col min="8" max="8" width="15.140625" customWidth="1"/>
    <col min="9" max="9" width="19.42578125" customWidth="1"/>
    <col min="10" max="10" width="12.7109375" customWidth="1"/>
    <col min="11" max="11" width="13.28515625" customWidth="1"/>
    <col min="12" max="12" width="12.42578125" customWidth="1"/>
    <col min="13" max="13" width="14.140625" customWidth="1"/>
    <col min="14" max="14" width="11.42578125" customWidth="1"/>
    <col min="15" max="15" width="17.7109375" customWidth="1"/>
    <col min="16" max="16" width="20.85546875" style="290" customWidth="1"/>
    <col min="17" max="17" width="33.140625" customWidth="1"/>
    <col min="18" max="18" width="51.85546875" customWidth="1"/>
    <col min="19" max="19" width="52.7109375" customWidth="1"/>
    <col min="20" max="20" width="68" customWidth="1"/>
  </cols>
  <sheetData>
    <row r="1" spans="1:20">
      <c r="A1" s="9" t="s">
        <v>13</v>
      </c>
      <c r="E1" s="148" t="s">
        <v>130</v>
      </c>
    </row>
    <row r="2" spans="1:20">
      <c r="A2" t="s">
        <v>105</v>
      </c>
    </row>
    <row r="3" spans="1:20" ht="15.75" thickBot="1">
      <c r="A3" t="s">
        <v>35</v>
      </c>
    </row>
    <row r="4" spans="1:20" ht="15" customHeight="1">
      <c r="A4" s="911" t="s">
        <v>24</v>
      </c>
      <c r="B4" s="906" t="s">
        <v>131</v>
      </c>
      <c r="C4" s="912" t="s">
        <v>132</v>
      </c>
      <c r="D4" s="921" t="s">
        <v>4</v>
      </c>
      <c r="E4" s="1022"/>
      <c r="F4" s="923"/>
      <c r="G4" s="911" t="s">
        <v>18</v>
      </c>
      <c r="H4" s="1023" t="s">
        <v>19</v>
      </c>
      <c r="I4" s="1024"/>
      <c r="J4" s="916" t="s">
        <v>31</v>
      </c>
      <c r="K4" s="908" t="s">
        <v>38</v>
      </c>
      <c r="L4" s="916" t="s">
        <v>32</v>
      </c>
      <c r="M4" s="921" t="s">
        <v>26</v>
      </c>
      <c r="N4" s="923"/>
      <c r="O4" s="916" t="s">
        <v>29</v>
      </c>
      <c r="P4" s="1033" t="s">
        <v>30</v>
      </c>
      <c r="Q4" s="916" t="s">
        <v>39</v>
      </c>
      <c r="R4" s="918" t="s">
        <v>40</v>
      </c>
    </row>
    <row r="5" spans="1:20" ht="30.75" thickBot="1">
      <c r="A5" s="1012"/>
      <c r="B5" s="907"/>
      <c r="C5" s="913"/>
      <c r="D5" s="1" t="s">
        <v>7</v>
      </c>
      <c r="E5" s="6" t="s">
        <v>17</v>
      </c>
      <c r="F5" s="5" t="s">
        <v>25</v>
      </c>
      <c r="G5" s="1012"/>
      <c r="H5" s="1" t="s">
        <v>44</v>
      </c>
      <c r="I5" s="2" t="s">
        <v>49</v>
      </c>
      <c r="J5" s="907"/>
      <c r="K5" s="1035"/>
      <c r="L5" s="907"/>
      <c r="M5" s="2" t="s">
        <v>27</v>
      </c>
      <c r="N5" s="2" t="s">
        <v>47</v>
      </c>
      <c r="O5" s="907"/>
      <c r="P5" s="1034"/>
      <c r="Q5" s="1038"/>
      <c r="R5" s="1039"/>
    </row>
    <row r="6" spans="1:20" ht="116.45" customHeight="1">
      <c r="A6" s="953" t="s">
        <v>105</v>
      </c>
      <c r="B6" s="992">
        <f>F6</f>
        <v>14009564.705882352</v>
      </c>
      <c r="C6" s="1002">
        <v>11908130</v>
      </c>
      <c r="D6" s="751" t="s">
        <v>158</v>
      </c>
      <c r="E6" s="992">
        <f>C6/0.85*0.15</f>
        <v>2101434.7058823528</v>
      </c>
      <c r="F6" s="1018">
        <f>C6+E6</f>
        <v>14009564.705882352</v>
      </c>
      <c r="G6" s="1009">
        <f>F6</f>
        <v>14009564.705882352</v>
      </c>
      <c r="H6" s="305" t="s">
        <v>156</v>
      </c>
      <c r="I6" s="287" t="s">
        <v>166</v>
      </c>
      <c r="J6" s="1030" t="s">
        <v>45</v>
      </c>
      <c r="K6" s="751" t="s">
        <v>41</v>
      </c>
      <c r="L6" s="307" t="s">
        <v>79</v>
      </c>
      <c r="M6" s="287" t="s">
        <v>42</v>
      </c>
      <c r="N6" s="499" t="s">
        <v>262</v>
      </c>
      <c r="O6" s="308">
        <f>P6*0.2</f>
        <v>1900</v>
      </c>
      <c r="P6" s="308">
        <v>9500</v>
      </c>
      <c r="Q6" s="287" t="s">
        <v>34</v>
      </c>
      <c r="R6" s="983" t="s">
        <v>327</v>
      </c>
      <c r="S6" s="1040" t="s">
        <v>328</v>
      </c>
      <c r="T6" s="978"/>
    </row>
    <row r="7" spans="1:20" ht="200.45" customHeight="1">
      <c r="A7" s="954"/>
      <c r="B7" s="991"/>
      <c r="C7" s="1003"/>
      <c r="D7" s="752"/>
      <c r="E7" s="991"/>
      <c r="F7" s="994"/>
      <c r="G7" s="1010"/>
      <c r="H7" s="301" t="s">
        <v>157</v>
      </c>
      <c r="I7" s="302" t="s">
        <v>167</v>
      </c>
      <c r="J7" s="1031"/>
      <c r="K7" s="752"/>
      <c r="L7" s="309" t="s">
        <v>36</v>
      </c>
      <c r="M7" s="302" t="s">
        <v>42</v>
      </c>
      <c r="N7" s="500" t="s">
        <v>262</v>
      </c>
      <c r="O7" s="310">
        <f>P7*0.2</f>
        <v>950</v>
      </c>
      <c r="P7" s="310">
        <v>4750</v>
      </c>
      <c r="Q7" s="302" t="s">
        <v>34</v>
      </c>
      <c r="R7" s="980"/>
      <c r="S7" s="1040"/>
      <c r="T7" s="978"/>
    </row>
    <row r="8" spans="1:20" ht="130.9" customHeight="1">
      <c r="A8" s="954"/>
      <c r="B8" s="991"/>
      <c r="C8" s="1003"/>
      <c r="D8" s="752"/>
      <c r="E8" s="991"/>
      <c r="F8" s="994"/>
      <c r="G8" s="1010"/>
      <c r="H8" s="306" t="s">
        <v>164</v>
      </c>
      <c r="I8" s="302" t="s">
        <v>168</v>
      </c>
      <c r="J8" s="1031"/>
      <c r="K8" s="752"/>
      <c r="L8" s="309" t="s">
        <v>79</v>
      </c>
      <c r="M8" s="302" t="s">
        <v>42</v>
      </c>
      <c r="N8" s="500" t="s">
        <v>262</v>
      </c>
      <c r="O8" s="311" t="s">
        <v>8</v>
      </c>
      <c r="P8" s="310">
        <f>P6*0.8</f>
        <v>7600</v>
      </c>
      <c r="Q8" s="288" t="s">
        <v>34</v>
      </c>
      <c r="R8" s="304" t="s">
        <v>325</v>
      </c>
      <c r="S8" s="515" t="s">
        <v>329</v>
      </c>
    </row>
    <row r="9" spans="1:20" ht="141.6" customHeight="1">
      <c r="A9" s="954"/>
      <c r="B9" s="993"/>
      <c r="C9" s="1004"/>
      <c r="D9" s="752"/>
      <c r="E9" s="991"/>
      <c r="F9" s="1019"/>
      <c r="G9" s="1011"/>
      <c r="H9" s="301" t="s">
        <v>165</v>
      </c>
      <c r="I9" s="288" t="s">
        <v>169</v>
      </c>
      <c r="J9" s="1031"/>
      <c r="K9" s="752"/>
      <c r="L9" s="286" t="s">
        <v>36</v>
      </c>
      <c r="M9" s="312" t="s">
        <v>42</v>
      </c>
      <c r="N9" s="501" t="s">
        <v>262</v>
      </c>
      <c r="O9" s="311" t="s">
        <v>8</v>
      </c>
      <c r="P9" s="313">
        <f>P7*0.8</f>
        <v>3800</v>
      </c>
      <c r="Q9" s="314" t="s">
        <v>34</v>
      </c>
      <c r="R9" s="304" t="s">
        <v>326</v>
      </c>
      <c r="S9" s="515" t="s">
        <v>324</v>
      </c>
    </row>
    <row r="10" spans="1:20" ht="132" customHeight="1">
      <c r="A10" s="954"/>
      <c r="B10" s="987">
        <f>F10</f>
        <v>1176400</v>
      </c>
      <c r="C10" s="995">
        <v>588200</v>
      </c>
      <c r="D10" s="752"/>
      <c r="E10" s="998">
        <f>C10/0.5*0.5</f>
        <v>588200</v>
      </c>
      <c r="F10" s="995">
        <f>C10+E10</f>
        <v>1176400</v>
      </c>
      <c r="G10" s="995">
        <f>F10</f>
        <v>1176400</v>
      </c>
      <c r="H10" s="300" t="s">
        <v>156</v>
      </c>
      <c r="I10" s="293" t="s">
        <v>166</v>
      </c>
      <c r="J10" s="999" t="s">
        <v>37</v>
      </c>
      <c r="K10" s="752"/>
      <c r="L10" s="295" t="s">
        <v>79</v>
      </c>
      <c r="M10" s="292" t="s">
        <v>42</v>
      </c>
      <c r="N10" s="498" t="s">
        <v>262</v>
      </c>
      <c r="O10" s="296">
        <f>P10*0.2</f>
        <v>160</v>
      </c>
      <c r="P10" s="296">
        <f>ROUND(48*25*0.667,0)</f>
        <v>800</v>
      </c>
      <c r="Q10" s="292" t="s">
        <v>34</v>
      </c>
      <c r="R10" s="981" t="s">
        <v>323</v>
      </c>
      <c r="S10" s="1036" t="s">
        <v>322</v>
      </c>
    </row>
    <row r="11" spans="1:20" ht="160.9" customHeight="1">
      <c r="A11" s="954"/>
      <c r="B11" s="988"/>
      <c r="C11" s="996"/>
      <c r="D11" s="752"/>
      <c r="E11" s="998"/>
      <c r="F11" s="996"/>
      <c r="G11" s="996"/>
      <c r="H11" s="291" t="s">
        <v>157</v>
      </c>
      <c r="I11" s="293" t="s">
        <v>167</v>
      </c>
      <c r="J11" s="1000"/>
      <c r="K11" s="752"/>
      <c r="L11" s="285" t="s">
        <v>36</v>
      </c>
      <c r="M11" s="292" t="s">
        <v>42</v>
      </c>
      <c r="N11" s="498" t="s">
        <v>262</v>
      </c>
      <c r="O11" s="296">
        <f>P11*0.2</f>
        <v>80</v>
      </c>
      <c r="P11" s="296">
        <f>ROUND(48*25*0.333,0)</f>
        <v>400</v>
      </c>
      <c r="Q11" s="292" t="s">
        <v>34</v>
      </c>
      <c r="R11" s="982"/>
      <c r="S11" s="1036"/>
    </row>
    <row r="12" spans="1:20" ht="144" customHeight="1">
      <c r="A12" s="954"/>
      <c r="B12" s="988"/>
      <c r="C12" s="996"/>
      <c r="D12" s="752"/>
      <c r="E12" s="998"/>
      <c r="F12" s="996"/>
      <c r="G12" s="996"/>
      <c r="H12" s="297" t="s">
        <v>164</v>
      </c>
      <c r="I12" s="293" t="s">
        <v>168</v>
      </c>
      <c r="J12" s="1000"/>
      <c r="K12" s="752"/>
      <c r="L12" s="285" t="s">
        <v>79</v>
      </c>
      <c r="M12" s="292" t="s">
        <v>42</v>
      </c>
      <c r="N12" s="498" t="s">
        <v>262</v>
      </c>
      <c r="O12" s="296" t="s">
        <v>8</v>
      </c>
      <c r="P12" s="296">
        <f>P10*0.8</f>
        <v>640</v>
      </c>
      <c r="Q12" s="292" t="s">
        <v>34</v>
      </c>
      <c r="R12" s="298" t="s">
        <v>263</v>
      </c>
      <c r="S12" s="515" t="s">
        <v>267</v>
      </c>
    </row>
    <row r="13" spans="1:20" ht="146.44999999999999" customHeight="1">
      <c r="A13" s="954"/>
      <c r="B13" s="989"/>
      <c r="C13" s="997"/>
      <c r="D13" s="784"/>
      <c r="E13" s="998"/>
      <c r="F13" s="997"/>
      <c r="G13" s="997"/>
      <c r="H13" s="297" t="s">
        <v>165</v>
      </c>
      <c r="I13" s="292" t="s">
        <v>169</v>
      </c>
      <c r="J13" s="1001"/>
      <c r="K13" s="784"/>
      <c r="L13" s="284" t="s">
        <v>36</v>
      </c>
      <c r="M13" s="292" t="s">
        <v>42</v>
      </c>
      <c r="N13" s="498" t="s">
        <v>262</v>
      </c>
      <c r="O13" s="296" t="s">
        <v>8</v>
      </c>
      <c r="P13" s="296">
        <f>P11*0.8</f>
        <v>320</v>
      </c>
      <c r="Q13" s="292" t="s">
        <v>34</v>
      </c>
      <c r="R13" s="299" t="s">
        <v>264</v>
      </c>
      <c r="S13" s="515" t="s">
        <v>320</v>
      </c>
    </row>
    <row r="14" spans="1:20" ht="110.45" customHeight="1">
      <c r="A14" s="954"/>
      <c r="B14" s="990">
        <f>F14</f>
        <v>7012070.5882352944</v>
      </c>
      <c r="C14" s="1005">
        <v>5960260</v>
      </c>
      <c r="D14" s="1006" t="s">
        <v>159</v>
      </c>
      <c r="E14" s="1032">
        <f>C14/0.85*0.15</f>
        <v>1051810.5882352942</v>
      </c>
      <c r="F14" s="994">
        <f t="shared" ref="F14" si="0">C14+E14</f>
        <v>7012070.5882352944</v>
      </c>
      <c r="G14" s="1019">
        <f>F14</f>
        <v>7012070.5882352944</v>
      </c>
      <c r="H14" s="301" t="s">
        <v>156</v>
      </c>
      <c r="I14" s="302" t="s">
        <v>166</v>
      </c>
      <c r="J14" s="1028" t="s">
        <v>45</v>
      </c>
      <c r="K14" s="785" t="s">
        <v>41</v>
      </c>
      <c r="L14" s="283" t="s">
        <v>79</v>
      </c>
      <c r="M14" s="288" t="s">
        <v>42</v>
      </c>
      <c r="N14" s="502" t="s">
        <v>262</v>
      </c>
      <c r="O14" s="303">
        <f>P14*0.2</f>
        <v>940</v>
      </c>
      <c r="P14" s="303">
        <v>4700</v>
      </c>
      <c r="Q14" s="288" t="s">
        <v>34</v>
      </c>
      <c r="R14" s="979" t="s">
        <v>319</v>
      </c>
      <c r="S14" s="1040" t="s">
        <v>321</v>
      </c>
    </row>
    <row r="15" spans="1:20" ht="185.45" customHeight="1">
      <c r="A15" s="954"/>
      <c r="B15" s="991"/>
      <c r="C15" s="1003"/>
      <c r="D15" s="1007"/>
      <c r="E15" s="1032"/>
      <c r="F15" s="994"/>
      <c r="G15" s="1010"/>
      <c r="H15" s="301" t="s">
        <v>157</v>
      </c>
      <c r="I15" s="302" t="s">
        <v>167</v>
      </c>
      <c r="J15" s="1029"/>
      <c r="K15" s="752"/>
      <c r="L15" s="283" t="s">
        <v>36</v>
      </c>
      <c r="M15" s="288" t="s">
        <v>42</v>
      </c>
      <c r="N15" s="502" t="s">
        <v>262</v>
      </c>
      <c r="O15" s="303">
        <f>P15*0.2</f>
        <v>460</v>
      </c>
      <c r="P15" s="303">
        <v>2300</v>
      </c>
      <c r="Q15" s="288" t="s">
        <v>34</v>
      </c>
      <c r="R15" s="980"/>
      <c r="S15" s="1040"/>
    </row>
    <row r="16" spans="1:20" ht="132" customHeight="1">
      <c r="A16" s="954"/>
      <c r="B16" s="991"/>
      <c r="C16" s="1003"/>
      <c r="D16" s="1007"/>
      <c r="E16" s="1032"/>
      <c r="F16" s="994"/>
      <c r="G16" s="1010"/>
      <c r="H16" s="301" t="s">
        <v>164</v>
      </c>
      <c r="I16" s="302" t="s">
        <v>168</v>
      </c>
      <c r="J16" s="1029"/>
      <c r="K16" s="752"/>
      <c r="L16" s="283" t="s">
        <v>79</v>
      </c>
      <c r="M16" s="288" t="s">
        <v>42</v>
      </c>
      <c r="N16" s="502" t="s">
        <v>262</v>
      </c>
      <c r="O16" s="303" t="s">
        <v>8</v>
      </c>
      <c r="P16" s="303">
        <f>P14*0.8</f>
        <v>3760</v>
      </c>
      <c r="Q16" s="288" t="s">
        <v>34</v>
      </c>
      <c r="R16" s="304" t="s">
        <v>330</v>
      </c>
      <c r="S16" s="515" t="s">
        <v>268</v>
      </c>
    </row>
    <row r="17" spans="1:20" ht="139.15" customHeight="1">
      <c r="A17" s="954"/>
      <c r="B17" s="991"/>
      <c r="C17" s="1004"/>
      <c r="D17" s="1007"/>
      <c r="E17" s="1032"/>
      <c r="F17" s="994"/>
      <c r="G17" s="1011"/>
      <c r="H17" s="301" t="s">
        <v>165</v>
      </c>
      <c r="I17" s="288" t="s">
        <v>169</v>
      </c>
      <c r="J17" s="1029"/>
      <c r="K17" s="752"/>
      <c r="L17" s="283" t="s">
        <v>36</v>
      </c>
      <c r="M17" s="288" t="s">
        <v>42</v>
      </c>
      <c r="N17" s="502" t="s">
        <v>262</v>
      </c>
      <c r="O17" s="303" t="s">
        <v>8</v>
      </c>
      <c r="P17" s="303">
        <f>P15*0.8</f>
        <v>1840</v>
      </c>
      <c r="Q17" s="288" t="s">
        <v>34</v>
      </c>
      <c r="R17" s="304" t="s">
        <v>331</v>
      </c>
      <c r="S17" s="515" t="s">
        <v>269</v>
      </c>
    </row>
    <row r="18" spans="1:20" ht="119.45" customHeight="1">
      <c r="A18" s="954"/>
      <c r="B18" s="987">
        <f>F18</f>
        <v>582400</v>
      </c>
      <c r="C18" s="995">
        <v>291200</v>
      </c>
      <c r="D18" s="1007"/>
      <c r="E18" s="998">
        <f>C18/0.5*0.5</f>
        <v>291200</v>
      </c>
      <c r="F18" s="1013">
        <f>C18+E18</f>
        <v>582400</v>
      </c>
      <c r="G18" s="1013">
        <f>F18</f>
        <v>582400</v>
      </c>
      <c r="H18" s="291" t="s">
        <v>156</v>
      </c>
      <c r="I18" s="293" t="s">
        <v>166</v>
      </c>
      <c r="J18" s="999" t="s">
        <v>37</v>
      </c>
      <c r="K18" s="752"/>
      <c r="L18" s="295" t="s">
        <v>79</v>
      </c>
      <c r="M18" s="292" t="s">
        <v>42</v>
      </c>
      <c r="N18" s="498" t="s">
        <v>262</v>
      </c>
      <c r="O18" s="296">
        <f>P18*0.2</f>
        <v>80</v>
      </c>
      <c r="P18" s="296">
        <f>ROUND(30/2*40*0.667,0)</f>
        <v>400</v>
      </c>
      <c r="Q18" s="292" t="s">
        <v>34</v>
      </c>
      <c r="R18" s="984" t="s">
        <v>265</v>
      </c>
      <c r="S18" s="1036" t="s">
        <v>304</v>
      </c>
    </row>
    <row r="19" spans="1:20" ht="175.9" customHeight="1">
      <c r="A19" s="954"/>
      <c r="B19" s="988"/>
      <c r="C19" s="996"/>
      <c r="D19" s="1007"/>
      <c r="E19" s="998"/>
      <c r="F19" s="1013"/>
      <c r="G19" s="1013"/>
      <c r="H19" s="291" t="s">
        <v>157</v>
      </c>
      <c r="I19" s="293" t="s">
        <v>167</v>
      </c>
      <c r="J19" s="1000"/>
      <c r="K19" s="752"/>
      <c r="L19" s="295" t="s">
        <v>36</v>
      </c>
      <c r="M19" s="292" t="s">
        <v>42</v>
      </c>
      <c r="N19" s="498" t="s">
        <v>262</v>
      </c>
      <c r="O19" s="296">
        <f>P19*0.2</f>
        <v>40</v>
      </c>
      <c r="P19" s="296">
        <f>ROUND(30/2*40*0.333,0)</f>
        <v>200</v>
      </c>
      <c r="Q19" s="292" t="s">
        <v>34</v>
      </c>
      <c r="R19" s="985"/>
      <c r="S19" s="1037"/>
    </row>
    <row r="20" spans="1:20" ht="141.6" customHeight="1">
      <c r="A20" s="954"/>
      <c r="B20" s="988"/>
      <c r="C20" s="996"/>
      <c r="D20" s="1007"/>
      <c r="E20" s="998"/>
      <c r="F20" s="1013"/>
      <c r="G20" s="1013"/>
      <c r="H20" s="291" t="s">
        <v>164</v>
      </c>
      <c r="I20" s="293" t="s">
        <v>168</v>
      </c>
      <c r="J20" s="1000"/>
      <c r="K20" s="752"/>
      <c r="L20" s="295" t="s">
        <v>79</v>
      </c>
      <c r="M20" s="292" t="s">
        <v>42</v>
      </c>
      <c r="N20" s="498" t="s">
        <v>262</v>
      </c>
      <c r="O20" s="296" t="s">
        <v>8</v>
      </c>
      <c r="P20" s="296">
        <f>P18*0.8</f>
        <v>320</v>
      </c>
      <c r="Q20" s="292" t="s">
        <v>34</v>
      </c>
      <c r="R20" s="298" t="s">
        <v>306</v>
      </c>
      <c r="S20" s="515" t="s">
        <v>305</v>
      </c>
    </row>
    <row r="21" spans="1:20" ht="135.6" customHeight="1">
      <c r="A21" s="954"/>
      <c r="B21" s="989"/>
      <c r="C21" s="997"/>
      <c r="D21" s="1008"/>
      <c r="E21" s="998"/>
      <c r="F21" s="1013"/>
      <c r="G21" s="1013"/>
      <c r="H21" s="291" t="s">
        <v>165</v>
      </c>
      <c r="I21" s="292" t="s">
        <v>169</v>
      </c>
      <c r="J21" s="1001"/>
      <c r="K21" s="784"/>
      <c r="L21" s="295" t="s">
        <v>36</v>
      </c>
      <c r="M21" s="292" t="s">
        <v>42</v>
      </c>
      <c r="N21" s="498" t="s">
        <v>262</v>
      </c>
      <c r="O21" s="296" t="s">
        <v>8</v>
      </c>
      <c r="P21" s="296">
        <f>P19*0.8</f>
        <v>160</v>
      </c>
      <c r="Q21" s="292" t="s">
        <v>34</v>
      </c>
      <c r="R21" s="298" t="s">
        <v>266</v>
      </c>
      <c r="S21" s="515" t="s">
        <v>307</v>
      </c>
    </row>
    <row r="22" spans="1:20" ht="141" customHeight="1">
      <c r="A22" s="954"/>
      <c r="B22" s="1016">
        <f>F22</f>
        <v>7013776.4705882352</v>
      </c>
      <c r="C22" s="1017">
        <v>5961710</v>
      </c>
      <c r="D22" s="1025" t="s">
        <v>160</v>
      </c>
      <c r="E22" s="1016">
        <f>C22/0.85*0.15</f>
        <v>1052066.4705882352</v>
      </c>
      <c r="F22" s="1017">
        <f>C22+E22</f>
        <v>7013776.4705882352</v>
      </c>
      <c r="G22" s="1017">
        <f>F22</f>
        <v>7013776.4705882352</v>
      </c>
      <c r="H22" s="301" t="s">
        <v>156</v>
      </c>
      <c r="I22" s="302" t="s">
        <v>166</v>
      </c>
      <c r="J22" s="1028" t="s">
        <v>45</v>
      </c>
      <c r="K22" s="785" t="s">
        <v>41</v>
      </c>
      <c r="L22" s="283" t="s">
        <v>79</v>
      </c>
      <c r="M22" s="288" t="s">
        <v>42</v>
      </c>
      <c r="N22" s="502" t="s">
        <v>262</v>
      </c>
      <c r="O22" s="303">
        <f>P22*0.2</f>
        <v>960</v>
      </c>
      <c r="P22" s="303">
        <v>4800</v>
      </c>
      <c r="Q22" s="288" t="s">
        <v>34</v>
      </c>
      <c r="R22" s="979" t="s">
        <v>303</v>
      </c>
      <c r="S22" s="1036" t="s">
        <v>308</v>
      </c>
      <c r="T22" s="986"/>
    </row>
    <row r="23" spans="1:20" ht="184.15" customHeight="1">
      <c r="A23" s="954"/>
      <c r="B23" s="1016"/>
      <c r="C23" s="1017"/>
      <c r="D23" s="1025"/>
      <c r="E23" s="1016"/>
      <c r="F23" s="1017"/>
      <c r="G23" s="1017"/>
      <c r="H23" s="301" t="s">
        <v>157</v>
      </c>
      <c r="I23" s="302" t="s">
        <v>167</v>
      </c>
      <c r="J23" s="1029"/>
      <c r="K23" s="752"/>
      <c r="L23" s="283" t="s">
        <v>36</v>
      </c>
      <c r="M23" s="288" t="s">
        <v>42</v>
      </c>
      <c r="N23" s="502" t="s">
        <v>262</v>
      </c>
      <c r="O23" s="303">
        <f>P23*0.2</f>
        <v>480</v>
      </c>
      <c r="P23" s="303">
        <v>2400</v>
      </c>
      <c r="Q23" s="288" t="s">
        <v>34</v>
      </c>
      <c r="R23" s="980"/>
      <c r="S23" s="1037"/>
      <c r="T23" s="986"/>
    </row>
    <row r="24" spans="1:20" ht="133.9" customHeight="1">
      <c r="A24" s="954"/>
      <c r="B24" s="1016"/>
      <c r="C24" s="1017"/>
      <c r="D24" s="1025"/>
      <c r="E24" s="1016"/>
      <c r="F24" s="1017"/>
      <c r="G24" s="1017"/>
      <c r="H24" s="301" t="s">
        <v>164</v>
      </c>
      <c r="I24" s="302" t="s">
        <v>168</v>
      </c>
      <c r="J24" s="1029"/>
      <c r="K24" s="752"/>
      <c r="L24" s="283" t="s">
        <v>79</v>
      </c>
      <c r="M24" s="288" t="s">
        <v>42</v>
      </c>
      <c r="N24" s="502" t="s">
        <v>262</v>
      </c>
      <c r="O24" s="303" t="s">
        <v>8</v>
      </c>
      <c r="P24" s="303">
        <f>P22*0.8</f>
        <v>3840</v>
      </c>
      <c r="Q24" s="288" t="s">
        <v>34</v>
      </c>
      <c r="R24" s="304" t="s">
        <v>309</v>
      </c>
      <c r="S24" s="515" t="s">
        <v>310</v>
      </c>
    </row>
    <row r="25" spans="1:20" ht="132" customHeight="1">
      <c r="A25" s="954"/>
      <c r="B25" s="1016"/>
      <c r="C25" s="1017"/>
      <c r="D25" s="1025"/>
      <c r="E25" s="1016"/>
      <c r="F25" s="1017"/>
      <c r="G25" s="1017"/>
      <c r="H25" s="301" t="s">
        <v>165</v>
      </c>
      <c r="I25" s="288" t="s">
        <v>169</v>
      </c>
      <c r="J25" s="1029"/>
      <c r="K25" s="752"/>
      <c r="L25" s="283" t="s">
        <v>36</v>
      </c>
      <c r="M25" s="288" t="s">
        <v>42</v>
      </c>
      <c r="N25" s="502" t="s">
        <v>262</v>
      </c>
      <c r="O25" s="303" t="s">
        <v>8</v>
      </c>
      <c r="P25" s="303">
        <f>P23*0.8</f>
        <v>1920</v>
      </c>
      <c r="Q25" s="288" t="s">
        <v>34</v>
      </c>
      <c r="R25" s="304" t="s">
        <v>312</v>
      </c>
      <c r="S25" s="515" t="s">
        <v>311</v>
      </c>
    </row>
    <row r="26" spans="1:20" ht="125.45" customHeight="1">
      <c r="A26" s="954"/>
      <c r="B26" s="1020">
        <f>F26</f>
        <v>581000</v>
      </c>
      <c r="C26" s="1013">
        <v>290500</v>
      </c>
      <c r="D26" s="1025"/>
      <c r="E26" s="998">
        <f>C26/0.5*0.5</f>
        <v>290500</v>
      </c>
      <c r="F26" s="1013">
        <f>C26+E26</f>
        <v>581000</v>
      </c>
      <c r="G26" s="1013">
        <f>F26</f>
        <v>581000</v>
      </c>
      <c r="H26" s="291" t="s">
        <v>156</v>
      </c>
      <c r="I26" s="292" t="s">
        <v>166</v>
      </c>
      <c r="J26" s="999" t="s">
        <v>37</v>
      </c>
      <c r="K26" s="752"/>
      <c r="L26" s="295" t="s">
        <v>79</v>
      </c>
      <c r="M26" s="292" t="s">
        <v>42</v>
      </c>
      <c r="N26" s="498" t="s">
        <v>262</v>
      </c>
      <c r="O26" s="296">
        <f>P26*0.2</f>
        <v>76.800000000000011</v>
      </c>
      <c r="P26" s="296">
        <f>ROUND(32/5*90*0.667,0)</f>
        <v>384</v>
      </c>
      <c r="Q26" s="292" t="s">
        <v>34</v>
      </c>
      <c r="R26" s="984" t="s">
        <v>313</v>
      </c>
      <c r="S26" s="1036" t="s">
        <v>314</v>
      </c>
    </row>
    <row r="27" spans="1:20" ht="169.15" customHeight="1">
      <c r="A27" s="954"/>
      <c r="B27" s="1020"/>
      <c r="C27" s="1013"/>
      <c r="D27" s="1025"/>
      <c r="E27" s="998"/>
      <c r="F27" s="1013"/>
      <c r="G27" s="1013"/>
      <c r="H27" s="291" t="s">
        <v>157</v>
      </c>
      <c r="I27" s="293" t="s">
        <v>167</v>
      </c>
      <c r="J27" s="1000"/>
      <c r="K27" s="752"/>
      <c r="L27" s="295" t="s">
        <v>36</v>
      </c>
      <c r="M27" s="292" t="s">
        <v>42</v>
      </c>
      <c r="N27" s="498" t="s">
        <v>262</v>
      </c>
      <c r="O27" s="296">
        <f>P27*0.2</f>
        <v>38.400000000000006</v>
      </c>
      <c r="P27" s="296">
        <f>ROUND(32/5*90*0.333,0)</f>
        <v>192</v>
      </c>
      <c r="Q27" s="292" t="s">
        <v>34</v>
      </c>
      <c r="R27" s="985"/>
      <c r="S27" s="1037"/>
    </row>
    <row r="28" spans="1:20" ht="131.44999999999999" customHeight="1">
      <c r="A28" s="954"/>
      <c r="B28" s="1020"/>
      <c r="C28" s="1013"/>
      <c r="D28" s="1025"/>
      <c r="E28" s="998"/>
      <c r="F28" s="1013"/>
      <c r="G28" s="1013"/>
      <c r="H28" s="291" t="s">
        <v>164</v>
      </c>
      <c r="I28" s="293" t="s">
        <v>168</v>
      </c>
      <c r="J28" s="1000"/>
      <c r="K28" s="752"/>
      <c r="L28" s="295" t="s">
        <v>79</v>
      </c>
      <c r="M28" s="292" t="s">
        <v>42</v>
      </c>
      <c r="N28" s="498" t="s">
        <v>262</v>
      </c>
      <c r="O28" s="296" t="s">
        <v>8</v>
      </c>
      <c r="P28" s="296">
        <f>ROUND(P26*0.8,0)</f>
        <v>307</v>
      </c>
      <c r="Q28" s="292" t="s">
        <v>34</v>
      </c>
      <c r="R28" s="298" t="s">
        <v>315</v>
      </c>
      <c r="S28" s="515" t="s">
        <v>316</v>
      </c>
    </row>
    <row r="29" spans="1:20" ht="134.44999999999999" customHeight="1" thickBot="1">
      <c r="A29" s="955"/>
      <c r="B29" s="1021"/>
      <c r="C29" s="1014"/>
      <c r="D29" s="1026"/>
      <c r="E29" s="1015"/>
      <c r="F29" s="1014"/>
      <c r="G29" s="1014"/>
      <c r="H29" s="315" t="s">
        <v>165</v>
      </c>
      <c r="I29" s="294" t="s">
        <v>169</v>
      </c>
      <c r="J29" s="1027"/>
      <c r="K29" s="753"/>
      <c r="L29" s="316" t="s">
        <v>36</v>
      </c>
      <c r="M29" s="294" t="s">
        <v>42</v>
      </c>
      <c r="N29" s="503" t="s">
        <v>262</v>
      </c>
      <c r="O29" s="317" t="s">
        <v>8</v>
      </c>
      <c r="P29" s="317">
        <f>ROUND(P27*0.8,0)</f>
        <v>154</v>
      </c>
      <c r="Q29" s="294" t="s">
        <v>34</v>
      </c>
      <c r="R29" s="319" t="s">
        <v>317</v>
      </c>
      <c r="S29" s="515" t="s">
        <v>318</v>
      </c>
    </row>
    <row r="30" spans="1:20">
      <c r="A30" s="203"/>
      <c r="B30" s="212"/>
      <c r="C30" s="318">
        <f>C6+C10+C14+C18+C22+C26</f>
        <v>25000000</v>
      </c>
      <c r="D30" s="204"/>
      <c r="E30" s="205"/>
      <c r="F30" s="206"/>
      <c r="G30" s="207"/>
      <c r="H30" s="208"/>
      <c r="I30" s="151"/>
      <c r="J30" s="208"/>
      <c r="K30" s="209"/>
      <c r="L30" s="208"/>
      <c r="M30" s="208"/>
      <c r="N30" s="210"/>
      <c r="O30" s="208"/>
      <c r="P30" s="210"/>
      <c r="Q30" s="208"/>
    </row>
    <row r="31" spans="1:20">
      <c r="A31" s="203"/>
      <c r="B31" s="212"/>
      <c r="C31" s="213"/>
      <c r="D31" s="204"/>
      <c r="E31" s="205"/>
      <c r="F31" s="206"/>
      <c r="G31" s="207"/>
      <c r="H31" s="208"/>
      <c r="I31" s="151"/>
      <c r="J31" s="208"/>
      <c r="K31" s="209"/>
      <c r="L31" s="208"/>
      <c r="M31" s="208"/>
      <c r="N31" s="210"/>
      <c r="O31" s="208"/>
      <c r="P31" s="210"/>
      <c r="Q31" s="208"/>
    </row>
    <row r="32" spans="1:20">
      <c r="A32" s="203"/>
      <c r="B32" s="212" t="s">
        <v>179</v>
      </c>
      <c r="C32" s="335">
        <f>C6+C14+C22</f>
        <v>23830100</v>
      </c>
      <c r="D32" s="204"/>
      <c r="E32" s="205"/>
      <c r="F32" s="206"/>
      <c r="G32" s="207"/>
      <c r="H32" s="208"/>
      <c r="I32" s="151"/>
      <c r="J32" s="208"/>
      <c r="K32" s="209"/>
      <c r="L32" s="208"/>
      <c r="M32" s="208"/>
      <c r="N32" s="210"/>
      <c r="O32" s="208"/>
      <c r="P32" s="210"/>
      <c r="Q32" s="208"/>
    </row>
    <row r="33" spans="1:17">
      <c r="A33" s="203"/>
      <c r="B33" s="212"/>
      <c r="C33" s="335">
        <f>C10+C18+C26</f>
        <v>1169900</v>
      </c>
      <c r="D33" s="204"/>
      <c r="E33" s="205"/>
      <c r="F33" s="206"/>
      <c r="G33" s="207"/>
      <c r="H33" s="208"/>
      <c r="I33" s="151"/>
      <c r="J33" s="208"/>
      <c r="K33" s="209"/>
      <c r="L33" s="208"/>
      <c r="M33" s="208"/>
      <c r="N33" s="210"/>
      <c r="O33" s="208"/>
      <c r="P33" s="210"/>
      <c r="Q33" s="208"/>
    </row>
    <row r="34" spans="1:17">
      <c r="A34" s="203"/>
      <c r="B34" s="212"/>
      <c r="C34" s="335">
        <f>C32+C33</f>
        <v>25000000</v>
      </c>
      <c r="D34" s="204"/>
      <c r="E34" s="205"/>
      <c r="F34" s="206"/>
      <c r="G34" s="207"/>
      <c r="H34" s="208"/>
      <c r="I34" s="151"/>
      <c r="J34" s="208"/>
      <c r="K34" s="209"/>
      <c r="L34" s="208"/>
      <c r="M34" s="208"/>
      <c r="N34" s="210"/>
      <c r="O34" s="208"/>
      <c r="P34" s="210"/>
      <c r="Q34" s="208"/>
    </row>
    <row r="35" spans="1:17">
      <c r="A35" s="203"/>
      <c r="B35" s="212"/>
      <c r="C35" s="335"/>
      <c r="D35" s="204"/>
      <c r="E35" s="205"/>
      <c r="F35" s="206"/>
      <c r="G35" s="207"/>
      <c r="H35" s="208"/>
      <c r="I35" s="151"/>
      <c r="J35" s="208"/>
      <c r="K35" s="209"/>
      <c r="L35" s="208"/>
      <c r="M35" s="208"/>
      <c r="N35" s="210"/>
      <c r="O35" s="208"/>
      <c r="P35" s="210"/>
      <c r="Q35" s="208"/>
    </row>
    <row r="36" spans="1:17">
      <c r="A36" s="203"/>
      <c r="B36" s="212"/>
      <c r="C36" s="213"/>
      <c r="D36" s="204"/>
      <c r="E36" s="205"/>
      <c r="F36" s="206"/>
      <c r="G36" s="207"/>
      <c r="H36" s="208"/>
      <c r="I36" s="151"/>
      <c r="J36" s="208"/>
      <c r="K36" s="209"/>
      <c r="L36" s="208"/>
      <c r="M36" s="208"/>
      <c r="N36" s="210"/>
      <c r="O36" s="208"/>
      <c r="P36" s="210"/>
      <c r="Q36" s="208"/>
    </row>
    <row r="37" spans="1:17">
      <c r="A37" s="203"/>
      <c r="B37" s="212"/>
      <c r="C37" s="213"/>
      <c r="D37" s="204"/>
      <c r="E37" s="205"/>
      <c r="F37" s="206"/>
      <c r="G37" s="207"/>
      <c r="H37" s="208"/>
      <c r="I37" s="151"/>
      <c r="J37" s="208"/>
      <c r="K37" s="209"/>
      <c r="L37" s="208"/>
      <c r="M37" s="208"/>
      <c r="N37" s="210"/>
      <c r="O37" s="208"/>
      <c r="P37" s="210"/>
      <c r="Q37" s="208"/>
    </row>
    <row r="38" spans="1:17">
      <c r="A38" s="203"/>
      <c r="B38" s="212"/>
      <c r="C38" s="213"/>
      <c r="D38" s="204"/>
      <c r="E38" s="205"/>
      <c r="F38" s="206"/>
      <c r="G38" s="207"/>
      <c r="H38" s="208"/>
      <c r="I38" s="151"/>
      <c r="J38" s="208"/>
      <c r="K38" s="209"/>
      <c r="L38" s="208"/>
      <c r="M38" s="208"/>
      <c r="N38" s="210"/>
      <c r="O38" s="208"/>
      <c r="P38" s="210"/>
      <c r="Q38" s="208"/>
    </row>
    <row r="39" spans="1:17">
      <c r="A39" s="203"/>
      <c r="B39" s="212"/>
      <c r="C39" s="213"/>
      <c r="D39" s="204"/>
      <c r="E39" s="205"/>
      <c r="F39" s="206"/>
      <c r="G39" s="207"/>
      <c r="H39" s="208"/>
      <c r="I39" s="151"/>
      <c r="J39" s="208"/>
      <c r="K39" s="209"/>
      <c r="L39" s="208"/>
      <c r="M39" s="208"/>
      <c r="N39" s="210"/>
      <c r="O39" s="208"/>
      <c r="P39" s="210"/>
      <c r="Q39" s="208"/>
    </row>
    <row r="40" spans="1:17">
      <c r="A40" s="203"/>
      <c r="B40" s="212"/>
      <c r="C40" s="213"/>
      <c r="D40" s="204"/>
      <c r="E40" s="205"/>
      <c r="F40" s="206"/>
      <c r="G40" s="207" t="s">
        <v>133</v>
      </c>
      <c r="H40" s="208"/>
      <c r="I40" s="151"/>
      <c r="J40" s="208"/>
      <c r="K40" s="209"/>
      <c r="L40" s="208"/>
      <c r="M40" s="208"/>
      <c r="N40" s="210"/>
      <c r="O40" s="208"/>
      <c r="P40" s="210"/>
      <c r="Q40" s="208"/>
    </row>
    <row r="41" spans="1:17">
      <c r="A41" s="142" t="s">
        <v>16</v>
      </c>
      <c r="B41" s="211" t="s">
        <v>35</v>
      </c>
      <c r="C41" s="211" t="s">
        <v>126</v>
      </c>
      <c r="D41" s="224" t="s">
        <v>161</v>
      </c>
      <c r="E41" s="224" t="s">
        <v>162</v>
      </c>
      <c r="F41" s="224" t="s">
        <v>163</v>
      </c>
    </row>
    <row r="42" spans="1:17">
      <c r="A42" s="142" t="s">
        <v>123</v>
      </c>
      <c r="B42" s="147">
        <v>125080000</v>
      </c>
      <c r="C42" s="143">
        <f>SUM(B42:B42)</f>
        <v>125080000</v>
      </c>
      <c r="D42" s="129">
        <f>C30</f>
        <v>25000000</v>
      </c>
      <c r="F42" s="129">
        <f>'3.2'!C16</f>
        <v>97958750</v>
      </c>
      <c r="G42" s="153">
        <f>D42+E42+F42</f>
        <v>122958750</v>
      </c>
    </row>
    <row r="43" spans="1:17">
      <c r="A43" s="142" t="s">
        <v>124</v>
      </c>
      <c r="B43" s="146"/>
      <c r="C43" s="144"/>
    </row>
    <row r="44" spans="1:17">
      <c r="A44" s="142" t="s">
        <v>125</v>
      </c>
      <c r="B44" s="144"/>
      <c r="C44" s="144">
        <v>125000000</v>
      </c>
      <c r="D44" s="129">
        <f>C30</f>
        <v>25000000</v>
      </c>
      <c r="F44" s="129">
        <f>'3.2'!C16</f>
        <v>97958750</v>
      </c>
    </row>
    <row r="45" spans="1:17">
      <c r="A45" s="142"/>
      <c r="B45" s="143"/>
      <c r="C45" s="143">
        <f>SUM(C43:C44)</f>
        <v>125000000</v>
      </c>
    </row>
    <row r="47" spans="1:17">
      <c r="A47" s="142" t="s">
        <v>23</v>
      </c>
      <c r="B47" s="142" t="s">
        <v>35</v>
      </c>
      <c r="C47" s="142" t="s">
        <v>126</v>
      </c>
    </row>
    <row r="48" spans="1:17">
      <c r="A48" s="142" t="s">
        <v>123</v>
      </c>
      <c r="B48" s="141">
        <v>401222250</v>
      </c>
      <c r="C48" s="143">
        <f>SUM(B48:B48)</f>
        <v>401222250</v>
      </c>
      <c r="E48" s="153" t="e">
        <f>#REF!</f>
        <v>#REF!</v>
      </c>
    </row>
    <row r="49" spans="1:9">
      <c r="A49" s="142" t="s">
        <v>48</v>
      </c>
      <c r="B49" s="144"/>
      <c r="C49" s="144">
        <v>401000000</v>
      </c>
    </row>
    <row r="50" spans="1:9">
      <c r="A50" s="142"/>
      <c r="B50" s="143"/>
      <c r="C50" s="143">
        <f>SUM(C49:C49)</f>
        <v>401000000</v>
      </c>
      <c r="I50" s="129"/>
    </row>
    <row r="51" spans="1:9">
      <c r="I51" s="129"/>
    </row>
    <row r="52" spans="1:9">
      <c r="I52" s="129"/>
    </row>
    <row r="53" spans="1:9" ht="45.75" thickBot="1">
      <c r="A53" s="226" t="s">
        <v>5</v>
      </c>
      <c r="B53" s="29" t="s">
        <v>6</v>
      </c>
      <c r="C53" s="226" t="s">
        <v>1</v>
      </c>
      <c r="D53" s="226" t="s">
        <v>9</v>
      </c>
      <c r="E53" s="226" t="s">
        <v>15</v>
      </c>
      <c r="F53" s="226" t="s">
        <v>14</v>
      </c>
      <c r="G53" s="226" t="s">
        <v>10</v>
      </c>
      <c r="H53" s="226" t="s">
        <v>2</v>
      </c>
      <c r="I53" s="255" t="s">
        <v>3</v>
      </c>
    </row>
    <row r="54" spans="1:9" ht="75.75" thickBot="1">
      <c r="A54" s="219" t="s">
        <v>156</v>
      </c>
      <c r="B54" s="220" t="s">
        <v>166</v>
      </c>
      <c r="C54" s="221" t="s">
        <v>79</v>
      </c>
      <c r="D54" s="177">
        <f>M6+M14+M22</f>
        <v>0</v>
      </c>
      <c r="E54" s="57" t="s">
        <v>45</v>
      </c>
      <c r="F54" s="236" t="s">
        <v>41</v>
      </c>
      <c r="G54" s="239">
        <v>2021</v>
      </c>
      <c r="H54" s="236">
        <f>O6+O14+O22</f>
        <v>3800</v>
      </c>
      <c r="I54" s="236">
        <f>P6+P14+P22</f>
        <v>19000</v>
      </c>
    </row>
    <row r="55" spans="1:9" ht="75">
      <c r="A55" s="219" t="s">
        <v>156</v>
      </c>
      <c r="B55" s="220" t="s">
        <v>166</v>
      </c>
      <c r="C55" s="221" t="s">
        <v>79</v>
      </c>
      <c r="D55" s="177">
        <f>M10+M18+M26</f>
        <v>0</v>
      </c>
      <c r="E55" s="57" t="s">
        <v>37</v>
      </c>
      <c r="F55" s="236" t="s">
        <v>41</v>
      </c>
      <c r="G55" s="239">
        <v>2021</v>
      </c>
      <c r="H55" s="267">
        <f>O10+O18+O26</f>
        <v>316.8</v>
      </c>
      <c r="I55" s="267">
        <f>P10+P18+P26</f>
        <v>1584</v>
      </c>
    </row>
    <row r="56" spans="1:9" ht="75">
      <c r="A56" s="222" t="s">
        <v>157</v>
      </c>
      <c r="B56" s="234" t="s">
        <v>167</v>
      </c>
      <c r="C56" s="235" t="s">
        <v>36</v>
      </c>
      <c r="D56" s="231">
        <f>M7+M15+M23</f>
        <v>0</v>
      </c>
      <c r="E56" s="57" t="s">
        <v>45</v>
      </c>
      <c r="F56" s="236" t="s">
        <v>41</v>
      </c>
      <c r="G56" s="239">
        <v>2021</v>
      </c>
      <c r="H56" s="236">
        <f>O7+O15+O23</f>
        <v>1890</v>
      </c>
      <c r="I56" s="236">
        <f>P7+P15+P23</f>
        <v>9450</v>
      </c>
    </row>
    <row r="57" spans="1:9" ht="75">
      <c r="A57" s="222" t="s">
        <v>157</v>
      </c>
      <c r="B57" s="234" t="s">
        <v>167</v>
      </c>
      <c r="C57" s="235" t="s">
        <v>36</v>
      </c>
      <c r="D57" s="231">
        <f>M11+M19+M27</f>
        <v>0</v>
      </c>
      <c r="E57" s="57" t="s">
        <v>37</v>
      </c>
      <c r="F57" s="236" t="s">
        <v>41</v>
      </c>
      <c r="G57" s="239">
        <v>2021</v>
      </c>
      <c r="H57" s="236">
        <f>O11+O19+O27</f>
        <v>158.4</v>
      </c>
      <c r="I57" s="267">
        <f>P11+P19+P27</f>
        <v>792</v>
      </c>
    </row>
    <row r="58" spans="1:9" ht="75">
      <c r="A58" s="223" t="s">
        <v>164</v>
      </c>
      <c r="B58" s="234" t="s">
        <v>168</v>
      </c>
      <c r="C58" s="238" t="s">
        <v>79</v>
      </c>
      <c r="D58" s="228">
        <f>M8+M16+M24</f>
        <v>0</v>
      </c>
      <c r="E58" s="57" t="s">
        <v>45</v>
      </c>
      <c r="F58" s="236" t="s">
        <v>41</v>
      </c>
      <c r="G58" s="225">
        <v>2021</v>
      </c>
      <c r="H58" s="236" t="s">
        <v>8</v>
      </c>
      <c r="I58" s="236">
        <f>P8+P16+P24</f>
        <v>15200</v>
      </c>
    </row>
    <row r="59" spans="1:9" ht="75">
      <c r="A59" s="223" t="s">
        <v>164</v>
      </c>
      <c r="B59" s="234" t="s">
        <v>168</v>
      </c>
      <c r="C59" s="238" t="s">
        <v>79</v>
      </c>
      <c r="D59" s="228">
        <f>M12+M20+M28</f>
        <v>0</v>
      </c>
      <c r="E59" s="57" t="s">
        <v>37</v>
      </c>
      <c r="F59" s="236" t="s">
        <v>41</v>
      </c>
      <c r="G59" s="225">
        <v>2021</v>
      </c>
      <c r="H59" s="236" t="s">
        <v>8</v>
      </c>
      <c r="I59" s="267">
        <f>P12+P20+P28</f>
        <v>1267</v>
      </c>
    </row>
    <row r="60" spans="1:9" ht="75.75" thickBot="1">
      <c r="A60" s="178" t="s">
        <v>165</v>
      </c>
      <c r="B60" s="179" t="s">
        <v>169</v>
      </c>
      <c r="C60" s="254" t="s">
        <v>36</v>
      </c>
      <c r="D60" s="228">
        <f>M9+M17+M25</f>
        <v>0</v>
      </c>
      <c r="E60" s="57" t="s">
        <v>45</v>
      </c>
      <c r="F60" s="225" t="s">
        <v>41</v>
      </c>
      <c r="G60" s="225">
        <v>2021</v>
      </c>
      <c r="H60" s="228" t="s">
        <v>8</v>
      </c>
      <c r="I60" s="236">
        <f>P9+P17+P25</f>
        <v>7560</v>
      </c>
    </row>
    <row r="61" spans="1:9" ht="75.75" thickBot="1">
      <c r="A61" s="178" t="s">
        <v>165</v>
      </c>
      <c r="B61" s="179" t="s">
        <v>169</v>
      </c>
      <c r="C61" s="254" t="s">
        <v>36</v>
      </c>
      <c r="D61" s="228">
        <f>M13+M21+M29</f>
        <v>0</v>
      </c>
      <c r="E61" s="57" t="s">
        <v>37</v>
      </c>
      <c r="F61" s="225" t="s">
        <v>41</v>
      </c>
      <c r="G61" s="225">
        <v>2021</v>
      </c>
      <c r="H61" s="228" t="s">
        <v>8</v>
      </c>
      <c r="I61" s="267">
        <f>P13+P21+P29</f>
        <v>634</v>
      </c>
    </row>
    <row r="62" spans="1:9">
      <c r="A62" s="3"/>
      <c r="B62" s="3"/>
      <c r="C62" s="3"/>
      <c r="D62" s="4"/>
      <c r="E62" s="3"/>
      <c r="F62" s="3"/>
      <c r="G62" s="3"/>
      <c r="H62" s="3"/>
      <c r="I62" s="4"/>
    </row>
    <row r="63" spans="1:9">
      <c r="A63" s="3"/>
      <c r="B63" s="3"/>
      <c r="C63" s="3"/>
      <c r="D63" s="4"/>
      <c r="E63" s="3"/>
      <c r="F63" s="3"/>
      <c r="G63" s="3"/>
      <c r="H63" s="3"/>
      <c r="I63" s="4"/>
    </row>
    <row r="64" spans="1:9">
      <c r="A64" s="3"/>
      <c r="B64" s="3"/>
      <c r="C64" s="3"/>
      <c r="D64" s="4"/>
      <c r="E64" s="3"/>
      <c r="F64" s="3"/>
      <c r="G64" s="3"/>
      <c r="H64" s="3"/>
      <c r="I64" s="4"/>
    </row>
    <row r="65" spans="1:9">
      <c r="A65" s="3"/>
      <c r="B65" s="3"/>
      <c r="C65" s="3"/>
      <c r="D65" s="4"/>
      <c r="E65" s="3"/>
      <c r="F65" s="3"/>
      <c r="G65" s="3"/>
      <c r="H65" s="3"/>
      <c r="I65" s="4"/>
    </row>
    <row r="66" spans="1:9">
      <c r="A66" s="3"/>
      <c r="B66" s="3"/>
      <c r="C66" s="3"/>
      <c r="D66" s="4"/>
      <c r="E66" s="3"/>
      <c r="F66" s="3"/>
      <c r="G66" s="3"/>
      <c r="H66" s="3"/>
      <c r="I66" s="4"/>
    </row>
    <row r="67" spans="1:9">
      <c r="A67" s="3"/>
      <c r="B67" s="3"/>
      <c r="C67" s="3"/>
      <c r="D67" s="4"/>
      <c r="E67" s="3"/>
      <c r="F67" s="3"/>
      <c r="G67" s="3"/>
      <c r="H67" s="3"/>
      <c r="I67" s="4"/>
    </row>
    <row r="68" spans="1:9">
      <c r="D68" s="129"/>
    </row>
  </sheetData>
  <mergeCells count="71">
    <mergeCell ref="R26:R27"/>
    <mergeCell ref="P4:P5"/>
    <mergeCell ref="K4:K5"/>
    <mergeCell ref="S10:S11"/>
    <mergeCell ref="S22:S23"/>
    <mergeCell ref="S26:S27"/>
    <mergeCell ref="Q4:Q5"/>
    <mergeCell ref="R4:R5"/>
    <mergeCell ref="K22:K29"/>
    <mergeCell ref="M4:N4"/>
    <mergeCell ref="O4:O5"/>
    <mergeCell ref="L4:L5"/>
    <mergeCell ref="K14:K21"/>
    <mergeCell ref="S6:S7"/>
    <mergeCell ref="S14:S15"/>
    <mergeCell ref="S18:S19"/>
    <mergeCell ref="D4:F4"/>
    <mergeCell ref="H4:I4"/>
    <mergeCell ref="J4:J5"/>
    <mergeCell ref="C22:C25"/>
    <mergeCell ref="D22:D29"/>
    <mergeCell ref="J26:J29"/>
    <mergeCell ref="J22:J25"/>
    <mergeCell ref="J6:J9"/>
    <mergeCell ref="J14:J17"/>
    <mergeCell ref="E18:E21"/>
    <mergeCell ref="F18:F21"/>
    <mergeCell ref="G18:G21"/>
    <mergeCell ref="J18:J21"/>
    <mergeCell ref="C18:C21"/>
    <mergeCell ref="G14:G17"/>
    <mergeCell ref="E14:E17"/>
    <mergeCell ref="A4:A5"/>
    <mergeCell ref="C4:C5"/>
    <mergeCell ref="G4:G5"/>
    <mergeCell ref="C26:C29"/>
    <mergeCell ref="E26:E29"/>
    <mergeCell ref="F26:F29"/>
    <mergeCell ref="G26:G29"/>
    <mergeCell ref="E22:E25"/>
    <mergeCell ref="F22:F25"/>
    <mergeCell ref="G22:G25"/>
    <mergeCell ref="A6:A29"/>
    <mergeCell ref="D6:D13"/>
    <mergeCell ref="E6:E9"/>
    <mergeCell ref="F6:F9"/>
    <mergeCell ref="B22:B25"/>
    <mergeCell ref="B26:B29"/>
    <mergeCell ref="F14:F17"/>
    <mergeCell ref="K6:K13"/>
    <mergeCell ref="C10:C13"/>
    <mergeCell ref="E10:E13"/>
    <mergeCell ref="F10:F13"/>
    <mergeCell ref="G10:G13"/>
    <mergeCell ref="J10:J13"/>
    <mergeCell ref="C6:C9"/>
    <mergeCell ref="C14:C17"/>
    <mergeCell ref="D14:D21"/>
    <mergeCell ref="G6:G9"/>
    <mergeCell ref="B4:B5"/>
    <mergeCell ref="B10:B13"/>
    <mergeCell ref="B14:B17"/>
    <mergeCell ref="B18:B21"/>
    <mergeCell ref="B6:B9"/>
    <mergeCell ref="T6:T7"/>
    <mergeCell ref="R22:R23"/>
    <mergeCell ref="R10:R11"/>
    <mergeCell ref="R6:R7"/>
    <mergeCell ref="R14:R15"/>
    <mergeCell ref="R18:R19"/>
    <mergeCell ref="T22:T23"/>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7"/>
  <sheetViews>
    <sheetView tabSelected="1" zoomScale="70" zoomScaleNormal="70" workbookViewId="0">
      <selection activeCell="Q11" sqref="Q11"/>
    </sheetView>
  </sheetViews>
  <sheetFormatPr defaultRowHeight="15"/>
  <cols>
    <col min="1" max="1" width="20.42578125" customWidth="1"/>
    <col min="2" max="2" width="23.42578125" customWidth="1"/>
    <col min="3" max="3" width="15.42578125" customWidth="1"/>
    <col min="4" max="4" width="22.140625" customWidth="1"/>
    <col min="5" max="5" width="16" customWidth="1"/>
    <col min="6" max="6" width="22.140625" customWidth="1"/>
    <col min="7" max="7" width="16.7109375" customWidth="1"/>
    <col min="8" max="8" width="16.85546875" customWidth="1"/>
    <col min="9" max="9" width="25.140625" customWidth="1"/>
    <col min="10" max="10" width="14.7109375" customWidth="1"/>
    <col min="11" max="11" width="15.28515625" customWidth="1"/>
    <col min="12" max="12" width="14.85546875" customWidth="1"/>
    <col min="13" max="13" width="16" customWidth="1"/>
    <col min="14" max="14" width="12" customWidth="1"/>
    <col min="15" max="15" width="16.7109375" customWidth="1"/>
    <col min="16" max="16" width="16.42578125" customWidth="1"/>
    <col min="17" max="17" width="23.28515625" customWidth="1"/>
    <col min="18" max="18" width="137.85546875" customWidth="1"/>
    <col min="19" max="19" width="80.140625" style="552" customWidth="1"/>
    <col min="20" max="20" width="18.28515625" bestFit="1" customWidth="1"/>
    <col min="22" max="22" width="35.28515625" customWidth="1"/>
  </cols>
  <sheetData>
    <row r="1" spans="1:36">
      <c r="A1" s="9" t="s">
        <v>394</v>
      </c>
    </row>
    <row r="2" spans="1:36">
      <c r="A2" s="638" t="s">
        <v>415</v>
      </c>
      <c r="B2" s="9"/>
      <c r="L2" s="148"/>
      <c r="S2" s="567"/>
    </row>
    <row r="3" spans="1:36" ht="15.75" thickBot="1">
      <c r="A3" t="s">
        <v>336</v>
      </c>
    </row>
    <row r="4" spans="1:36" ht="15" customHeight="1">
      <c r="A4" s="1068" t="s">
        <v>24</v>
      </c>
      <c r="B4" s="1067" t="s">
        <v>131</v>
      </c>
      <c r="C4" s="1070" t="s">
        <v>132</v>
      </c>
      <c r="D4" s="1067" t="s">
        <v>4</v>
      </c>
      <c r="E4" s="1067"/>
      <c r="F4" s="1067"/>
      <c r="G4" s="1079" t="s">
        <v>18</v>
      </c>
      <c r="H4" s="1076" t="s">
        <v>19</v>
      </c>
      <c r="I4" s="1076"/>
      <c r="J4" s="1067" t="s">
        <v>31</v>
      </c>
      <c r="K4" s="1076" t="s">
        <v>38</v>
      </c>
      <c r="L4" s="1067" t="s">
        <v>32</v>
      </c>
      <c r="M4" s="1067" t="s">
        <v>26</v>
      </c>
      <c r="N4" s="1067"/>
      <c r="O4" s="1067" t="s">
        <v>29</v>
      </c>
      <c r="P4" s="1067" t="s">
        <v>30</v>
      </c>
      <c r="Q4" s="1067" t="s">
        <v>39</v>
      </c>
      <c r="R4" s="1074" t="s">
        <v>40</v>
      </c>
    </row>
    <row r="5" spans="1:36" ht="46.5" customHeight="1" thickBot="1">
      <c r="A5" s="1069"/>
      <c r="B5" s="916"/>
      <c r="C5" s="1071"/>
      <c r="D5" s="1" t="s">
        <v>7</v>
      </c>
      <c r="E5" s="1" t="s">
        <v>17</v>
      </c>
      <c r="F5" s="621" t="s">
        <v>25</v>
      </c>
      <c r="G5" s="911"/>
      <c r="H5" s="1" t="s">
        <v>44</v>
      </c>
      <c r="I5" s="2" t="s">
        <v>49</v>
      </c>
      <c r="J5" s="1077"/>
      <c r="K5" s="1078"/>
      <c r="L5" s="916"/>
      <c r="M5" s="2" t="s">
        <v>27</v>
      </c>
      <c r="N5" s="2" t="s">
        <v>47</v>
      </c>
      <c r="O5" s="916"/>
      <c r="P5" s="916"/>
      <c r="Q5" s="916"/>
      <c r="R5" s="1075"/>
    </row>
    <row r="6" spans="1:36" ht="247.9" customHeight="1">
      <c r="A6" s="1072" t="s">
        <v>416</v>
      </c>
      <c r="B6" s="1047"/>
      <c r="C6" s="1045">
        <v>72958750</v>
      </c>
      <c r="D6" s="791" t="s">
        <v>424</v>
      </c>
      <c r="E6" s="1047">
        <f>C6/0.85*0.15</f>
        <v>12875073.529411765</v>
      </c>
      <c r="F6" s="1045">
        <f>C6+E6</f>
        <v>85833823.529411763</v>
      </c>
      <c r="G6" s="1056">
        <f>F6*0.725872496385</f>
        <v>62304411.759563662</v>
      </c>
      <c r="H6" s="1065" t="s">
        <v>115</v>
      </c>
      <c r="I6" s="1063" t="s">
        <v>335</v>
      </c>
      <c r="J6" s="1080"/>
      <c r="K6" s="957" t="s">
        <v>41</v>
      </c>
      <c r="L6" s="790" t="s">
        <v>22</v>
      </c>
      <c r="M6" s="790" t="s">
        <v>42</v>
      </c>
      <c r="N6" s="790" t="s">
        <v>8</v>
      </c>
      <c r="O6" s="1088">
        <f>P6*0.251</f>
        <v>15.22817</v>
      </c>
      <c r="P6" s="1086">
        <v>60.67</v>
      </c>
      <c r="Q6" s="1084" t="s">
        <v>404</v>
      </c>
      <c r="R6" s="1082" t="s">
        <v>387</v>
      </c>
    </row>
    <row r="7" spans="1:36" s="132" customFormat="1" ht="187.15" hidden="1" customHeight="1">
      <c r="A7" s="1072"/>
      <c r="B7" s="1047"/>
      <c r="C7" s="1045"/>
      <c r="D7" s="791"/>
      <c r="E7" s="1047"/>
      <c r="F7" s="1045"/>
      <c r="G7" s="1045"/>
      <c r="H7" s="1066"/>
      <c r="I7" s="1064"/>
      <c r="J7" s="1080"/>
      <c r="K7" s="957"/>
      <c r="L7" s="791"/>
      <c r="M7" s="791"/>
      <c r="N7" s="791"/>
      <c r="O7" s="1089"/>
      <c r="P7" s="1087"/>
      <c r="Q7" s="1085"/>
      <c r="R7" s="1083"/>
      <c r="S7" s="595"/>
      <c r="T7" s="279"/>
      <c r="U7" s="131"/>
      <c r="V7" s="131"/>
      <c r="W7" s="131"/>
      <c r="X7" s="131"/>
      <c r="Y7" s="131"/>
      <c r="Z7" s="131"/>
    </row>
    <row r="8" spans="1:36" s="132" customFormat="1" ht="226.9" customHeight="1">
      <c r="A8" s="1072"/>
      <c r="B8" s="1047"/>
      <c r="C8" s="1045"/>
      <c r="D8" s="791"/>
      <c r="E8" s="1047"/>
      <c r="F8" s="1045"/>
      <c r="G8" s="1045"/>
      <c r="H8" s="652" t="s">
        <v>114</v>
      </c>
      <c r="I8" s="651" t="s">
        <v>332</v>
      </c>
      <c r="J8" s="1080"/>
      <c r="K8" s="957"/>
      <c r="L8" s="646" t="s">
        <v>390</v>
      </c>
      <c r="M8" s="649">
        <v>19109504</v>
      </c>
      <c r="N8" s="646" t="s">
        <v>46</v>
      </c>
      <c r="O8" s="649" t="s">
        <v>8</v>
      </c>
      <c r="P8" s="649">
        <v>20189340</v>
      </c>
      <c r="Q8" s="653" t="s">
        <v>404</v>
      </c>
      <c r="R8" s="597" t="s">
        <v>385</v>
      </c>
      <c r="S8" s="279"/>
      <c r="T8" s="131"/>
      <c r="U8" s="131"/>
      <c r="V8" s="131"/>
      <c r="W8" s="131"/>
      <c r="X8" s="131"/>
      <c r="Y8" s="131"/>
      <c r="Z8" s="131"/>
    </row>
    <row r="9" spans="1:36" s="132" customFormat="1" ht="326.25" customHeight="1">
      <c r="A9" s="1072"/>
      <c r="B9" s="1047"/>
      <c r="C9" s="1045"/>
      <c r="D9" s="791"/>
      <c r="E9" s="1047"/>
      <c r="F9" s="1045"/>
      <c r="G9" s="1045"/>
      <c r="H9" s="652" t="s">
        <v>116</v>
      </c>
      <c r="I9" s="651" t="s">
        <v>333</v>
      </c>
      <c r="J9" s="1080"/>
      <c r="K9" s="957"/>
      <c r="L9" s="648" t="s">
        <v>386</v>
      </c>
      <c r="M9" s="616">
        <v>0</v>
      </c>
      <c r="N9" s="646" t="s">
        <v>46</v>
      </c>
      <c r="O9" s="649" t="s">
        <v>8</v>
      </c>
      <c r="P9" s="616">
        <v>6066</v>
      </c>
      <c r="Q9" s="653" t="s">
        <v>404</v>
      </c>
      <c r="R9" s="598" t="s">
        <v>396</v>
      </c>
      <c r="S9" s="617"/>
      <c r="T9" s="131"/>
      <c r="U9" s="131"/>
      <c r="V9" s="131"/>
      <c r="W9" s="131"/>
      <c r="X9" s="131"/>
      <c r="Y9" s="131"/>
      <c r="Z9" s="131"/>
    </row>
    <row r="10" spans="1:36" s="132" customFormat="1" ht="264.60000000000002" customHeight="1">
      <c r="A10" s="1072"/>
      <c r="B10" s="1047"/>
      <c r="C10" s="1045"/>
      <c r="D10" s="791"/>
      <c r="E10" s="1047"/>
      <c r="F10" s="1045"/>
      <c r="G10" s="1057">
        <v>0</v>
      </c>
      <c r="H10" s="661" t="s">
        <v>417</v>
      </c>
      <c r="I10" s="661" t="s">
        <v>418</v>
      </c>
      <c r="J10" s="1080"/>
      <c r="K10" s="957"/>
      <c r="L10" s="661" t="s">
        <v>421</v>
      </c>
      <c r="M10" s="661">
        <v>0</v>
      </c>
      <c r="N10" s="661" t="s">
        <v>8</v>
      </c>
      <c r="O10" s="662">
        <v>0</v>
      </c>
      <c r="P10" s="662">
        <v>189906</v>
      </c>
      <c r="Q10" s="663" t="s">
        <v>404</v>
      </c>
      <c r="R10" s="664" t="s">
        <v>423</v>
      </c>
      <c r="S10" s="617"/>
      <c r="T10" s="131"/>
      <c r="U10" s="131"/>
      <c r="V10" s="131"/>
      <c r="W10" s="131"/>
      <c r="X10" s="131"/>
      <c r="Y10" s="131"/>
      <c r="Z10" s="131"/>
    </row>
    <row r="11" spans="1:36" s="132" customFormat="1" ht="326.25" customHeight="1">
      <c r="A11" s="1072"/>
      <c r="B11" s="1047"/>
      <c r="C11" s="1045"/>
      <c r="D11" s="791"/>
      <c r="E11" s="1047"/>
      <c r="F11" s="1045"/>
      <c r="G11" s="1056"/>
      <c r="H11" s="661" t="s">
        <v>419</v>
      </c>
      <c r="I11" s="661" t="s">
        <v>420</v>
      </c>
      <c r="J11" s="1080"/>
      <c r="K11" s="957"/>
      <c r="L11" s="661" t="s">
        <v>422</v>
      </c>
      <c r="M11" s="661">
        <v>0</v>
      </c>
      <c r="N11" s="661" t="s">
        <v>8</v>
      </c>
      <c r="O11" s="662">
        <v>0</v>
      </c>
      <c r="P11" s="662">
        <v>2</v>
      </c>
      <c r="Q11" s="663" t="s">
        <v>425</v>
      </c>
      <c r="R11" s="665" t="s">
        <v>426</v>
      </c>
      <c r="S11" s="617"/>
      <c r="T11" s="131"/>
      <c r="U11" s="131"/>
      <c r="V11" s="131"/>
      <c r="W11" s="131"/>
      <c r="X11" s="131"/>
      <c r="Y11" s="131"/>
      <c r="Z11" s="131"/>
    </row>
    <row r="12" spans="1:36" s="133" customFormat="1" ht="252" customHeight="1">
      <c r="A12" s="1072"/>
      <c r="B12" s="1047"/>
      <c r="C12" s="1045"/>
      <c r="D12" s="791"/>
      <c r="E12" s="1047"/>
      <c r="F12" s="1045"/>
      <c r="G12" s="1045">
        <f>F6*0.27412750362</f>
        <v>23529411.770277262</v>
      </c>
      <c r="H12" s="651" t="s">
        <v>391</v>
      </c>
      <c r="I12" s="648" t="s">
        <v>414</v>
      </c>
      <c r="J12" s="1080"/>
      <c r="K12" s="957"/>
      <c r="L12" s="646" t="s">
        <v>290</v>
      </c>
      <c r="M12" s="646" t="s">
        <v>42</v>
      </c>
      <c r="N12" s="646" t="s">
        <v>8</v>
      </c>
      <c r="O12" s="497">
        <f>P12*0.2</f>
        <v>2.8000000000000003</v>
      </c>
      <c r="P12" s="497">
        <v>14</v>
      </c>
      <c r="Q12" s="653" t="s">
        <v>404</v>
      </c>
      <c r="R12" s="598" t="s">
        <v>407</v>
      </c>
      <c r="S12" s="551"/>
      <c r="T12" s="131"/>
      <c r="U12" s="131"/>
      <c r="V12" s="131"/>
      <c r="W12" s="131"/>
      <c r="X12" s="131"/>
      <c r="Y12" s="131"/>
      <c r="Z12" s="131"/>
      <c r="AA12" s="132"/>
      <c r="AB12" s="132"/>
      <c r="AC12" s="132"/>
      <c r="AD12" s="132"/>
      <c r="AE12" s="132"/>
      <c r="AF12" s="132"/>
      <c r="AG12" s="132"/>
      <c r="AH12" s="132"/>
      <c r="AI12" s="132"/>
      <c r="AJ12" s="132"/>
    </row>
    <row r="13" spans="1:36" s="133" customFormat="1" ht="279.75" customHeight="1" thickBot="1">
      <c r="A13" s="1073"/>
      <c r="B13" s="1048"/>
      <c r="C13" s="1046"/>
      <c r="D13" s="1055"/>
      <c r="E13" s="1048"/>
      <c r="F13" s="1046"/>
      <c r="G13" s="1046"/>
      <c r="H13" s="168" t="s">
        <v>393</v>
      </c>
      <c r="I13" s="634" t="s">
        <v>412</v>
      </c>
      <c r="J13" s="1081"/>
      <c r="K13" s="958"/>
      <c r="L13" s="650" t="s">
        <v>290</v>
      </c>
      <c r="M13" s="647" t="s">
        <v>42</v>
      </c>
      <c r="N13" s="650" t="s">
        <v>46</v>
      </c>
      <c r="O13" s="650" t="s">
        <v>8</v>
      </c>
      <c r="P13" s="647" t="s">
        <v>406</v>
      </c>
      <c r="Q13" s="644" t="s">
        <v>404</v>
      </c>
      <c r="R13" s="645" t="s">
        <v>405</v>
      </c>
      <c r="S13" s="615"/>
      <c r="T13" s="131"/>
      <c r="U13" s="131"/>
      <c r="V13" s="131"/>
      <c r="W13" s="131"/>
      <c r="X13" s="131"/>
      <c r="Y13" s="131"/>
      <c r="Z13" s="131"/>
      <c r="AA13" s="132"/>
      <c r="AB13" s="132"/>
      <c r="AC13" s="132"/>
      <c r="AD13" s="132"/>
      <c r="AE13" s="132"/>
      <c r="AF13" s="132"/>
      <c r="AG13" s="132"/>
      <c r="AH13" s="132"/>
      <c r="AI13" s="132"/>
      <c r="AJ13" s="132"/>
    </row>
    <row r="14" spans="1:36" s="133" customFormat="1" ht="241.15" customHeight="1">
      <c r="A14" s="1049" t="s">
        <v>395</v>
      </c>
      <c r="B14" s="1051">
        <f>C14</f>
        <v>25000000</v>
      </c>
      <c r="C14" s="1053">
        <v>25000000</v>
      </c>
      <c r="D14" s="1041" t="s">
        <v>408</v>
      </c>
      <c r="E14" s="1051">
        <f>C14/0.85*0.15</f>
        <v>4411764.7058823528</v>
      </c>
      <c r="F14" s="1053">
        <f>C14+E14</f>
        <v>29411764.705882352</v>
      </c>
      <c r="G14" s="1059">
        <f>F14</f>
        <v>29411764.705882352</v>
      </c>
      <c r="H14" s="642" t="s">
        <v>120</v>
      </c>
      <c r="I14" s="554" t="s">
        <v>334</v>
      </c>
      <c r="J14" s="1043" t="s">
        <v>45</v>
      </c>
      <c r="K14" s="1041" t="s">
        <v>41</v>
      </c>
      <c r="L14" s="554" t="s">
        <v>22</v>
      </c>
      <c r="M14" s="554" t="s">
        <v>42</v>
      </c>
      <c r="N14" s="554" t="s">
        <v>8</v>
      </c>
      <c r="O14" s="643">
        <f>P14*0.15</f>
        <v>14.706</v>
      </c>
      <c r="P14" s="643">
        <v>98.04</v>
      </c>
      <c r="Q14" s="637" t="s">
        <v>404</v>
      </c>
      <c r="R14" s="598" t="s">
        <v>409</v>
      </c>
      <c r="S14" s="596"/>
      <c r="T14" s="131"/>
      <c r="U14" s="131"/>
      <c r="V14" s="131"/>
      <c r="W14" s="131"/>
      <c r="X14" s="131"/>
      <c r="Y14" s="131"/>
      <c r="Z14" s="131"/>
      <c r="AA14" s="132"/>
      <c r="AB14" s="132"/>
      <c r="AC14" s="132"/>
      <c r="AD14" s="132"/>
      <c r="AE14" s="132"/>
      <c r="AF14" s="132"/>
      <c r="AG14" s="132"/>
      <c r="AH14" s="132"/>
      <c r="AI14" s="132"/>
      <c r="AJ14" s="132"/>
    </row>
    <row r="15" spans="1:36" s="133" customFormat="1" ht="189.6" customHeight="1" thickBot="1">
      <c r="A15" s="1050"/>
      <c r="B15" s="1052"/>
      <c r="C15" s="1054"/>
      <c r="D15" s="1042"/>
      <c r="E15" s="1052"/>
      <c r="F15" s="1054"/>
      <c r="G15" s="1060"/>
      <c r="H15" s="622" t="s">
        <v>392</v>
      </c>
      <c r="I15" s="635" t="s">
        <v>389</v>
      </c>
      <c r="J15" s="1044"/>
      <c r="K15" s="1042"/>
      <c r="L15" s="635" t="s">
        <v>380</v>
      </c>
      <c r="M15" s="635" t="s">
        <v>42</v>
      </c>
      <c r="N15" s="635" t="s">
        <v>46</v>
      </c>
      <c r="O15" s="635" t="s">
        <v>8</v>
      </c>
      <c r="P15" s="636">
        <v>23788</v>
      </c>
      <c r="Q15" s="623" t="s">
        <v>404</v>
      </c>
      <c r="R15" s="624" t="s">
        <v>388</v>
      </c>
      <c r="S15" s="594"/>
      <c r="T15" s="240"/>
      <c r="U15" s="240"/>
      <c r="V15" s="240"/>
      <c r="W15" s="240"/>
      <c r="X15" s="240"/>
      <c r="Y15" s="131"/>
      <c r="Z15" s="131"/>
      <c r="AA15" s="132"/>
      <c r="AB15" s="132"/>
      <c r="AC15" s="132"/>
      <c r="AD15" s="132"/>
      <c r="AE15" s="132"/>
      <c r="AF15" s="132"/>
      <c r="AG15" s="132"/>
      <c r="AH15" s="132"/>
      <c r="AI15" s="132"/>
      <c r="AJ15" s="132"/>
    </row>
    <row r="16" spans="1:36" s="133" customFormat="1" ht="18.75" customHeight="1">
      <c r="A16" s="215"/>
      <c r="B16" s="618" t="s">
        <v>337</v>
      </c>
      <c r="C16" s="569">
        <f>SUM(C6:C15)</f>
        <v>97958750</v>
      </c>
      <c r="D16" s="619"/>
      <c r="E16" s="618">
        <f>SUM(E6:E15)</f>
        <v>17286838.235294119</v>
      </c>
      <c r="F16" s="618">
        <f>SUM(F6:F15)</f>
        <v>115245588.23529412</v>
      </c>
      <c r="G16" s="620">
        <f>SUM(G6:G15)</f>
        <v>115245588.23572327</v>
      </c>
      <c r="H16" s="134"/>
      <c r="I16" s="134"/>
      <c r="J16" s="134"/>
      <c r="K16" s="135"/>
      <c r="L16" s="134"/>
      <c r="M16" s="569">
        <f>SUM(M6:M15)</f>
        <v>19109504</v>
      </c>
      <c r="N16" s="570"/>
      <c r="O16" s="568">
        <f>SUM(O6:O15)</f>
        <v>32.734169999999999</v>
      </c>
      <c r="P16" s="568">
        <f>SUM(P6:P15)</f>
        <v>20409274.710000001</v>
      </c>
      <c r="Q16" s="214"/>
      <c r="R16" s="131"/>
      <c r="S16" s="553"/>
      <c r="T16" s="131"/>
      <c r="U16" s="131"/>
      <c r="V16" s="131"/>
      <c r="W16" s="131"/>
      <c r="X16" s="131"/>
      <c r="Y16" s="131"/>
      <c r="Z16" s="131"/>
      <c r="AA16" s="132"/>
      <c r="AB16" s="132"/>
      <c r="AC16" s="132"/>
      <c r="AD16" s="132"/>
      <c r="AE16" s="132"/>
      <c r="AF16" s="132"/>
      <c r="AG16" s="132"/>
      <c r="AH16" s="132"/>
      <c r="AI16" s="132"/>
      <c r="AJ16" s="132"/>
    </row>
    <row r="17" spans="1:36" s="133" customFormat="1" ht="21" customHeight="1">
      <c r="A17" s="215"/>
      <c r="B17" s="216"/>
      <c r="C17" s="136"/>
      <c r="D17" s="217"/>
      <c r="E17" s="216"/>
      <c r="F17" s="218"/>
      <c r="G17" s="203"/>
      <c r="H17" s="134"/>
      <c r="I17" s="134"/>
      <c r="J17" s="134"/>
      <c r="K17" s="135"/>
      <c r="L17" s="134"/>
      <c r="M17" s="134"/>
      <c r="N17" s="134"/>
      <c r="O17" s="134"/>
      <c r="P17" s="134"/>
      <c r="Q17" s="214"/>
      <c r="R17" s="131"/>
      <c r="S17" s="553"/>
      <c r="T17" s="131"/>
      <c r="U17" s="131"/>
      <c r="V17" s="131"/>
      <c r="W17" s="131"/>
      <c r="X17" s="131"/>
      <c r="Y17" s="131"/>
      <c r="Z17" s="131"/>
      <c r="AA17" s="132"/>
      <c r="AB17" s="132"/>
      <c r="AC17" s="132"/>
      <c r="AD17" s="132"/>
      <c r="AE17" s="132"/>
      <c r="AF17" s="132"/>
      <c r="AG17" s="132"/>
      <c r="AH17" s="132"/>
      <c r="AI17" s="132"/>
      <c r="AJ17" s="132"/>
    </row>
    <row r="18" spans="1:36" s="133" customFormat="1" ht="51" customHeight="1" thickBot="1">
      <c r="A18" s="215"/>
      <c r="B18" s="216"/>
      <c r="C18" s="134"/>
      <c r="D18" s="217"/>
      <c r="E18" s="216"/>
      <c r="F18" s="218"/>
      <c r="G18" s="203"/>
      <c r="H18" s="134"/>
      <c r="I18" s="134"/>
      <c r="J18" s="134"/>
      <c r="K18" s="135"/>
      <c r="L18" s="134"/>
      <c r="M18" s="134"/>
      <c r="N18" s="134"/>
      <c r="O18" s="136"/>
      <c r="P18" s="134"/>
      <c r="Q18" s="289"/>
      <c r="R18" s="240"/>
      <c r="S18" s="553"/>
      <c r="T18" s="131"/>
      <c r="U18" s="131"/>
      <c r="V18" s="131"/>
      <c r="W18" s="131"/>
      <c r="X18" s="131"/>
      <c r="Y18" s="131"/>
      <c r="Z18" s="131"/>
      <c r="AA18" s="132"/>
      <c r="AB18" s="132"/>
      <c r="AC18" s="132"/>
      <c r="AD18" s="132"/>
      <c r="AE18" s="132"/>
      <c r="AF18" s="132"/>
      <c r="AG18" s="132"/>
      <c r="AH18" s="132"/>
      <c r="AI18" s="132"/>
      <c r="AJ18" s="132"/>
    </row>
    <row r="19" spans="1:36" s="133" customFormat="1" ht="51" customHeight="1" thickBot="1">
      <c r="A19" s="657" t="s">
        <v>338</v>
      </c>
      <c r="B19" s="658" t="s">
        <v>339</v>
      </c>
      <c r="C19" s="658" t="s">
        <v>340</v>
      </c>
      <c r="D19" s="658" t="s">
        <v>341</v>
      </c>
      <c r="E19" s="658" t="s">
        <v>31</v>
      </c>
      <c r="F19" s="659" t="s">
        <v>38</v>
      </c>
      <c r="G19" s="658" t="s">
        <v>342</v>
      </c>
      <c r="H19" s="659" t="s">
        <v>29</v>
      </c>
      <c r="I19" s="660" t="s">
        <v>30</v>
      </c>
      <c r="J19" s="134"/>
      <c r="K19" s="135"/>
      <c r="L19" s="134"/>
      <c r="M19" s="134"/>
      <c r="N19" s="134"/>
      <c r="O19" s="134"/>
      <c r="P19" s="134"/>
      <c r="Q19" s="289"/>
      <c r="R19" s="131"/>
      <c r="S19" s="553"/>
      <c r="T19" s="131"/>
      <c r="U19" s="131"/>
      <c r="V19" s="131"/>
      <c r="W19" s="131"/>
      <c r="X19" s="131"/>
      <c r="Y19" s="131"/>
      <c r="Z19" s="131"/>
      <c r="AA19" s="132"/>
      <c r="AB19" s="132"/>
      <c r="AC19" s="132"/>
      <c r="AD19" s="132"/>
      <c r="AE19" s="132"/>
      <c r="AF19" s="132"/>
      <c r="AG19" s="132"/>
      <c r="AH19" s="132"/>
      <c r="AI19" s="132"/>
      <c r="AJ19" s="132"/>
    </row>
    <row r="20" spans="1:36" s="133" customFormat="1" ht="182.45" customHeight="1">
      <c r="A20" s="671" t="str">
        <f>H10</f>
        <v>RCO74</v>
      </c>
      <c r="B20" s="654" t="str">
        <f>I10</f>
        <v>Population covered by projects in the framework of strategies for integrated territorial development (gyventojai, kuriems taikomi projektai, vykdomi pagal integruotas teritorinio vystymo programas)</v>
      </c>
      <c r="C20" s="654" t="str">
        <f>L10</f>
        <v xml:space="preserve"> Persons</v>
      </c>
      <c r="D20" s="654">
        <f>M10</f>
        <v>0</v>
      </c>
      <c r="E20" s="666" t="s">
        <v>45</v>
      </c>
      <c r="F20" s="667" t="s">
        <v>41</v>
      </c>
      <c r="G20" s="667" t="s">
        <v>8</v>
      </c>
      <c r="H20" s="668">
        <f>O10</f>
        <v>0</v>
      </c>
      <c r="I20" s="669">
        <f>P10</f>
        <v>189906</v>
      </c>
      <c r="J20" s="134"/>
      <c r="K20" s="135"/>
      <c r="L20" s="134"/>
      <c r="M20" s="134"/>
      <c r="N20" s="134"/>
      <c r="O20" s="134"/>
      <c r="P20" s="134"/>
      <c r="Q20" s="289"/>
      <c r="R20" s="131"/>
      <c r="S20" s="553"/>
      <c r="T20" s="131"/>
      <c r="U20" s="131"/>
      <c r="V20" s="131"/>
      <c r="W20" s="131"/>
      <c r="X20" s="131"/>
      <c r="Y20" s="131"/>
      <c r="Z20" s="131"/>
      <c r="AA20" s="132"/>
      <c r="AB20" s="132"/>
      <c r="AC20" s="132"/>
      <c r="AD20" s="132"/>
      <c r="AE20" s="132"/>
      <c r="AF20" s="132"/>
      <c r="AG20" s="132"/>
      <c r="AH20" s="132"/>
      <c r="AI20" s="132"/>
      <c r="AJ20" s="132"/>
    </row>
    <row r="21" spans="1:36" s="133" customFormat="1" ht="118.9" customHeight="1">
      <c r="A21" s="672" t="str">
        <f>H11</f>
        <v>RCO75</v>
      </c>
      <c r="B21" s="655" t="str">
        <f>I11</f>
        <v>Strategies for integrated territorial development (integruotos teritorinio vystymo strategijos, kurioms suteikta parama)</v>
      </c>
      <c r="C21" s="655" t="str">
        <f>L11</f>
        <v>contributions to strategies</v>
      </c>
      <c r="D21" s="655">
        <f>M11</f>
        <v>0</v>
      </c>
      <c r="E21" s="601" t="s">
        <v>45</v>
      </c>
      <c r="F21" s="640" t="s">
        <v>41</v>
      </c>
      <c r="G21" s="640" t="s">
        <v>8</v>
      </c>
      <c r="H21" s="656">
        <f>O11</f>
        <v>0</v>
      </c>
      <c r="I21" s="670">
        <f>P11</f>
        <v>2</v>
      </c>
      <c r="J21" s="134"/>
      <c r="K21" s="135"/>
      <c r="L21" s="134"/>
      <c r="M21" s="134"/>
      <c r="N21" s="134"/>
      <c r="O21" s="134"/>
      <c r="P21" s="134"/>
      <c r="Q21" s="289"/>
      <c r="R21" s="131"/>
      <c r="S21" s="553"/>
      <c r="T21" s="131"/>
      <c r="U21" s="131"/>
      <c r="V21" s="131"/>
      <c r="W21" s="131"/>
      <c r="X21" s="131"/>
      <c r="Y21" s="131"/>
      <c r="Z21" s="131"/>
      <c r="AA21" s="132"/>
      <c r="AB21" s="132"/>
      <c r="AC21" s="132"/>
      <c r="AD21" s="132"/>
      <c r="AE21" s="132"/>
      <c r="AF21" s="132"/>
      <c r="AG21" s="132"/>
      <c r="AH21" s="132"/>
      <c r="AI21" s="132"/>
      <c r="AJ21" s="132"/>
    </row>
    <row r="22" spans="1:36" s="562" customFormat="1" ht="137.25" customHeight="1">
      <c r="A22" s="599" t="str">
        <f>H6</f>
        <v>RCO46</v>
      </c>
      <c r="B22" s="600" t="str">
        <f>I6</f>
        <v>Length of roads reconstructed or modernised - non-TENT (rekonstruotų arba modernizuotų kelių ilgis – ne TEN-T)(rekonstruotų arba modernizuotų kelių ilgis – ne TEN-T)</v>
      </c>
      <c r="C22" s="639" t="str">
        <f>L6</f>
        <v>km</v>
      </c>
      <c r="D22" s="600" t="str">
        <f>M6</f>
        <v>0</v>
      </c>
      <c r="E22" s="602" t="s">
        <v>45</v>
      </c>
      <c r="F22" s="603" t="s">
        <v>41</v>
      </c>
      <c r="G22" s="640" t="str">
        <f>N6</f>
        <v>n/a</v>
      </c>
      <c r="H22" s="603">
        <f>O6</f>
        <v>15.22817</v>
      </c>
      <c r="I22" s="641">
        <f>P6</f>
        <v>60.67</v>
      </c>
      <c r="J22" s="555"/>
      <c r="K22" s="556"/>
      <c r="L22" s="555"/>
      <c r="M22" s="555"/>
      <c r="N22" s="557"/>
      <c r="O22" s="555"/>
      <c r="P22" s="555"/>
      <c r="Q22" s="558"/>
      <c r="R22" s="559"/>
      <c r="S22" s="560"/>
      <c r="T22" s="559"/>
      <c r="U22" s="559"/>
      <c r="V22" s="559"/>
      <c r="W22" s="559"/>
      <c r="X22" s="559"/>
      <c r="Y22" s="559"/>
      <c r="Z22" s="559"/>
      <c r="AA22" s="561"/>
      <c r="AB22" s="561"/>
      <c r="AC22" s="561"/>
      <c r="AD22" s="561"/>
      <c r="AE22" s="561"/>
      <c r="AF22" s="561"/>
      <c r="AG22" s="561"/>
      <c r="AH22" s="561"/>
      <c r="AI22" s="561"/>
      <c r="AJ22" s="561"/>
    </row>
    <row r="23" spans="1:36" s="564" customFormat="1" ht="120">
      <c r="A23" s="599" t="str">
        <f>H8</f>
        <v>RCR55</v>
      </c>
      <c r="B23" s="600" t="str">
        <f>I8</f>
        <v>Annual users of newly built, reconstructed, upgraded or modernised roads (naujai pastatytų, rekonstruotų, atnaujintų arba modernizuotų kelių naudotojų skaičius per metus)</v>
      </c>
      <c r="C23" s="601" t="str">
        <f>L8</f>
        <v>road passenger-km/ year</v>
      </c>
      <c r="D23" s="563">
        <f>M8</f>
        <v>19109504</v>
      </c>
      <c r="E23" s="602" t="s">
        <v>45</v>
      </c>
      <c r="F23" s="603" t="s">
        <v>41</v>
      </c>
      <c r="G23" s="612" t="str">
        <f t="shared" ref="G23:I24" si="0">N8</f>
        <v>2021</v>
      </c>
      <c r="H23" s="603" t="str">
        <f t="shared" si="0"/>
        <v>n/a</v>
      </c>
      <c r="I23" s="581">
        <f t="shared" si="0"/>
        <v>20189340</v>
      </c>
      <c r="S23" s="565"/>
    </row>
    <row r="24" spans="1:36" s="564" customFormat="1" ht="90">
      <c r="A24" s="604" t="str">
        <f>H9</f>
        <v>RCR56</v>
      </c>
      <c r="B24" s="605" t="str">
        <f>I9</f>
        <v>Time savings due to improved road infrastructures (dėl patobulintos kelių infrastruktūros sutaupytas laikas)</v>
      </c>
      <c r="C24" s="605" t="str">
        <f>L9</f>
        <v>man-days/year</v>
      </c>
      <c r="D24" s="566">
        <f>M9</f>
        <v>0</v>
      </c>
      <c r="E24" s="602" t="s">
        <v>45</v>
      </c>
      <c r="F24" s="606" t="s">
        <v>41</v>
      </c>
      <c r="G24" s="612" t="str">
        <f t="shared" si="0"/>
        <v>2021</v>
      </c>
      <c r="H24" s="603" t="str">
        <f t="shared" si="0"/>
        <v>n/a</v>
      </c>
      <c r="I24" s="581">
        <f t="shared" si="0"/>
        <v>6066</v>
      </c>
      <c r="S24" s="565"/>
    </row>
    <row r="25" spans="1:36" s="564" customFormat="1" ht="142.5" customHeight="1">
      <c r="A25" s="599" t="str">
        <f>H12</f>
        <v>Specific output</v>
      </c>
      <c r="B25" s="601" t="str">
        <f>I12</f>
        <v>Implemented traffic safety improvement measures in municipalities roads (Įdiegtos saugų eismą gerinančios priemonės  vietinės reikšmės keliuose (gatvėse))</v>
      </c>
      <c r="C25" s="601" t="str">
        <f>L12</f>
        <v>number</v>
      </c>
      <c r="D25" s="606" t="str">
        <f>M12</f>
        <v>0</v>
      </c>
      <c r="E25" s="602" t="s">
        <v>45</v>
      </c>
      <c r="F25" s="606" t="s">
        <v>41</v>
      </c>
      <c r="G25" s="601" t="str">
        <f t="shared" ref="G25:I26" si="1">N12</f>
        <v>n/a</v>
      </c>
      <c r="H25" s="613">
        <f t="shared" si="1"/>
        <v>2.8000000000000003</v>
      </c>
      <c r="I25" s="614">
        <f t="shared" si="1"/>
        <v>14</v>
      </c>
      <c r="S25" s="565"/>
    </row>
    <row r="26" spans="1:36" s="564" customFormat="1" ht="105">
      <c r="A26" s="599" t="str">
        <f>H13</f>
        <v>specific result</v>
      </c>
      <c r="B26" s="600" t="str">
        <f>I13</f>
        <v xml:space="preserve"> Removed black spots or accident places on municipalities roads (Panaikintos juodosios dėmės ar avaringos vietos vietinės reikšmės keliuose (gatvėse) )</v>
      </c>
      <c r="C26" s="600" t="str">
        <f>L13</f>
        <v>number</v>
      </c>
      <c r="D26" s="606" t="str">
        <f>M13</f>
        <v>0</v>
      </c>
      <c r="E26" s="602" t="s">
        <v>45</v>
      </c>
      <c r="F26" s="606" t="s">
        <v>41</v>
      </c>
      <c r="G26" s="571" t="str">
        <f t="shared" si="1"/>
        <v>2021</v>
      </c>
      <c r="H26" s="606" t="str">
        <f t="shared" si="1"/>
        <v>n/a</v>
      </c>
      <c r="I26" s="607" t="str">
        <f t="shared" si="1"/>
        <v>14</v>
      </c>
      <c r="S26" s="565"/>
    </row>
    <row r="27" spans="1:36" s="564" customFormat="1" ht="75">
      <c r="A27" s="599" t="str">
        <f t="shared" ref="A27:B28" si="2">H14</f>
        <v>RCO58</v>
      </c>
      <c r="B27" s="600" t="str">
        <f t="shared" si="2"/>
        <v>Dedicated cycling infrastructure supported (dviračiams skirta infrastruktūra, kuriai suteikta parama)</v>
      </c>
      <c r="C27" s="601" t="str">
        <f>L14</f>
        <v>km</v>
      </c>
      <c r="D27" s="606" t="str">
        <f t="shared" ref="D27:D28" si="3">M14</f>
        <v>0</v>
      </c>
      <c r="E27" s="602" t="s">
        <v>45</v>
      </c>
      <c r="F27" s="606" t="s">
        <v>41</v>
      </c>
      <c r="G27" s="601" t="str">
        <f t="shared" ref="G27:G28" si="4">N14</f>
        <v>n/a</v>
      </c>
      <c r="H27" s="606">
        <f t="shared" ref="H27:I28" si="5">O14</f>
        <v>14.706</v>
      </c>
      <c r="I27" s="607">
        <f t="shared" si="5"/>
        <v>98.04</v>
      </c>
      <c r="S27" s="565"/>
    </row>
    <row r="28" spans="1:36" s="564" customFormat="1" ht="90.75" thickBot="1">
      <c r="A28" s="608" t="str">
        <f t="shared" si="2"/>
        <v>Specific result</v>
      </c>
      <c r="B28" s="609" t="str">
        <f t="shared" si="2"/>
        <v>Annual users of dedicated cycling infrastructure (dviračiams skirtos infrastruktūros metinis naudotojų skaičius)</v>
      </c>
      <c r="C28" s="609" t="str">
        <f>L15</f>
        <v>users/year</v>
      </c>
      <c r="D28" s="610" t="str">
        <f t="shared" si="3"/>
        <v>0</v>
      </c>
      <c r="E28" s="611" t="s">
        <v>45</v>
      </c>
      <c r="F28" s="610" t="s">
        <v>41</v>
      </c>
      <c r="G28" s="582" t="str">
        <f t="shared" si="4"/>
        <v>2021</v>
      </c>
      <c r="H28" s="610" t="str">
        <f t="shared" si="5"/>
        <v>n/a</v>
      </c>
      <c r="I28" s="583">
        <f t="shared" si="5"/>
        <v>23788</v>
      </c>
      <c r="S28" s="565"/>
    </row>
    <row r="29" spans="1:36">
      <c r="D29" s="290">
        <f>SUM(D22:D28)</f>
        <v>19109504</v>
      </c>
      <c r="H29" s="129">
        <f>SUM(H22:H28)</f>
        <v>32.734169999999999</v>
      </c>
      <c r="I29" s="129">
        <f>SUM(I20:I28)</f>
        <v>20409274.710000001</v>
      </c>
      <c r="J29" t="b">
        <f>I29=P16</f>
        <v>1</v>
      </c>
    </row>
    <row r="48" spans="6:12">
      <c r="F48" s="572"/>
      <c r="G48" s="572"/>
      <c r="H48" s="572"/>
      <c r="I48" s="572"/>
      <c r="J48" s="572"/>
      <c r="K48" s="572"/>
      <c r="L48" s="572"/>
    </row>
    <row r="49" spans="6:12">
      <c r="F49" s="572"/>
      <c r="G49" s="572"/>
      <c r="H49" s="572"/>
      <c r="I49" s="572"/>
      <c r="J49" s="572"/>
      <c r="K49" s="572"/>
      <c r="L49" s="572"/>
    </row>
    <row r="50" spans="6:12">
      <c r="F50" s="572"/>
      <c r="G50" s="573"/>
      <c r="H50" s="573"/>
      <c r="I50" s="574"/>
      <c r="J50" s="573"/>
      <c r="K50" s="572"/>
      <c r="L50" s="572"/>
    </row>
    <row r="51" spans="6:12">
      <c r="F51" s="575"/>
      <c r="G51" s="576"/>
      <c r="H51" s="576"/>
      <c r="I51" s="576"/>
      <c r="J51" s="576"/>
      <c r="K51" s="577"/>
      <c r="L51" s="572"/>
    </row>
    <row r="52" spans="6:12">
      <c r="F52" s="572"/>
      <c r="G52" s="1062"/>
      <c r="H52" s="1062"/>
      <c r="I52" s="1062"/>
      <c r="J52" s="572"/>
      <c r="K52" s="572"/>
      <c r="L52" s="572"/>
    </row>
    <row r="53" spans="6:12">
      <c r="F53" s="572"/>
      <c r="G53" s="577"/>
      <c r="H53" s="578"/>
      <c r="I53" s="1058"/>
      <c r="J53" s="1058"/>
      <c r="K53" s="572"/>
      <c r="L53" s="572"/>
    </row>
    <row r="54" spans="6:12">
      <c r="F54" s="572"/>
      <c r="G54" s="577"/>
      <c r="H54" s="578"/>
      <c r="I54" s="1061"/>
      <c r="J54" s="1058"/>
      <c r="K54" s="572"/>
      <c r="L54" s="572"/>
    </row>
    <row r="55" spans="6:12">
      <c r="F55" s="572"/>
      <c r="G55" s="572"/>
      <c r="H55" s="579"/>
      <c r="I55" s="580"/>
      <c r="J55" s="577"/>
      <c r="K55" s="577"/>
      <c r="L55" s="572"/>
    </row>
    <row r="56" spans="6:12">
      <c r="F56" s="572"/>
      <c r="G56" s="572"/>
      <c r="H56" s="572"/>
      <c r="I56" s="572"/>
      <c r="J56" s="572"/>
      <c r="K56" s="572"/>
      <c r="L56" s="572"/>
    </row>
    <row r="57" spans="6:12">
      <c r="F57" s="572"/>
      <c r="G57" s="572"/>
      <c r="H57" s="572"/>
      <c r="I57" s="572"/>
      <c r="J57" s="572"/>
      <c r="K57" s="572"/>
      <c r="L57" s="572"/>
    </row>
  </sheetData>
  <mergeCells count="46">
    <mergeCell ref="M6:M7"/>
    <mergeCell ref="L6:L7"/>
    <mergeCell ref="K6:K13"/>
    <mergeCell ref="J6:J13"/>
    <mergeCell ref="R6:R7"/>
    <mergeCell ref="Q6:Q7"/>
    <mergeCell ref="P6:P7"/>
    <mergeCell ref="O6:O7"/>
    <mergeCell ref="N6:N7"/>
    <mergeCell ref="R4:R5"/>
    <mergeCell ref="D4:F4"/>
    <mergeCell ref="H4:I4"/>
    <mergeCell ref="J4:J5"/>
    <mergeCell ref="M4:N4"/>
    <mergeCell ref="O4:O5"/>
    <mergeCell ref="L4:L5"/>
    <mergeCell ref="P4:P5"/>
    <mergeCell ref="K4:K5"/>
    <mergeCell ref="G4:G5"/>
    <mergeCell ref="Q4:Q5"/>
    <mergeCell ref="B4:B5"/>
    <mergeCell ref="A4:A5"/>
    <mergeCell ref="C4:C5"/>
    <mergeCell ref="B6:B13"/>
    <mergeCell ref="A6:A13"/>
    <mergeCell ref="J53:J54"/>
    <mergeCell ref="G14:G15"/>
    <mergeCell ref="I53:I54"/>
    <mergeCell ref="G52:I52"/>
    <mergeCell ref="G12:G13"/>
    <mergeCell ref="K14:K15"/>
    <mergeCell ref="J14:J15"/>
    <mergeCell ref="F6:F13"/>
    <mergeCell ref="E6:E13"/>
    <mergeCell ref="A14:A15"/>
    <mergeCell ref="B14:B15"/>
    <mergeCell ref="C14:C15"/>
    <mergeCell ref="D14:D15"/>
    <mergeCell ref="E14:E15"/>
    <mergeCell ref="D6:D13"/>
    <mergeCell ref="C6:C13"/>
    <mergeCell ref="G6:G9"/>
    <mergeCell ref="G10:G11"/>
    <mergeCell ref="I6:I7"/>
    <mergeCell ref="H6:H7"/>
    <mergeCell ref="F14:F15"/>
  </mergeCells>
  <phoneticPr fontId="4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34"/>
  <sheetViews>
    <sheetView zoomScale="55" zoomScaleNormal="55" workbookViewId="0">
      <selection activeCell="M18" sqref="M18"/>
    </sheetView>
  </sheetViews>
  <sheetFormatPr defaultRowHeight="15"/>
  <cols>
    <col min="1" max="1" width="24.5703125" customWidth="1"/>
    <col min="2" max="2" width="17.85546875" customWidth="1"/>
    <col min="3" max="3" width="17.140625" customWidth="1"/>
    <col min="4" max="4" width="15.28515625" customWidth="1"/>
    <col min="5" max="5" width="17.28515625" customWidth="1"/>
    <col min="6" max="6" width="14.85546875" customWidth="1"/>
    <col min="7" max="7" width="17.7109375" customWidth="1"/>
    <col min="8" max="8" width="12.5703125" customWidth="1"/>
    <col min="9" max="9" width="26.28515625" customWidth="1"/>
    <col min="10" max="10" width="13.7109375" customWidth="1"/>
    <col min="12" max="12" width="20" customWidth="1"/>
    <col min="13" max="13" width="16" customWidth="1"/>
    <col min="14" max="14" width="17.28515625" customWidth="1"/>
    <col min="15" max="15" width="17" customWidth="1"/>
    <col min="16" max="16" width="20.85546875" customWidth="1"/>
    <col min="17" max="17" width="37" customWidth="1"/>
    <col min="18" max="18" width="92.7109375" customWidth="1"/>
    <col min="19" max="19" width="81" customWidth="1"/>
    <col min="20" max="20" width="60.5703125" customWidth="1"/>
    <col min="21" max="21" width="14.140625" style="129" bestFit="1" customWidth="1"/>
    <col min="22" max="23" width="8.85546875" style="129"/>
    <col min="24" max="24" width="10.42578125" bestFit="1" customWidth="1"/>
  </cols>
  <sheetData>
    <row r="1" spans="1:37">
      <c r="A1" s="9"/>
      <c r="L1" s="148"/>
    </row>
    <row r="4" spans="1:37" ht="15.75" thickBot="1">
      <c r="A4" s="9" t="s">
        <v>35</v>
      </c>
    </row>
    <row r="5" spans="1:37" ht="15" customHeight="1">
      <c r="A5" s="969" t="s">
        <v>0</v>
      </c>
      <c r="B5" s="906" t="s">
        <v>131</v>
      </c>
      <c r="C5" s="912" t="s">
        <v>132</v>
      </c>
      <c r="D5" s="964" t="s">
        <v>4</v>
      </c>
      <c r="E5" s="964"/>
      <c r="F5" s="964"/>
      <c r="G5" s="967" t="s">
        <v>18</v>
      </c>
      <c r="H5" s="965" t="s">
        <v>144</v>
      </c>
      <c r="I5" s="965"/>
      <c r="J5" s="964" t="s">
        <v>15</v>
      </c>
      <c r="K5" s="964" t="s">
        <v>14</v>
      </c>
      <c r="L5" s="964" t="s">
        <v>1</v>
      </c>
      <c r="M5" s="964" t="s">
        <v>145</v>
      </c>
      <c r="N5" s="964"/>
      <c r="O5" s="967" t="s">
        <v>2</v>
      </c>
      <c r="P5" s="964" t="s">
        <v>3</v>
      </c>
      <c r="Q5" s="964" t="s">
        <v>146</v>
      </c>
      <c r="R5" s="962" t="s">
        <v>147</v>
      </c>
      <c r="S5" s="170"/>
      <c r="T5" s="170"/>
      <c r="U5" s="241"/>
      <c r="V5" s="241"/>
      <c r="W5" s="241"/>
      <c r="X5" s="170"/>
      <c r="Y5" s="170"/>
      <c r="Z5" s="170"/>
      <c r="AA5" s="170"/>
      <c r="AB5" s="10"/>
      <c r="AC5" s="10"/>
      <c r="AD5" s="10"/>
      <c r="AE5" s="10"/>
      <c r="AF5" s="10"/>
      <c r="AG5" s="10"/>
      <c r="AH5" s="10"/>
      <c r="AI5" s="10"/>
      <c r="AJ5" s="10"/>
      <c r="AK5" s="10"/>
    </row>
    <row r="6" spans="1:37" ht="84" customHeight="1" thickBot="1">
      <c r="A6" s="970"/>
      <c r="B6" s="907"/>
      <c r="C6" s="913"/>
      <c r="D6" s="511" t="s">
        <v>7</v>
      </c>
      <c r="E6" s="510" t="s">
        <v>17</v>
      </c>
      <c r="F6" s="184" t="s">
        <v>148</v>
      </c>
      <c r="G6" s="968"/>
      <c r="H6" s="511" t="s">
        <v>5</v>
      </c>
      <c r="I6" s="511" t="s">
        <v>6</v>
      </c>
      <c r="J6" s="966"/>
      <c r="K6" s="966"/>
      <c r="L6" s="966"/>
      <c r="M6" s="511" t="s">
        <v>149</v>
      </c>
      <c r="N6" s="511" t="s">
        <v>150</v>
      </c>
      <c r="O6" s="968"/>
      <c r="P6" s="966"/>
      <c r="Q6" s="966"/>
      <c r="R6" s="963"/>
      <c r="S6" s="170"/>
      <c r="T6" s="170"/>
      <c r="U6" s="241"/>
      <c r="V6" s="241"/>
      <c r="W6" s="241"/>
      <c r="X6" s="170"/>
      <c r="Y6" s="170"/>
      <c r="Z6" s="170"/>
      <c r="AA6" s="170"/>
      <c r="AB6" s="10"/>
      <c r="AC6" s="10"/>
      <c r="AD6" s="10"/>
      <c r="AE6" s="10"/>
      <c r="AF6" s="10"/>
      <c r="AG6" s="10"/>
      <c r="AH6" s="10"/>
      <c r="AI6" s="10"/>
      <c r="AJ6" s="10"/>
      <c r="AK6" s="10"/>
    </row>
    <row r="7" spans="1:37" ht="42" hidden="1" customHeight="1">
      <c r="A7" s="954"/>
      <c r="B7" s="198"/>
      <c r="C7" s="944">
        <f>'[1]Intervencijų lėšos'!I8</f>
        <v>10000000</v>
      </c>
      <c r="D7" s="946" t="s">
        <v>136</v>
      </c>
      <c r="E7" s="948">
        <f>(C7*100/70)-C7</f>
        <v>4285714.2857142854</v>
      </c>
      <c r="F7" s="950">
        <f>C7+E7</f>
        <v>14285714.285714285</v>
      </c>
      <c r="G7" s="513">
        <f>F7</f>
        <v>14285714.285714285</v>
      </c>
      <c r="H7" s="190" t="s">
        <v>55</v>
      </c>
      <c r="I7" s="190" t="s">
        <v>56</v>
      </c>
      <c r="J7" s="191" t="s">
        <v>119</v>
      </c>
      <c r="K7" s="191" t="s">
        <v>23</v>
      </c>
      <c r="L7" s="190" t="s">
        <v>78</v>
      </c>
      <c r="M7" s="190"/>
      <c r="N7" s="190"/>
      <c r="O7" s="512"/>
      <c r="P7" s="190"/>
      <c r="Q7" s="190" t="s">
        <v>34</v>
      </c>
      <c r="R7" s="188"/>
      <c r="S7" s="170"/>
      <c r="T7" s="170"/>
      <c r="U7" s="241"/>
      <c r="V7" s="241"/>
      <c r="W7" s="241"/>
      <c r="X7" s="170"/>
      <c r="Y7" s="170"/>
      <c r="Z7" s="170"/>
      <c r="AA7" s="170"/>
      <c r="AB7" s="10"/>
      <c r="AC7" s="10"/>
      <c r="AD7" s="10"/>
      <c r="AE7" s="10"/>
      <c r="AF7" s="10"/>
      <c r="AG7" s="10"/>
      <c r="AH7" s="10"/>
      <c r="AI7" s="10"/>
      <c r="AJ7" s="10"/>
      <c r="AK7" s="10"/>
    </row>
    <row r="8" spans="1:37" ht="35.450000000000003" hidden="1" customHeight="1">
      <c r="A8" s="955"/>
      <c r="B8" s="199"/>
      <c r="C8" s="945"/>
      <c r="D8" s="947"/>
      <c r="E8" s="949"/>
      <c r="F8" s="945"/>
      <c r="G8" s="193"/>
      <c r="H8" s="194"/>
      <c r="I8" s="194"/>
      <c r="J8" s="194"/>
      <c r="K8" s="194"/>
      <c r="L8" s="194"/>
      <c r="M8" s="194"/>
      <c r="N8" s="194"/>
      <c r="O8" s="195"/>
      <c r="P8" s="194"/>
      <c r="Q8" s="194" t="s">
        <v>34</v>
      </c>
      <c r="R8" s="196"/>
      <c r="S8" s="170"/>
      <c r="T8" s="170"/>
      <c r="U8" s="241"/>
      <c r="V8" s="241"/>
      <c r="W8" s="241"/>
      <c r="X8" s="170"/>
      <c r="Y8" s="170"/>
      <c r="Z8" s="170"/>
      <c r="AA8" s="170"/>
      <c r="AB8" s="10"/>
      <c r="AC8" s="10"/>
      <c r="AD8" s="10"/>
      <c r="AE8" s="10"/>
      <c r="AF8" s="10"/>
      <c r="AG8" s="10"/>
      <c r="AH8" s="10"/>
      <c r="AI8" s="10"/>
      <c r="AJ8" s="10"/>
      <c r="AK8" s="10"/>
    </row>
    <row r="9" spans="1:37" s="133" customFormat="1" ht="90" customHeight="1">
      <c r="A9" s="1090" t="s">
        <v>302</v>
      </c>
      <c r="B9" s="1092">
        <f>F9</f>
        <v>11764705.882352941</v>
      </c>
      <c r="C9" s="1092">
        <v>10000000</v>
      </c>
      <c r="D9" s="1094" t="s">
        <v>271</v>
      </c>
      <c r="E9" s="1092">
        <f>C9/0.85*0.15</f>
        <v>1764705.882352941</v>
      </c>
      <c r="F9" s="1092">
        <f>C9+E9</f>
        <v>11764705.882352941</v>
      </c>
      <c r="G9" s="1092">
        <f>F9</f>
        <v>11764705.882352941</v>
      </c>
      <c r="H9" s="518" t="s">
        <v>120</v>
      </c>
      <c r="I9" s="337" t="s">
        <v>117</v>
      </c>
      <c r="J9" s="1096" t="s">
        <v>45</v>
      </c>
      <c r="K9" s="1094" t="s">
        <v>41</v>
      </c>
      <c r="L9" s="337" t="s">
        <v>113</v>
      </c>
      <c r="M9" s="337" t="s">
        <v>42</v>
      </c>
      <c r="N9" s="337" t="s">
        <v>46</v>
      </c>
      <c r="O9" s="519">
        <f>P9*0.1</f>
        <v>6.8000000000000007</v>
      </c>
      <c r="P9" s="337" t="s">
        <v>143</v>
      </c>
      <c r="Q9" s="337" t="s">
        <v>34</v>
      </c>
      <c r="R9" s="520" t="s">
        <v>293</v>
      </c>
      <c r="S9" s="534" t="s">
        <v>294</v>
      </c>
      <c r="T9" s="1098" t="s">
        <v>287</v>
      </c>
      <c r="U9" s="279"/>
      <c r="V9" s="279"/>
      <c r="W9" s="240"/>
      <c r="X9" s="240"/>
      <c r="Y9" s="131"/>
      <c r="Z9" s="131"/>
      <c r="AA9" s="131"/>
      <c r="AB9" s="132"/>
      <c r="AC9" s="132"/>
      <c r="AD9" s="132"/>
      <c r="AE9" s="132"/>
      <c r="AF9" s="132"/>
      <c r="AG9" s="132"/>
      <c r="AH9" s="132"/>
      <c r="AI9" s="132"/>
      <c r="AJ9" s="132"/>
      <c r="AK9" s="132"/>
    </row>
    <row r="10" spans="1:37" s="133" customFormat="1" ht="163.15" customHeight="1" thickBot="1">
      <c r="A10" s="1091"/>
      <c r="B10" s="1093"/>
      <c r="C10" s="1093"/>
      <c r="D10" s="1095"/>
      <c r="E10" s="1093"/>
      <c r="F10" s="1093"/>
      <c r="G10" s="1093"/>
      <c r="H10" s="521" t="s">
        <v>121</v>
      </c>
      <c r="I10" s="165" t="s">
        <v>118</v>
      </c>
      <c r="J10" s="1097"/>
      <c r="K10" s="1095"/>
      <c r="L10" s="165" t="s">
        <v>153</v>
      </c>
      <c r="M10" s="504">
        <f>369450*0.069</f>
        <v>25492.050000000003</v>
      </c>
      <c r="N10" s="165" t="s">
        <v>122</v>
      </c>
      <c r="O10" s="522" t="s">
        <v>8</v>
      </c>
      <c r="P10" s="336">
        <f>341224*0.128</f>
        <v>43676.671999999999</v>
      </c>
      <c r="Q10" s="165" t="s">
        <v>34</v>
      </c>
      <c r="R10" s="523" t="s">
        <v>272</v>
      </c>
      <c r="S10" s="535" t="s">
        <v>295</v>
      </c>
      <c r="T10" s="1098"/>
      <c r="U10" s="240"/>
      <c r="V10" s="240"/>
      <c r="W10" s="240"/>
      <c r="X10" s="131"/>
      <c r="Y10" s="131"/>
      <c r="Z10" s="131"/>
      <c r="AA10" s="131"/>
      <c r="AB10" s="132"/>
      <c r="AC10" s="132"/>
      <c r="AD10" s="132"/>
      <c r="AE10" s="132"/>
      <c r="AF10" s="132"/>
      <c r="AG10" s="132"/>
      <c r="AH10" s="132"/>
      <c r="AI10" s="132"/>
      <c r="AJ10" s="132"/>
      <c r="AK10" s="132"/>
    </row>
    <row r="11" spans="1:37" s="129" customFormat="1">
      <c r="A11"/>
      <c r="C11" s="129" t="e">
        <f>#REF!+#REF!</f>
        <v>#REF!</v>
      </c>
      <c r="D11"/>
      <c r="E11"/>
      <c r="F11"/>
      <c r="G11"/>
      <c r="H11"/>
      <c r="I11"/>
      <c r="J11"/>
      <c r="K11"/>
      <c r="L11"/>
      <c r="M11"/>
      <c r="N11"/>
      <c r="O11"/>
      <c r="P11"/>
      <c r="Q11"/>
      <c r="R11"/>
      <c r="S11"/>
      <c r="T11"/>
      <c r="X11"/>
      <c r="Y11"/>
      <c r="Z11"/>
      <c r="AA11"/>
      <c r="AB11"/>
      <c r="AC11"/>
      <c r="AD11"/>
      <c r="AE11"/>
      <c r="AF11"/>
      <c r="AG11"/>
      <c r="AH11"/>
      <c r="AI11"/>
      <c r="AJ11"/>
      <c r="AK11"/>
    </row>
    <row r="12" spans="1:37" s="129" customFormat="1">
      <c r="A12"/>
      <c r="B12"/>
      <c r="C12" s="129">
        <f>C9</f>
        <v>10000000</v>
      </c>
      <c r="D12"/>
      <c r="E12"/>
      <c r="F12"/>
      <c r="G12"/>
      <c r="H12"/>
      <c r="I12"/>
      <c r="J12"/>
      <c r="K12"/>
      <c r="L12"/>
      <c r="M12"/>
      <c r="N12"/>
      <c r="O12"/>
      <c r="P12"/>
      <c r="Q12"/>
      <c r="R12"/>
      <c r="S12"/>
      <c r="T12"/>
      <c r="X12"/>
      <c r="Y12"/>
      <c r="Z12"/>
      <c r="AA12"/>
      <c r="AB12"/>
      <c r="AC12"/>
      <c r="AD12"/>
      <c r="AE12"/>
      <c r="AF12"/>
      <c r="AG12"/>
      <c r="AH12"/>
      <c r="AI12"/>
      <c r="AJ12"/>
      <c r="AK12"/>
    </row>
    <row r="13" spans="1:37" s="129" customFormat="1">
      <c r="A13"/>
      <c r="B13"/>
      <c r="C13" s="129" t="e">
        <f>#REF!+#REF!</f>
        <v>#REF!</v>
      </c>
      <c r="D13"/>
      <c r="E13"/>
      <c r="F13"/>
      <c r="G13"/>
      <c r="H13"/>
      <c r="I13"/>
      <c r="J13"/>
      <c r="K13"/>
      <c r="L13"/>
      <c r="M13"/>
      <c r="N13"/>
      <c r="O13"/>
      <c r="P13"/>
      <c r="Q13"/>
      <c r="R13"/>
      <c r="S13"/>
      <c r="T13"/>
      <c r="X13"/>
      <c r="Y13"/>
      <c r="Z13"/>
      <c r="AA13"/>
      <c r="AB13"/>
      <c r="AC13"/>
      <c r="AD13"/>
      <c r="AE13"/>
      <c r="AF13"/>
      <c r="AG13"/>
      <c r="AH13"/>
      <c r="AI13"/>
      <c r="AJ13"/>
      <c r="AK13"/>
    </row>
    <row r="16" spans="1:37" s="13" customFormat="1" ht="45">
      <c r="A16" s="256" t="s">
        <v>5</v>
      </c>
      <c r="B16" s="29" t="s">
        <v>6</v>
      </c>
      <c r="C16" s="256" t="s">
        <v>1</v>
      </c>
      <c r="D16" s="256" t="s">
        <v>9</v>
      </c>
      <c r="E16" s="256" t="s">
        <v>15</v>
      </c>
      <c r="F16" s="256" t="s">
        <v>14</v>
      </c>
      <c r="G16" s="256" t="s">
        <v>10</v>
      </c>
      <c r="H16" s="256" t="s">
        <v>2</v>
      </c>
      <c r="I16" s="256" t="s">
        <v>3</v>
      </c>
      <c r="J16" s="55"/>
      <c r="K16" s="54"/>
      <c r="N16" s="68"/>
      <c r="O16" s="68"/>
      <c r="T16" s="202"/>
      <c r="U16" s="202"/>
      <c r="V16" s="202"/>
    </row>
    <row r="17" spans="1:37" s="129" customFormat="1" ht="45">
      <c r="A17" s="137" t="s">
        <v>120</v>
      </c>
      <c r="B17" s="514" t="s">
        <v>117</v>
      </c>
      <c r="C17" s="509" t="s">
        <v>113</v>
      </c>
      <c r="D17" s="508" t="str">
        <f>M9</f>
        <v>0</v>
      </c>
      <c r="E17" s="227" t="str">
        <f>J9</f>
        <v>Midle- west Lithuania region</v>
      </c>
      <c r="F17" s="227" t="str">
        <f>K9</f>
        <v>ERDF</v>
      </c>
      <c r="G17" s="507">
        <v>2021</v>
      </c>
      <c r="H17" s="152">
        <f>O9</f>
        <v>6.8000000000000007</v>
      </c>
      <c r="I17" s="152" t="str">
        <f>P9</f>
        <v xml:space="preserve">68             </v>
      </c>
      <c r="J17" s="767"/>
      <c r="K17"/>
      <c r="L17"/>
      <c r="M17"/>
      <c r="N17"/>
      <c r="O17"/>
      <c r="P17"/>
      <c r="Q17"/>
      <c r="R17"/>
      <c r="S17"/>
      <c r="T17"/>
      <c r="X17"/>
      <c r="Y17"/>
      <c r="Z17"/>
      <c r="AA17"/>
      <c r="AB17"/>
      <c r="AC17"/>
      <c r="AD17"/>
      <c r="AE17"/>
      <c r="AF17"/>
      <c r="AG17"/>
      <c r="AH17"/>
      <c r="AI17"/>
      <c r="AJ17"/>
      <c r="AK17"/>
    </row>
    <row r="18" spans="1:37" s="129" customFormat="1" ht="45">
      <c r="A18" s="137" t="s">
        <v>121</v>
      </c>
      <c r="B18" s="514" t="s">
        <v>118</v>
      </c>
      <c r="C18" s="254" t="str">
        <f>L10</f>
        <v>Users/Year</v>
      </c>
      <c r="D18" s="152">
        <f>M10</f>
        <v>25492.050000000003</v>
      </c>
      <c r="E18" s="507" t="s">
        <v>48</v>
      </c>
      <c r="F18" s="507" t="s">
        <v>23</v>
      </c>
      <c r="G18" s="507">
        <v>2021</v>
      </c>
      <c r="H18" s="508" t="str">
        <f>O10</f>
        <v>n/a</v>
      </c>
      <c r="I18" s="152">
        <f>P10</f>
        <v>43676.671999999999</v>
      </c>
      <c r="J18" s="767"/>
      <c r="K18"/>
      <c r="L18"/>
      <c r="M18"/>
      <c r="N18"/>
      <c r="O18"/>
      <c r="P18"/>
      <c r="Q18"/>
      <c r="R18"/>
      <c r="S18"/>
      <c r="T18"/>
      <c r="X18"/>
      <c r="Y18"/>
      <c r="Z18"/>
      <c r="AA18"/>
      <c r="AB18"/>
      <c r="AC18"/>
      <c r="AD18"/>
      <c r="AE18"/>
      <c r="AF18"/>
      <c r="AG18"/>
      <c r="AH18"/>
      <c r="AI18"/>
      <c r="AJ18"/>
      <c r="AK18"/>
    </row>
    <row r="19" spans="1:37" s="129" customFormat="1">
      <c r="A19" s="3"/>
      <c r="B19" s="3"/>
      <c r="C19" s="3"/>
      <c r="D19" s="4"/>
      <c r="E19" s="3"/>
      <c r="F19" s="3"/>
      <c r="G19" s="3"/>
      <c r="H19" s="3"/>
      <c r="I19" s="3"/>
      <c r="J19" s="767"/>
      <c r="K19"/>
      <c r="L19"/>
      <c r="M19"/>
      <c r="N19"/>
      <c r="O19"/>
      <c r="P19"/>
      <c r="Q19"/>
      <c r="R19"/>
      <c r="S19"/>
      <c r="T19"/>
      <c r="X19"/>
      <c r="Y19"/>
      <c r="Z19"/>
      <c r="AA19"/>
      <c r="AB19"/>
      <c r="AC19"/>
      <c r="AD19"/>
      <c r="AE19"/>
      <c r="AF19"/>
      <c r="AG19"/>
      <c r="AH19"/>
      <c r="AI19"/>
      <c r="AJ19"/>
      <c r="AK19"/>
    </row>
    <row r="20" spans="1:37" s="129" customFormat="1">
      <c r="A20" s="3"/>
      <c r="B20" s="3"/>
      <c r="C20" s="3"/>
      <c r="D20" s="4"/>
      <c r="E20" s="3"/>
      <c r="F20" s="3"/>
      <c r="G20" s="3"/>
      <c r="H20" s="3"/>
      <c r="I20" s="3"/>
      <c r="J20" s="767"/>
      <c r="K20"/>
      <c r="L20"/>
      <c r="M20"/>
      <c r="N20"/>
      <c r="O20"/>
      <c r="P20"/>
      <c r="Q20"/>
      <c r="R20"/>
      <c r="S20"/>
      <c r="T20"/>
      <c r="X20"/>
      <c r="Y20"/>
      <c r="Z20"/>
      <c r="AA20"/>
      <c r="AB20"/>
      <c r="AC20"/>
      <c r="AD20"/>
      <c r="AE20"/>
      <c r="AF20"/>
      <c r="AG20"/>
      <c r="AH20"/>
      <c r="AI20"/>
      <c r="AJ20"/>
      <c r="AK20"/>
    </row>
    <row r="21" spans="1:37" s="129" customFormat="1">
      <c r="A21" s="3"/>
      <c r="B21" s="3"/>
      <c r="C21" s="3"/>
      <c r="D21" s="4"/>
      <c r="E21" s="3"/>
      <c r="F21" s="3"/>
      <c r="G21" s="3"/>
      <c r="H21" s="3"/>
      <c r="I21" s="3"/>
      <c r="J21" s="767"/>
      <c r="K21"/>
      <c r="L21"/>
      <c r="M21"/>
      <c r="N21"/>
      <c r="O21"/>
      <c r="P21"/>
      <c r="Q21"/>
      <c r="R21"/>
      <c r="S21"/>
      <c r="T21"/>
      <c r="X21"/>
      <c r="Y21"/>
      <c r="Z21"/>
      <c r="AA21"/>
      <c r="AB21"/>
      <c r="AC21"/>
      <c r="AD21"/>
      <c r="AE21"/>
      <c r="AF21"/>
      <c r="AG21"/>
      <c r="AH21"/>
      <c r="AI21"/>
      <c r="AJ21"/>
      <c r="AK21"/>
    </row>
    <row r="22" spans="1:37">
      <c r="A22" s="3"/>
      <c r="B22" s="3"/>
      <c r="C22" s="3"/>
      <c r="D22" s="4"/>
      <c r="E22" s="3"/>
      <c r="F22" s="3"/>
      <c r="G22" s="3"/>
      <c r="H22" s="3"/>
      <c r="I22" s="3"/>
      <c r="J22" s="767"/>
    </row>
    <row r="23" spans="1:37">
      <c r="A23" s="3"/>
      <c r="B23" s="3"/>
      <c r="C23" s="3"/>
      <c r="D23" s="4"/>
      <c r="E23" s="3"/>
      <c r="F23" s="3"/>
      <c r="G23" s="3"/>
      <c r="H23" s="3"/>
      <c r="I23" s="3"/>
      <c r="J23" s="767"/>
    </row>
    <row r="24" spans="1:37">
      <c r="A24" s="3"/>
      <c r="B24" s="3"/>
      <c r="C24" s="3"/>
      <c r="D24" s="4"/>
      <c r="E24" s="3"/>
      <c r="F24" s="3"/>
      <c r="G24" s="3"/>
      <c r="H24" s="3"/>
      <c r="I24" s="3"/>
      <c r="J24" s="767"/>
    </row>
    <row r="25" spans="1:37">
      <c r="A25" s="3"/>
      <c r="B25" s="3"/>
      <c r="C25" s="3"/>
      <c r="D25" s="4"/>
      <c r="E25" s="3"/>
      <c r="F25" s="3"/>
      <c r="G25" s="3"/>
      <c r="H25" s="3"/>
      <c r="I25" s="3"/>
      <c r="J25" s="767"/>
    </row>
    <row r="26" spans="1:37">
      <c r="D26" s="129"/>
    </row>
    <row r="27" spans="1:37">
      <c r="D27" s="129"/>
    </row>
    <row r="28" spans="1:37">
      <c r="D28" s="129"/>
    </row>
    <row r="29" spans="1:37">
      <c r="D29" s="129"/>
    </row>
    <row r="30" spans="1:37">
      <c r="D30" s="129"/>
    </row>
    <row r="31" spans="1:37">
      <c r="D31" s="129"/>
    </row>
    <row r="32" spans="1:37">
      <c r="D32" s="129"/>
    </row>
    <row r="33" spans="4:4">
      <c r="D33" s="129"/>
    </row>
    <row r="34" spans="4:4">
      <c r="D34" s="129"/>
    </row>
  </sheetData>
  <mergeCells count="30">
    <mergeCell ref="G9:G10"/>
    <mergeCell ref="J9:J10"/>
    <mergeCell ref="K9:K10"/>
    <mergeCell ref="T9:T10"/>
    <mergeCell ref="J17:J25"/>
    <mergeCell ref="C7:C8"/>
    <mergeCell ref="D7:D8"/>
    <mergeCell ref="E7:E8"/>
    <mergeCell ref="F7:F8"/>
    <mergeCell ref="A9:A10"/>
    <mergeCell ref="B9:B10"/>
    <mergeCell ref="C9:C10"/>
    <mergeCell ref="D9:D10"/>
    <mergeCell ref="E9:E10"/>
    <mergeCell ref="F9:F10"/>
    <mergeCell ref="A7:A8"/>
    <mergeCell ref="Q5:Q6"/>
    <mergeCell ref="R5:R6"/>
    <mergeCell ref="J5:J6"/>
    <mergeCell ref="K5:K6"/>
    <mergeCell ref="L5:L6"/>
    <mergeCell ref="M5:N5"/>
    <mergeCell ref="O5:O6"/>
    <mergeCell ref="P5:P6"/>
    <mergeCell ref="H5:I5"/>
    <mergeCell ref="A5:A6"/>
    <mergeCell ref="B5:B6"/>
    <mergeCell ref="C5:C6"/>
    <mergeCell ref="D5:F5"/>
    <mergeCell ref="G5:G6"/>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4"/>
  <sheetViews>
    <sheetView zoomScale="75" zoomScaleNormal="75" workbookViewId="0">
      <selection activeCell="H12" sqref="H12"/>
    </sheetView>
  </sheetViews>
  <sheetFormatPr defaultRowHeight="15"/>
  <cols>
    <col min="1" max="1" width="9.140625" style="591"/>
    <col min="2" max="2" width="36" style="591" customWidth="1"/>
    <col min="3" max="3" width="49.7109375" style="591" customWidth="1"/>
  </cols>
  <sheetData>
    <row r="1" spans="1:3">
      <c r="A1" s="584" t="s">
        <v>343</v>
      </c>
      <c r="B1" s="585" t="s">
        <v>344</v>
      </c>
      <c r="C1" s="585" t="s">
        <v>345</v>
      </c>
    </row>
    <row r="2" spans="1:3">
      <c r="A2" s="586">
        <v>0</v>
      </c>
      <c r="B2" s="587" t="s">
        <v>346</v>
      </c>
      <c r="C2" s="587" t="s">
        <v>41</v>
      </c>
    </row>
    <row r="3" spans="1:3">
      <c r="A3" s="586">
        <v>1</v>
      </c>
      <c r="B3" s="585" t="s">
        <v>338</v>
      </c>
      <c r="C3" s="585" t="s">
        <v>369</v>
      </c>
    </row>
    <row r="4" spans="1:3" ht="63.75" customHeight="1">
      <c r="A4" s="586">
        <v>2</v>
      </c>
      <c r="B4" s="585" t="s">
        <v>339</v>
      </c>
      <c r="C4" s="625" t="s">
        <v>411</v>
      </c>
    </row>
    <row r="5" spans="1:3">
      <c r="A5" s="1099" t="s">
        <v>347</v>
      </c>
      <c r="B5" s="587" t="s">
        <v>348</v>
      </c>
      <c r="C5" s="1100" t="s">
        <v>397</v>
      </c>
    </row>
    <row r="6" spans="1:3" ht="15" customHeight="1">
      <c r="A6" s="1099"/>
      <c r="B6" s="587" t="s">
        <v>349</v>
      </c>
      <c r="C6" s="1101"/>
    </row>
    <row r="7" spans="1:3">
      <c r="A7" s="586">
        <v>3</v>
      </c>
      <c r="B7" s="587" t="s">
        <v>350</v>
      </c>
      <c r="C7" s="633" t="s">
        <v>290</v>
      </c>
    </row>
    <row r="8" spans="1:3">
      <c r="A8" s="586">
        <v>4</v>
      </c>
      <c r="B8" s="587" t="s">
        <v>351</v>
      </c>
      <c r="C8" s="633" t="s">
        <v>352</v>
      </c>
    </row>
    <row r="9" spans="1:3">
      <c r="A9" s="586">
        <v>5</v>
      </c>
      <c r="B9" s="587" t="s">
        <v>26</v>
      </c>
      <c r="C9" s="627">
        <v>0</v>
      </c>
    </row>
    <row r="10" spans="1:3">
      <c r="A10" s="586">
        <v>6</v>
      </c>
      <c r="B10" s="587" t="s">
        <v>33</v>
      </c>
      <c r="C10" s="633" t="s">
        <v>353</v>
      </c>
    </row>
    <row r="11" spans="1:3">
      <c r="A11" s="586">
        <v>7</v>
      </c>
      <c r="B11" s="587" t="s">
        <v>30</v>
      </c>
      <c r="C11" s="633" t="s">
        <v>354</v>
      </c>
    </row>
    <row r="12" spans="1:3">
      <c r="A12" s="586">
        <v>8</v>
      </c>
      <c r="B12" s="587" t="s">
        <v>355</v>
      </c>
      <c r="C12" s="633" t="s">
        <v>356</v>
      </c>
    </row>
    <row r="13" spans="1:3">
      <c r="A13" s="586">
        <v>9</v>
      </c>
      <c r="B13" s="587" t="s">
        <v>357</v>
      </c>
      <c r="C13" s="633" t="s">
        <v>370</v>
      </c>
    </row>
    <row r="14" spans="1:3" ht="35.450000000000003" customHeight="1">
      <c r="A14" s="1099">
        <v>10</v>
      </c>
      <c r="B14" s="1102" t="s">
        <v>358</v>
      </c>
      <c r="C14" s="625" t="s">
        <v>398</v>
      </c>
    </row>
    <row r="15" spans="1:3" ht="78" customHeight="1">
      <c r="A15" s="1099"/>
      <c r="B15" s="1102"/>
      <c r="C15" s="625" t="s">
        <v>371</v>
      </c>
    </row>
    <row r="16" spans="1:3" ht="37.15" customHeight="1">
      <c r="A16" s="1099"/>
      <c r="B16" s="1102"/>
      <c r="C16" s="625" t="s">
        <v>400</v>
      </c>
    </row>
    <row r="17" spans="1:3">
      <c r="A17" s="586">
        <v>11</v>
      </c>
      <c r="B17" s="587" t="s">
        <v>359</v>
      </c>
      <c r="C17" s="587" t="s">
        <v>34</v>
      </c>
    </row>
    <row r="18" spans="1:3">
      <c r="A18" s="586">
        <v>12</v>
      </c>
      <c r="B18" s="587" t="s">
        <v>360</v>
      </c>
      <c r="C18" s="587" t="s">
        <v>361</v>
      </c>
    </row>
    <row r="19" spans="1:3">
      <c r="A19" s="586">
        <v>13</v>
      </c>
      <c r="B19" s="587" t="s">
        <v>362</v>
      </c>
      <c r="C19" s="590"/>
    </row>
    <row r="20" spans="1:3" ht="23.25" customHeight="1">
      <c r="A20" s="1099">
        <v>14</v>
      </c>
      <c r="B20" s="1102" t="s">
        <v>363</v>
      </c>
      <c r="C20" s="590" t="s">
        <v>364</v>
      </c>
    </row>
    <row r="21" spans="1:3" ht="29.25" customHeight="1">
      <c r="A21" s="1099"/>
      <c r="B21" s="1102"/>
      <c r="C21" s="590" t="s">
        <v>365</v>
      </c>
    </row>
    <row r="22" spans="1:3">
      <c r="A22" s="586">
        <v>15</v>
      </c>
      <c r="B22" s="587" t="s">
        <v>366</v>
      </c>
      <c r="C22" s="590"/>
    </row>
    <row r="23" spans="1:3">
      <c r="A23" s="586">
        <v>16</v>
      </c>
      <c r="B23" s="587" t="s">
        <v>367</v>
      </c>
      <c r="C23" s="587"/>
    </row>
    <row r="24" spans="1:3">
      <c r="A24" s="586">
        <v>17</v>
      </c>
      <c r="B24" s="587" t="s">
        <v>368</v>
      </c>
      <c r="C24" s="590"/>
    </row>
    <row r="25" spans="1:3" s="572" customFormat="1">
      <c r="A25" s="592"/>
      <c r="B25" s="593"/>
      <c r="C25" s="593"/>
    </row>
    <row r="26" spans="1:3" s="572" customFormat="1">
      <c r="A26" s="593"/>
      <c r="B26" s="593"/>
      <c r="C26" s="593"/>
    </row>
    <row r="27" spans="1:3" s="572" customFormat="1">
      <c r="A27" s="593"/>
      <c r="B27" s="593"/>
      <c r="C27" s="593"/>
    </row>
    <row r="28" spans="1:3" s="572" customFormat="1">
      <c r="A28" s="593"/>
      <c r="B28" s="593"/>
      <c r="C28" s="593"/>
    </row>
    <row r="29" spans="1:3" s="572" customFormat="1">
      <c r="A29" s="593"/>
      <c r="B29" s="593"/>
      <c r="C29" s="593"/>
    </row>
    <row r="30" spans="1:3" s="572" customFormat="1">
      <c r="A30" s="593"/>
      <c r="B30" s="593"/>
      <c r="C30" s="593"/>
    </row>
    <row r="31" spans="1:3" s="572" customFormat="1">
      <c r="A31" s="593"/>
      <c r="B31" s="593"/>
      <c r="C31" s="593"/>
    </row>
    <row r="32" spans="1:3" s="572" customFormat="1">
      <c r="A32" s="593"/>
      <c r="B32" s="593"/>
      <c r="C32" s="593"/>
    </row>
    <row r="33" spans="1:3" s="572" customFormat="1">
      <c r="A33" s="593"/>
      <c r="B33" s="593"/>
      <c r="C33" s="593"/>
    </row>
    <row r="34" spans="1:3" s="572" customFormat="1">
      <c r="A34" s="593"/>
      <c r="B34" s="593"/>
      <c r="C34" s="593"/>
    </row>
    <row r="35" spans="1:3" s="572" customFormat="1">
      <c r="A35" s="593"/>
      <c r="B35" s="593"/>
      <c r="C35" s="593"/>
    </row>
    <row r="36" spans="1:3" s="572" customFormat="1">
      <c r="A36" s="593"/>
      <c r="B36" s="593"/>
      <c r="C36" s="593"/>
    </row>
    <row r="37" spans="1:3" s="572" customFormat="1">
      <c r="A37" s="593"/>
      <c r="B37" s="593"/>
      <c r="C37" s="593"/>
    </row>
    <row r="38" spans="1:3" s="572" customFormat="1">
      <c r="A38" s="593"/>
      <c r="B38" s="593"/>
      <c r="C38" s="593"/>
    </row>
    <row r="39" spans="1:3" s="572" customFormat="1">
      <c r="A39" s="593"/>
      <c r="B39" s="593"/>
      <c r="C39" s="593"/>
    </row>
    <row r="40" spans="1:3" s="572" customFormat="1">
      <c r="A40" s="593"/>
      <c r="B40" s="593"/>
      <c r="C40" s="593"/>
    </row>
    <row r="41" spans="1:3" s="572" customFormat="1">
      <c r="A41" s="593"/>
      <c r="B41" s="593"/>
      <c r="C41" s="593"/>
    </row>
    <row r="42" spans="1:3" s="572" customFormat="1">
      <c r="A42" s="593"/>
      <c r="B42" s="593"/>
      <c r="C42" s="593"/>
    </row>
    <row r="43" spans="1:3" s="572" customFormat="1">
      <c r="A43" s="593"/>
      <c r="B43" s="593"/>
      <c r="C43" s="593"/>
    </row>
    <row r="44" spans="1:3" s="572" customFormat="1">
      <c r="A44" s="593"/>
      <c r="B44" s="593"/>
      <c r="C44" s="593"/>
    </row>
    <row r="45" spans="1:3" s="572" customFormat="1">
      <c r="A45" s="593"/>
      <c r="B45" s="593"/>
      <c r="C45" s="593"/>
    </row>
    <row r="46" spans="1:3" s="572" customFormat="1">
      <c r="A46" s="593"/>
      <c r="B46" s="593"/>
      <c r="C46" s="593"/>
    </row>
    <row r="47" spans="1:3" s="572" customFormat="1">
      <c r="A47" s="593"/>
      <c r="B47" s="593"/>
      <c r="C47" s="593"/>
    </row>
    <row r="48" spans="1:3" s="572" customFormat="1">
      <c r="A48" s="593"/>
      <c r="B48" s="593"/>
      <c r="C48" s="593"/>
    </row>
    <row r="49" spans="1:3" s="572" customFormat="1">
      <c r="A49" s="593"/>
      <c r="B49" s="593"/>
      <c r="C49" s="593"/>
    </row>
    <row r="50" spans="1:3" s="572" customFormat="1">
      <c r="A50" s="593"/>
      <c r="B50" s="593"/>
      <c r="C50" s="593"/>
    </row>
    <row r="51" spans="1:3" s="572" customFormat="1">
      <c r="A51" s="593"/>
      <c r="B51" s="593"/>
      <c r="C51" s="593"/>
    </row>
    <row r="52" spans="1:3" s="572" customFormat="1">
      <c r="A52" s="593"/>
      <c r="B52" s="593"/>
      <c r="C52" s="593"/>
    </row>
    <row r="53" spans="1:3" s="572" customFormat="1">
      <c r="A53" s="593"/>
      <c r="B53" s="593"/>
      <c r="C53" s="593"/>
    </row>
    <row r="54" spans="1:3" s="572" customFormat="1">
      <c r="A54" s="593"/>
      <c r="B54" s="593"/>
      <c r="C54" s="593"/>
    </row>
    <row r="55" spans="1:3" s="572" customFormat="1">
      <c r="A55" s="593"/>
      <c r="B55" s="593"/>
      <c r="C55" s="593"/>
    </row>
    <row r="56" spans="1:3" s="572" customFormat="1">
      <c r="A56" s="593"/>
      <c r="B56" s="593"/>
      <c r="C56" s="593"/>
    </row>
    <row r="57" spans="1:3" s="572" customFormat="1">
      <c r="A57" s="593"/>
      <c r="B57" s="593"/>
      <c r="C57" s="593"/>
    </row>
    <row r="58" spans="1:3" s="572" customFormat="1">
      <c r="A58" s="593"/>
      <c r="B58" s="593"/>
      <c r="C58" s="593"/>
    </row>
    <row r="59" spans="1:3" s="572" customFormat="1">
      <c r="A59" s="593"/>
      <c r="B59" s="593"/>
      <c r="C59" s="593"/>
    </row>
    <row r="60" spans="1:3" s="572" customFormat="1">
      <c r="A60" s="593"/>
      <c r="B60" s="593"/>
      <c r="C60" s="593"/>
    </row>
    <row r="61" spans="1:3" s="572" customFormat="1">
      <c r="A61" s="593"/>
      <c r="B61" s="593"/>
      <c r="C61" s="593"/>
    </row>
    <row r="62" spans="1:3" s="572" customFormat="1">
      <c r="A62" s="593"/>
      <c r="B62" s="593"/>
      <c r="C62" s="593"/>
    </row>
    <row r="63" spans="1:3" s="572" customFormat="1">
      <c r="A63" s="593"/>
      <c r="B63" s="593"/>
      <c r="C63" s="593"/>
    </row>
    <row r="64" spans="1:3" s="572" customFormat="1">
      <c r="A64" s="593"/>
      <c r="B64" s="593"/>
      <c r="C64" s="593"/>
    </row>
    <row r="65" spans="1:3" s="572" customFormat="1">
      <c r="A65" s="593"/>
      <c r="B65" s="593"/>
      <c r="C65" s="593"/>
    </row>
    <row r="66" spans="1:3" s="572" customFormat="1">
      <c r="A66" s="593"/>
      <c r="B66" s="593"/>
      <c r="C66" s="593"/>
    </row>
    <row r="67" spans="1:3" s="572" customFormat="1">
      <c r="A67" s="593"/>
      <c r="B67" s="593"/>
      <c r="C67" s="593"/>
    </row>
    <row r="68" spans="1:3" s="572" customFormat="1">
      <c r="A68" s="593"/>
      <c r="B68" s="593"/>
      <c r="C68" s="593"/>
    </row>
    <row r="69" spans="1:3" s="572" customFormat="1">
      <c r="A69" s="593"/>
      <c r="B69" s="593"/>
      <c r="C69" s="593"/>
    </row>
    <row r="70" spans="1:3" s="572" customFormat="1">
      <c r="A70" s="593"/>
      <c r="B70" s="593"/>
      <c r="C70" s="593"/>
    </row>
    <row r="71" spans="1:3" s="572" customFormat="1">
      <c r="A71" s="593"/>
      <c r="B71" s="593"/>
      <c r="C71" s="593"/>
    </row>
    <row r="72" spans="1:3" s="572" customFormat="1">
      <c r="A72" s="593"/>
      <c r="B72" s="593"/>
      <c r="C72" s="593"/>
    </row>
    <row r="73" spans="1:3" s="572" customFormat="1">
      <c r="A73" s="593"/>
      <c r="B73" s="593"/>
      <c r="C73" s="593"/>
    </row>
    <row r="74" spans="1:3" s="572" customFormat="1">
      <c r="A74" s="593"/>
      <c r="B74" s="593"/>
      <c r="C74" s="593"/>
    </row>
    <row r="75" spans="1:3" s="572" customFormat="1">
      <c r="A75" s="593"/>
      <c r="B75" s="593"/>
      <c r="C75" s="593"/>
    </row>
    <row r="76" spans="1:3" s="572" customFormat="1">
      <c r="A76" s="593"/>
      <c r="B76" s="593"/>
      <c r="C76" s="593"/>
    </row>
    <row r="77" spans="1:3" s="572" customFormat="1">
      <c r="A77" s="593"/>
      <c r="B77" s="593"/>
      <c r="C77" s="593"/>
    </row>
    <row r="78" spans="1:3" s="572" customFormat="1">
      <c r="A78" s="593"/>
      <c r="B78" s="593"/>
      <c r="C78" s="593"/>
    </row>
    <row r="79" spans="1:3" s="572" customFormat="1">
      <c r="A79" s="593"/>
      <c r="B79" s="593"/>
      <c r="C79" s="593"/>
    </row>
    <row r="80" spans="1:3" s="572" customFormat="1">
      <c r="A80" s="593"/>
      <c r="B80" s="593"/>
      <c r="C80" s="593"/>
    </row>
    <row r="81" spans="1:3" s="572" customFormat="1">
      <c r="A81" s="593"/>
      <c r="B81" s="593"/>
      <c r="C81" s="593"/>
    </row>
    <row r="82" spans="1:3" s="572" customFormat="1">
      <c r="A82" s="593"/>
      <c r="B82" s="593"/>
      <c r="C82" s="593"/>
    </row>
    <row r="83" spans="1:3" s="572" customFormat="1">
      <c r="A83" s="593"/>
      <c r="B83" s="593"/>
      <c r="C83" s="593"/>
    </row>
    <row r="84" spans="1:3" s="572" customFormat="1">
      <c r="A84" s="593"/>
      <c r="B84" s="593"/>
      <c r="C84" s="593"/>
    </row>
    <row r="85" spans="1:3" s="572" customFormat="1">
      <c r="A85" s="593"/>
      <c r="B85" s="593"/>
      <c r="C85" s="593"/>
    </row>
    <row r="86" spans="1:3" s="572" customFormat="1">
      <c r="A86" s="593"/>
      <c r="B86" s="593"/>
      <c r="C86" s="593"/>
    </row>
    <row r="87" spans="1:3" s="572" customFormat="1">
      <c r="A87" s="593"/>
      <c r="B87" s="593"/>
      <c r="C87" s="593"/>
    </row>
    <row r="88" spans="1:3" s="572" customFormat="1">
      <c r="A88" s="593"/>
      <c r="B88" s="593"/>
      <c r="C88" s="593"/>
    </row>
    <row r="89" spans="1:3" s="572" customFormat="1">
      <c r="A89" s="593"/>
      <c r="B89" s="593"/>
      <c r="C89" s="593"/>
    </row>
    <row r="90" spans="1:3" s="572" customFormat="1">
      <c r="A90" s="593"/>
      <c r="B90" s="593"/>
      <c r="C90" s="593"/>
    </row>
    <row r="91" spans="1:3" s="572" customFormat="1">
      <c r="A91" s="593"/>
      <c r="B91" s="593"/>
      <c r="C91" s="593"/>
    </row>
    <row r="92" spans="1:3" s="572" customFormat="1">
      <c r="A92" s="593"/>
      <c r="B92" s="593"/>
      <c r="C92" s="593"/>
    </row>
    <row r="93" spans="1:3" s="572" customFormat="1">
      <c r="A93" s="593"/>
      <c r="B93" s="593"/>
      <c r="C93" s="593"/>
    </row>
    <row r="94" spans="1:3" s="572" customFormat="1">
      <c r="A94" s="593"/>
      <c r="B94" s="593"/>
      <c r="C94" s="593"/>
    </row>
    <row r="95" spans="1:3" s="572" customFormat="1">
      <c r="A95" s="593"/>
      <c r="B95" s="593"/>
      <c r="C95" s="593"/>
    </row>
    <row r="96" spans="1:3" s="572" customFormat="1">
      <c r="A96" s="593"/>
      <c r="B96" s="593"/>
      <c r="C96" s="593"/>
    </row>
    <row r="97" spans="1:3" s="572" customFormat="1">
      <c r="A97" s="593"/>
      <c r="B97" s="593"/>
      <c r="C97" s="593"/>
    </row>
    <row r="98" spans="1:3" s="572" customFormat="1">
      <c r="A98" s="593"/>
      <c r="B98" s="593"/>
      <c r="C98" s="593"/>
    </row>
    <row r="99" spans="1:3" s="572" customFormat="1">
      <c r="A99" s="593"/>
      <c r="B99" s="593"/>
      <c r="C99" s="593"/>
    </row>
    <row r="100" spans="1:3" s="572" customFormat="1">
      <c r="A100" s="593"/>
      <c r="B100" s="593"/>
      <c r="C100" s="593"/>
    </row>
    <row r="101" spans="1:3" s="572" customFormat="1">
      <c r="A101" s="593"/>
      <c r="B101" s="593"/>
      <c r="C101" s="593"/>
    </row>
    <row r="102" spans="1:3" s="572" customFormat="1">
      <c r="A102" s="593"/>
      <c r="B102" s="593"/>
      <c r="C102" s="593"/>
    </row>
    <row r="103" spans="1:3" s="572" customFormat="1">
      <c r="A103" s="593"/>
      <c r="B103" s="593"/>
      <c r="C103" s="593"/>
    </row>
    <row r="104" spans="1:3" s="572" customFormat="1">
      <c r="A104" s="593"/>
      <c r="B104" s="593"/>
      <c r="C104" s="593"/>
    </row>
    <row r="105" spans="1:3" s="572" customFormat="1">
      <c r="A105" s="593"/>
      <c r="B105" s="593"/>
      <c r="C105" s="593"/>
    </row>
    <row r="106" spans="1:3" s="572" customFormat="1">
      <c r="A106" s="593"/>
      <c r="B106" s="593"/>
      <c r="C106" s="593"/>
    </row>
    <row r="107" spans="1:3" s="572" customFormat="1">
      <c r="A107" s="593"/>
      <c r="B107" s="593"/>
      <c r="C107" s="593"/>
    </row>
    <row r="108" spans="1:3" s="572" customFormat="1">
      <c r="A108" s="593"/>
      <c r="B108" s="593"/>
      <c r="C108" s="593"/>
    </row>
    <row r="109" spans="1:3" s="572" customFormat="1">
      <c r="A109" s="593"/>
      <c r="B109" s="593"/>
      <c r="C109" s="593"/>
    </row>
    <row r="110" spans="1:3" s="572" customFormat="1">
      <c r="A110" s="593"/>
      <c r="B110" s="593"/>
      <c r="C110" s="593"/>
    </row>
    <row r="111" spans="1:3" s="572" customFormat="1">
      <c r="A111" s="593"/>
      <c r="B111" s="593"/>
      <c r="C111" s="593"/>
    </row>
    <row r="112" spans="1:3" s="572" customFormat="1">
      <c r="A112" s="593"/>
      <c r="B112" s="593"/>
      <c r="C112" s="593"/>
    </row>
    <row r="113" spans="1:3" s="572" customFormat="1">
      <c r="A113" s="593"/>
      <c r="B113" s="593"/>
      <c r="C113" s="593"/>
    </row>
    <row r="114" spans="1:3" s="572" customFormat="1">
      <c r="A114" s="593"/>
      <c r="B114" s="593"/>
      <c r="C114" s="593"/>
    </row>
    <row r="115" spans="1:3" s="572" customFormat="1">
      <c r="A115" s="593"/>
      <c r="B115" s="593"/>
      <c r="C115" s="593"/>
    </row>
    <row r="116" spans="1:3" s="572" customFormat="1">
      <c r="A116" s="593"/>
      <c r="B116" s="593"/>
      <c r="C116" s="593"/>
    </row>
    <row r="117" spans="1:3" s="572" customFormat="1">
      <c r="A117" s="593"/>
      <c r="B117" s="593"/>
      <c r="C117" s="593"/>
    </row>
    <row r="118" spans="1:3" s="572" customFormat="1">
      <c r="A118" s="593"/>
      <c r="B118" s="593"/>
      <c r="C118" s="593"/>
    </row>
    <row r="119" spans="1:3" s="572" customFormat="1">
      <c r="A119" s="593"/>
      <c r="B119" s="593"/>
      <c r="C119" s="593"/>
    </row>
    <row r="120" spans="1:3" s="572" customFormat="1">
      <c r="A120" s="593"/>
      <c r="B120" s="593"/>
      <c r="C120" s="593"/>
    </row>
    <row r="121" spans="1:3" s="572" customFormat="1">
      <c r="A121" s="593"/>
      <c r="B121" s="593"/>
      <c r="C121" s="593"/>
    </row>
    <row r="122" spans="1:3" s="572" customFormat="1">
      <c r="A122" s="593"/>
      <c r="B122" s="593"/>
      <c r="C122" s="593"/>
    </row>
    <row r="123" spans="1:3" s="572" customFormat="1">
      <c r="A123" s="593"/>
      <c r="B123" s="593"/>
      <c r="C123" s="593"/>
    </row>
    <row r="124" spans="1:3" s="572" customFormat="1">
      <c r="A124" s="593"/>
      <c r="B124" s="593"/>
      <c r="C124" s="593"/>
    </row>
    <row r="125" spans="1:3" s="572" customFormat="1">
      <c r="A125" s="593"/>
      <c r="B125" s="593"/>
      <c r="C125" s="593"/>
    </row>
    <row r="126" spans="1:3" s="572" customFormat="1">
      <c r="A126" s="593"/>
      <c r="B126" s="593"/>
      <c r="C126" s="593"/>
    </row>
    <row r="127" spans="1:3" s="572" customFormat="1">
      <c r="A127" s="593"/>
      <c r="B127" s="593"/>
      <c r="C127" s="593"/>
    </row>
    <row r="128" spans="1:3" s="572" customFormat="1">
      <c r="A128" s="593"/>
      <c r="B128" s="593"/>
      <c r="C128" s="593"/>
    </row>
    <row r="129" spans="1:3" s="572" customFormat="1">
      <c r="A129" s="593"/>
      <c r="B129" s="593"/>
      <c r="C129" s="593"/>
    </row>
    <row r="130" spans="1:3" s="572" customFormat="1">
      <c r="A130" s="593"/>
      <c r="B130" s="593"/>
      <c r="C130" s="593"/>
    </row>
    <row r="131" spans="1:3" s="572" customFormat="1">
      <c r="A131" s="593"/>
      <c r="B131" s="593"/>
      <c r="C131" s="593"/>
    </row>
    <row r="132" spans="1:3" s="572" customFormat="1">
      <c r="A132" s="593"/>
      <c r="B132" s="593"/>
      <c r="C132" s="593"/>
    </row>
    <row r="133" spans="1:3" s="572" customFormat="1">
      <c r="A133" s="593"/>
      <c r="B133" s="593"/>
      <c r="C133" s="593"/>
    </row>
    <row r="134" spans="1:3" s="572" customFormat="1">
      <c r="A134" s="593"/>
      <c r="B134" s="593"/>
      <c r="C134" s="593"/>
    </row>
    <row r="135" spans="1:3" s="572" customFormat="1">
      <c r="A135" s="593"/>
      <c r="B135" s="593"/>
      <c r="C135" s="593"/>
    </row>
    <row r="136" spans="1:3" s="572" customFormat="1">
      <c r="A136" s="593"/>
      <c r="B136" s="593"/>
      <c r="C136" s="593"/>
    </row>
    <row r="137" spans="1:3" s="572" customFormat="1">
      <c r="A137" s="593"/>
      <c r="B137" s="593"/>
      <c r="C137" s="593"/>
    </row>
    <row r="138" spans="1:3" s="572" customFormat="1">
      <c r="A138" s="593"/>
      <c r="B138" s="593"/>
      <c r="C138" s="593"/>
    </row>
    <row r="139" spans="1:3" s="572" customFormat="1">
      <c r="A139" s="593"/>
      <c r="B139" s="593"/>
      <c r="C139" s="593"/>
    </row>
    <row r="140" spans="1:3" s="572" customFormat="1">
      <c r="A140" s="593"/>
      <c r="B140" s="593"/>
      <c r="C140" s="593"/>
    </row>
    <row r="141" spans="1:3" s="572" customFormat="1">
      <c r="A141" s="593"/>
      <c r="B141" s="593"/>
      <c r="C141" s="593"/>
    </row>
    <row r="142" spans="1:3" s="572" customFormat="1">
      <c r="A142" s="593"/>
      <c r="B142" s="593"/>
      <c r="C142" s="593"/>
    </row>
    <row r="143" spans="1:3" s="572" customFormat="1">
      <c r="A143" s="593"/>
      <c r="B143" s="593"/>
      <c r="C143" s="593"/>
    </row>
    <row r="144" spans="1:3" s="572" customFormat="1">
      <c r="A144" s="593"/>
      <c r="B144" s="593"/>
      <c r="C144" s="593"/>
    </row>
    <row r="145" spans="1:3" s="572" customFormat="1">
      <c r="A145" s="593"/>
      <c r="B145" s="593"/>
      <c r="C145" s="593"/>
    </row>
    <row r="146" spans="1:3" s="572" customFormat="1">
      <c r="A146" s="593"/>
      <c r="B146" s="593"/>
      <c r="C146" s="593"/>
    </row>
    <row r="147" spans="1:3" s="572" customFormat="1">
      <c r="A147" s="593"/>
      <c r="B147" s="593"/>
      <c r="C147" s="593"/>
    </row>
    <row r="148" spans="1:3" s="572" customFormat="1">
      <c r="A148" s="593"/>
      <c r="B148" s="593"/>
      <c r="C148" s="593"/>
    </row>
    <row r="149" spans="1:3" s="572" customFormat="1">
      <c r="A149" s="593"/>
      <c r="B149" s="593"/>
      <c r="C149" s="593"/>
    </row>
    <row r="150" spans="1:3" s="572" customFormat="1">
      <c r="A150" s="593"/>
      <c r="B150" s="593"/>
      <c r="C150" s="593"/>
    </row>
    <row r="151" spans="1:3" s="572" customFormat="1">
      <c r="A151" s="593"/>
      <c r="B151" s="593"/>
      <c r="C151" s="593"/>
    </row>
    <row r="152" spans="1:3" s="572" customFormat="1">
      <c r="A152" s="593"/>
      <c r="B152" s="593"/>
      <c r="C152" s="593"/>
    </row>
    <row r="153" spans="1:3" s="572" customFormat="1">
      <c r="A153" s="593"/>
      <c r="B153" s="593"/>
      <c r="C153" s="593"/>
    </row>
    <row r="154" spans="1:3" s="572" customFormat="1">
      <c r="A154" s="593"/>
      <c r="B154" s="593"/>
      <c r="C154" s="593"/>
    </row>
  </sheetData>
  <mergeCells count="6">
    <mergeCell ref="A5:A6"/>
    <mergeCell ref="C5:C6"/>
    <mergeCell ref="A14:A16"/>
    <mergeCell ref="B14:B16"/>
    <mergeCell ref="A20:A21"/>
    <mergeCell ref="B20:B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zoomScaleNormal="75" workbookViewId="0">
      <selection activeCell="C4" sqref="C4"/>
    </sheetView>
  </sheetViews>
  <sheetFormatPr defaultColWidth="9.140625" defaultRowHeight="23.25" customHeight="1"/>
  <cols>
    <col min="1" max="1" width="9.140625" style="630"/>
    <col min="2" max="2" width="27" style="630" customWidth="1"/>
    <col min="3" max="3" width="65.7109375" style="630" customWidth="1"/>
    <col min="4" max="16384" width="9.140625" style="630"/>
  </cols>
  <sheetData>
    <row r="1" spans="1:3" ht="23.25" customHeight="1">
      <c r="A1" s="628" t="s">
        <v>343</v>
      </c>
      <c r="B1" s="629" t="s">
        <v>344</v>
      </c>
      <c r="C1" s="629" t="s">
        <v>345</v>
      </c>
    </row>
    <row r="2" spans="1:3" ht="14.25" customHeight="1">
      <c r="A2" s="631">
        <v>0</v>
      </c>
      <c r="B2" s="626" t="s">
        <v>346</v>
      </c>
      <c r="C2" s="626" t="s">
        <v>41</v>
      </c>
    </row>
    <row r="3" spans="1:3" ht="25.15" customHeight="1">
      <c r="A3" s="631">
        <v>1</v>
      </c>
      <c r="B3" s="629" t="s">
        <v>338</v>
      </c>
      <c r="C3" s="629" t="s">
        <v>372</v>
      </c>
    </row>
    <row r="4" spans="1:3" ht="38.450000000000003" customHeight="1">
      <c r="A4" s="631">
        <v>2</v>
      </c>
      <c r="B4" s="629" t="s">
        <v>339</v>
      </c>
      <c r="C4" s="625" t="s">
        <v>413</v>
      </c>
    </row>
    <row r="5" spans="1:3" ht="16.5" customHeight="1">
      <c r="A5" s="631">
        <v>3</v>
      </c>
      <c r="B5" s="626" t="s">
        <v>350</v>
      </c>
      <c r="C5" s="626" t="s">
        <v>373</v>
      </c>
    </row>
    <row r="6" spans="1:3" ht="17.25" customHeight="1">
      <c r="A6" s="631">
        <v>4</v>
      </c>
      <c r="B6" s="626" t="s">
        <v>351</v>
      </c>
      <c r="C6" s="626" t="s">
        <v>374</v>
      </c>
    </row>
    <row r="7" spans="1:3" ht="17.25" customHeight="1">
      <c r="A7" s="631">
        <v>5</v>
      </c>
      <c r="B7" s="626" t="s">
        <v>26</v>
      </c>
      <c r="C7" s="632" t="s">
        <v>402</v>
      </c>
    </row>
    <row r="8" spans="1:3" ht="16.5" customHeight="1">
      <c r="A8" s="631">
        <v>6</v>
      </c>
      <c r="B8" s="626" t="s">
        <v>33</v>
      </c>
      <c r="C8" s="626" t="s">
        <v>375</v>
      </c>
    </row>
    <row r="9" spans="1:3" ht="16.5" customHeight="1">
      <c r="A9" s="631">
        <v>7</v>
      </c>
      <c r="B9" s="626" t="s">
        <v>30</v>
      </c>
      <c r="C9" s="626" t="s">
        <v>354</v>
      </c>
    </row>
    <row r="10" spans="1:3" ht="18" customHeight="1">
      <c r="A10" s="631">
        <v>8</v>
      </c>
      <c r="B10" s="626" t="s">
        <v>355</v>
      </c>
      <c r="C10" s="626" t="s">
        <v>356</v>
      </c>
    </row>
    <row r="11" spans="1:3" ht="18" customHeight="1">
      <c r="A11" s="631">
        <v>9</v>
      </c>
      <c r="B11" s="626" t="s">
        <v>357</v>
      </c>
      <c r="C11" s="626" t="s">
        <v>370</v>
      </c>
    </row>
    <row r="12" spans="1:3" ht="47.45" customHeight="1">
      <c r="A12" s="1103">
        <v>10</v>
      </c>
      <c r="B12" s="1104" t="s">
        <v>358</v>
      </c>
      <c r="C12" s="625" t="s">
        <v>401</v>
      </c>
    </row>
    <row r="13" spans="1:3" ht="58.15" customHeight="1">
      <c r="A13" s="1103"/>
      <c r="B13" s="1104"/>
      <c r="C13" s="625" t="s">
        <v>399</v>
      </c>
    </row>
    <row r="14" spans="1:3" ht="89.25" customHeight="1">
      <c r="A14" s="1103"/>
      <c r="B14" s="1104"/>
      <c r="C14" s="625" t="s">
        <v>376</v>
      </c>
    </row>
    <row r="15" spans="1:3" ht="76.5" customHeight="1">
      <c r="A15" s="1103"/>
      <c r="B15" s="1104"/>
      <c r="C15" s="625" t="s">
        <v>410</v>
      </c>
    </row>
    <row r="16" spans="1:3" ht="23.25" customHeight="1">
      <c r="A16" s="631">
        <v>11</v>
      </c>
      <c r="B16" s="626" t="s">
        <v>359</v>
      </c>
      <c r="C16" s="626" t="s">
        <v>34</v>
      </c>
    </row>
    <row r="17" spans="1:3" ht="23.25" customHeight="1">
      <c r="A17" s="631">
        <v>12</v>
      </c>
      <c r="B17" s="626" t="s">
        <v>360</v>
      </c>
      <c r="C17" s="626" t="s">
        <v>403</v>
      </c>
    </row>
    <row r="18" spans="1:3" ht="23.25" customHeight="1">
      <c r="A18" s="631">
        <v>13</v>
      </c>
      <c r="B18" s="626" t="s">
        <v>362</v>
      </c>
      <c r="C18" s="625" t="s">
        <v>377</v>
      </c>
    </row>
    <row r="19" spans="1:3" ht="23.25" customHeight="1">
      <c r="A19" s="1103">
        <v>14</v>
      </c>
      <c r="B19" s="1104" t="s">
        <v>363</v>
      </c>
      <c r="C19" s="625" t="s">
        <v>364</v>
      </c>
    </row>
    <row r="20" spans="1:3" ht="23.25" customHeight="1">
      <c r="A20" s="1103"/>
      <c r="B20" s="1104"/>
      <c r="C20" s="625" t="s">
        <v>365</v>
      </c>
    </row>
    <row r="21" spans="1:3" ht="9.75" customHeight="1">
      <c r="A21" s="631">
        <v>15</v>
      </c>
      <c r="B21" s="626" t="s">
        <v>366</v>
      </c>
      <c r="C21" s="625"/>
    </row>
    <row r="22" spans="1:3" ht="15" customHeight="1">
      <c r="A22" s="631">
        <v>16</v>
      </c>
      <c r="B22" s="626" t="s">
        <v>367</v>
      </c>
      <c r="C22" s="626"/>
    </row>
    <row r="23" spans="1:3" ht="23.25" customHeight="1">
      <c r="A23" s="631">
        <v>17</v>
      </c>
      <c r="B23" s="626" t="s">
        <v>368</v>
      </c>
      <c r="C23" s="625"/>
    </row>
  </sheetData>
  <mergeCells count="4">
    <mergeCell ref="A12:A15"/>
    <mergeCell ref="B12:B15"/>
    <mergeCell ref="A19:A20"/>
    <mergeCell ref="B19:B2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zoomScale="75" zoomScaleNormal="75" workbookViewId="0">
      <selection activeCell="H13" sqref="H13"/>
    </sheetView>
  </sheetViews>
  <sheetFormatPr defaultRowHeight="18.75" customHeight="1"/>
  <cols>
    <col min="2" max="2" width="22.28515625" customWidth="1"/>
    <col min="3" max="3" width="73.140625" customWidth="1"/>
  </cols>
  <sheetData>
    <row r="1" spans="1:3" ht="18.75" customHeight="1">
      <c r="A1" s="584" t="s">
        <v>343</v>
      </c>
      <c r="B1" s="585" t="s">
        <v>344</v>
      </c>
      <c r="C1" s="585" t="s">
        <v>345</v>
      </c>
    </row>
    <row r="2" spans="1:3" ht="18.75" customHeight="1">
      <c r="A2" s="588">
        <v>0</v>
      </c>
      <c r="B2" s="589" t="s">
        <v>346</v>
      </c>
      <c r="C2" s="589" t="s">
        <v>378</v>
      </c>
    </row>
    <row r="3" spans="1:3" ht="18.75" customHeight="1">
      <c r="A3" s="588">
        <v>1</v>
      </c>
      <c r="B3" s="585" t="s">
        <v>338</v>
      </c>
      <c r="C3" s="585" t="s">
        <v>379</v>
      </c>
    </row>
    <row r="4" spans="1:3" ht="30.75" customHeight="1">
      <c r="A4" s="588">
        <v>2</v>
      </c>
      <c r="B4" s="585" t="s">
        <v>339</v>
      </c>
      <c r="C4" s="590" t="s">
        <v>389</v>
      </c>
    </row>
    <row r="5" spans="1:3" ht="18.75" customHeight="1">
      <c r="A5" s="588">
        <v>3</v>
      </c>
      <c r="B5" s="589" t="s">
        <v>350</v>
      </c>
      <c r="C5" s="589" t="s">
        <v>380</v>
      </c>
    </row>
    <row r="6" spans="1:3" ht="18.75" customHeight="1">
      <c r="A6" s="588">
        <v>4</v>
      </c>
      <c r="B6" s="589" t="s">
        <v>351</v>
      </c>
      <c r="C6" s="589" t="s">
        <v>374</v>
      </c>
    </row>
    <row r="7" spans="1:3" ht="18.75" customHeight="1">
      <c r="A7" s="588">
        <v>5</v>
      </c>
      <c r="B7" s="589" t="s">
        <v>26</v>
      </c>
      <c r="C7" s="589" t="s">
        <v>353</v>
      </c>
    </row>
    <row r="8" spans="1:3" ht="18.75" customHeight="1">
      <c r="A8" s="588">
        <v>6</v>
      </c>
      <c r="B8" s="589" t="s">
        <v>33</v>
      </c>
      <c r="C8" s="589" t="s">
        <v>381</v>
      </c>
    </row>
    <row r="9" spans="1:3" ht="18.75" customHeight="1">
      <c r="A9" s="588">
        <v>7</v>
      </c>
      <c r="B9" s="589" t="s">
        <v>30</v>
      </c>
      <c r="C9" s="589" t="s">
        <v>354</v>
      </c>
    </row>
    <row r="10" spans="1:3" ht="18.75" customHeight="1">
      <c r="A10" s="588">
        <v>8</v>
      </c>
      <c r="B10" s="589" t="s">
        <v>355</v>
      </c>
      <c r="C10" s="589" t="s">
        <v>356</v>
      </c>
    </row>
    <row r="11" spans="1:3" ht="18.75" customHeight="1">
      <c r="A11" s="588">
        <v>9</v>
      </c>
      <c r="B11" s="589" t="s">
        <v>357</v>
      </c>
      <c r="C11" s="589" t="s">
        <v>370</v>
      </c>
    </row>
    <row r="12" spans="1:3" ht="31.5" customHeight="1">
      <c r="A12" s="1099">
        <v>10</v>
      </c>
      <c r="B12" s="1102" t="s">
        <v>358</v>
      </c>
      <c r="C12" s="590" t="s">
        <v>382</v>
      </c>
    </row>
    <row r="13" spans="1:3" ht="62.25" customHeight="1">
      <c r="A13" s="1099"/>
      <c r="B13" s="1102"/>
      <c r="C13" s="590" t="s">
        <v>383</v>
      </c>
    </row>
    <row r="14" spans="1:3" ht="34.5" customHeight="1">
      <c r="A14" s="588">
        <v>11</v>
      </c>
      <c r="B14" s="589" t="s">
        <v>359</v>
      </c>
      <c r="C14" s="589" t="s">
        <v>34</v>
      </c>
    </row>
    <row r="15" spans="1:3" ht="34.5" customHeight="1">
      <c r="A15" s="588">
        <v>12</v>
      </c>
      <c r="B15" s="589" t="s">
        <v>360</v>
      </c>
      <c r="C15" s="589" t="s">
        <v>384</v>
      </c>
    </row>
    <row r="16" spans="1:3" ht="18.75" customHeight="1">
      <c r="A16" s="588">
        <v>13</v>
      </c>
      <c r="B16" s="589" t="s">
        <v>362</v>
      </c>
      <c r="C16" s="590"/>
    </row>
    <row r="17" spans="1:3" ht="18.75" customHeight="1">
      <c r="A17" s="1099">
        <v>14</v>
      </c>
      <c r="B17" s="1102" t="s">
        <v>363</v>
      </c>
      <c r="C17" s="590" t="s">
        <v>364</v>
      </c>
    </row>
    <row r="18" spans="1:3" ht="29.25" customHeight="1">
      <c r="A18" s="1099"/>
      <c r="B18" s="1102"/>
      <c r="C18" s="590" t="s">
        <v>365</v>
      </c>
    </row>
    <row r="19" spans="1:3" ht="18.75" customHeight="1">
      <c r="A19" s="588">
        <v>15</v>
      </c>
      <c r="B19" s="589" t="s">
        <v>366</v>
      </c>
      <c r="C19" s="590"/>
    </row>
    <row r="20" spans="1:3" ht="28.5" customHeight="1">
      <c r="A20" s="588">
        <v>16</v>
      </c>
      <c r="B20" s="590" t="s">
        <v>367</v>
      </c>
      <c r="C20" s="589"/>
    </row>
    <row r="21" spans="1:3" ht="18.75" customHeight="1">
      <c r="A21" s="588">
        <v>17</v>
      </c>
      <c r="B21" s="589" t="s">
        <v>368</v>
      </c>
      <c r="C21" s="590"/>
    </row>
  </sheetData>
  <mergeCells count="4">
    <mergeCell ref="A12:A13"/>
    <mergeCell ref="B12:B13"/>
    <mergeCell ref="A17:A18"/>
    <mergeCell ref="B17:B1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9</vt:i4>
      </vt:variant>
      <vt:variant>
        <vt:lpstr>Įvardinti diapazonai</vt:lpstr>
      </vt:variant>
      <vt:variant>
        <vt:i4>1</vt:i4>
      </vt:variant>
    </vt:vector>
  </HeadingPairs>
  <TitlesOfParts>
    <vt:vector size="10" baseType="lpstr">
      <vt:lpstr>Intervencijų lėšos (2)</vt:lpstr>
      <vt:lpstr>2PO 2.2</vt:lpstr>
      <vt:lpstr>2PO 2.8</vt:lpstr>
      <vt:lpstr>3PO 3.1</vt:lpstr>
      <vt:lpstr>3.2</vt:lpstr>
      <vt:lpstr>5PO</vt:lpstr>
      <vt:lpstr>F Specific output 3.2.1 (1)</vt:lpstr>
      <vt:lpstr>F Specific result 3.2.1 (1)</vt:lpstr>
      <vt:lpstr>F Specific result 3.2.2 (1)</vt:lpstr>
      <vt:lpstr>'F Specific output 3.2.1 (1)'!_Hlk74169015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2022-07-11T13:00:55Z</dcterms:modified>
</cp:coreProperties>
</file>