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05" yWindow="-105" windowWidth="23250" windowHeight="12450"/>
  </bookViews>
  <sheets>
    <sheet name="4.6" sheetId="29" r:id="rId1"/>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41" i="29" l="1"/>
  <c r="P24" i="29"/>
  <c r="J39" i="29" l="1"/>
  <c r="C16" i="29"/>
  <c r="E18" i="29"/>
  <c r="F18" i="29" s="1"/>
  <c r="P17" i="29"/>
  <c r="P27" i="29" l="1"/>
  <c r="B18" i="29"/>
  <c r="G18" i="29"/>
  <c r="C41" i="29"/>
  <c r="B41" i="29"/>
  <c r="A41" i="29"/>
  <c r="D40" i="29"/>
  <c r="C40" i="29"/>
  <c r="B40" i="29"/>
  <c r="A40" i="29"/>
  <c r="C39" i="29"/>
  <c r="B39" i="29"/>
  <c r="A39" i="29"/>
  <c r="C38" i="29"/>
  <c r="B38" i="29"/>
  <c r="A38" i="29"/>
  <c r="C37" i="29"/>
  <c r="B37" i="29"/>
  <c r="A37" i="29"/>
  <c r="C36" i="29"/>
  <c r="B36" i="29"/>
  <c r="A36" i="29"/>
  <c r="C35" i="29"/>
  <c r="B35" i="29"/>
  <c r="A35" i="29"/>
  <c r="C34" i="29"/>
  <c r="B34" i="29"/>
  <c r="A34" i="29"/>
  <c r="C33" i="29"/>
  <c r="B33" i="29"/>
  <c r="A33" i="29"/>
  <c r="C32" i="29"/>
  <c r="B32" i="29"/>
  <c r="A32" i="29"/>
  <c r="C31" i="29"/>
  <c r="B31" i="29"/>
  <c r="A31" i="29"/>
  <c r="C30" i="29"/>
  <c r="B30" i="29"/>
  <c r="A30" i="29"/>
  <c r="C29" i="29"/>
  <c r="B29" i="29"/>
  <c r="A29" i="29"/>
  <c r="C28" i="29"/>
  <c r="B28" i="29"/>
  <c r="A28" i="29"/>
  <c r="P15" i="29" l="1"/>
  <c r="P10" i="29"/>
  <c r="P6" i="29" l="1"/>
  <c r="O6" i="29"/>
  <c r="P11" i="29"/>
  <c r="O11" i="29"/>
  <c r="K41" i="29" l="1"/>
  <c r="J40" i="29"/>
  <c r="K40" i="29" s="1"/>
  <c r="K39" i="29"/>
  <c r="J38" i="29"/>
  <c r="K38" i="29" s="1"/>
  <c r="J37" i="29"/>
  <c r="K37" i="29" s="1"/>
  <c r="J35" i="29"/>
  <c r="K35" i="29" s="1"/>
  <c r="J34" i="29"/>
  <c r="K34" i="29" s="1"/>
  <c r="J33" i="29"/>
  <c r="K33" i="29" s="1"/>
  <c r="J32" i="29"/>
  <c r="K32" i="29" s="1"/>
  <c r="J31" i="29"/>
  <c r="K31" i="29" s="1"/>
  <c r="J30" i="29"/>
  <c r="K30" i="29" s="1"/>
  <c r="J29" i="29"/>
  <c r="J28" i="29"/>
  <c r="J36" i="29"/>
  <c r="K36" i="29" s="1"/>
  <c r="J42" i="29" l="1"/>
  <c r="K28" i="29"/>
  <c r="K29" i="29"/>
  <c r="M24" i="29"/>
  <c r="O24" i="29"/>
  <c r="D41" i="29"/>
  <c r="L42" i="29" l="1"/>
  <c r="K42" i="29"/>
  <c r="H35" i="29"/>
  <c r="I35" i="29" s="1"/>
  <c r="H34" i="29"/>
  <c r="I34" i="29" s="1"/>
  <c r="H33" i="29"/>
  <c r="I33" i="29" s="1"/>
  <c r="H32" i="29"/>
  <c r="I32" i="29" s="1"/>
  <c r="H31" i="29"/>
  <c r="I31" i="29" s="1"/>
  <c r="H30" i="29"/>
  <c r="I30" i="29" s="1"/>
  <c r="H29" i="29"/>
  <c r="H28" i="29"/>
  <c r="I28" i="29" l="1"/>
  <c r="I29" i="29"/>
  <c r="H42" i="29"/>
  <c r="C25" i="29"/>
  <c r="C24" i="29"/>
  <c r="E6" i="29"/>
  <c r="I42" i="29" l="1"/>
  <c r="C26" i="29"/>
  <c r="F6" i="29"/>
  <c r="D42" i="29"/>
  <c r="G6" i="29" l="1"/>
  <c r="E11" i="29"/>
  <c r="F11" i="29" l="1"/>
  <c r="B11" i="29" s="1"/>
  <c r="B6" i="29"/>
  <c r="E22" i="29"/>
  <c r="F22" i="29" s="1"/>
  <c r="B22" i="29" s="1"/>
  <c r="E20" i="29"/>
  <c r="G11" i="29" l="1"/>
  <c r="F20" i="29"/>
  <c r="E24" i="29"/>
  <c r="E16" i="29"/>
  <c r="F16" i="29" l="1"/>
  <c r="F25" i="29" s="1"/>
  <c r="E25" i="29"/>
  <c r="B20" i="29"/>
  <c r="F24" i="29"/>
  <c r="G16" i="29" l="1"/>
  <c r="B16" i="29"/>
  <c r="G22" i="29"/>
  <c r="G20" i="29"/>
  <c r="G24" i="29" s="1"/>
  <c r="G25" i="29" l="1"/>
  <c r="G26" i="29" s="1"/>
</calcChain>
</file>

<file path=xl/comments1.xml><?xml version="1.0" encoding="utf-8"?>
<comments xmlns="http://schemas.openxmlformats.org/spreadsheetml/2006/main">
  <authors>
    <author>Autorius</author>
  </authors>
  <commentList>
    <comment ref="R17" authorId="0">
      <text>
        <r>
          <rPr>
            <b/>
            <sz val="9"/>
            <color indexed="81"/>
            <rFont val="Tahoma"/>
            <family val="2"/>
            <charset val="186"/>
          </rPr>
          <t>Autorius:</t>
        </r>
        <r>
          <rPr>
            <sz val="9"/>
            <color indexed="81"/>
            <rFont val="Tahoma"/>
            <family val="2"/>
            <charset val="186"/>
          </rPr>
          <t xml:space="preserve">
I metus?
Dovilė: visi lankytojų skiačiai yra metiniai.</t>
        </r>
      </text>
    </comment>
    <comment ref="R21" authorId="0">
      <text>
        <r>
          <rPr>
            <b/>
            <sz val="9"/>
            <color indexed="81"/>
            <rFont val="Tahoma"/>
            <family val="2"/>
            <charset val="186"/>
          </rPr>
          <t>Autorius:</t>
        </r>
        <r>
          <rPr>
            <sz val="9"/>
            <color indexed="81"/>
            <rFont val="Tahoma"/>
            <family val="2"/>
            <charset val="186"/>
          </rPr>
          <t xml:space="preserve">
skiriasi lankytojo ikainis? Cia jau zinote objektus mazdaug?
Dovilė: Taip, įkainiai skiriasi, nes įkainiai apskaičiuoti pagal skirtingas 2014-2020 priemones.2 priemonė skaičiuota pagal valstybės objektus, 3 priemonė skaičiuota pagal privačius objektus.</t>
        </r>
      </text>
    </comment>
  </commentList>
</comments>
</file>

<file path=xl/sharedStrings.xml><?xml version="1.0" encoding="utf-8"?>
<sst xmlns="http://schemas.openxmlformats.org/spreadsheetml/2006/main" count="232" uniqueCount="99">
  <si>
    <t>Intervention field</t>
  </si>
  <si>
    <t>code and name</t>
  </si>
  <si>
    <t>co-financing rate (Eur.)</t>
  </si>
  <si>
    <t>Indicator</t>
  </si>
  <si>
    <t>Total allocation of action level (indicated)</t>
  </si>
  <si>
    <t>Action</t>
  </si>
  <si>
    <t>Amount (EU+ national)(Eur.)</t>
  </si>
  <si>
    <t>Baseline</t>
  </si>
  <si>
    <t>value</t>
  </si>
  <si>
    <t xml:space="preserve">Milestone 2024 </t>
  </si>
  <si>
    <t>Target 2029</t>
  </si>
  <si>
    <t>Category of region</t>
  </si>
  <si>
    <t>M.U.</t>
  </si>
  <si>
    <t>Mid-West Region</t>
  </si>
  <si>
    <t>Capital region</t>
  </si>
  <si>
    <t>Fund</t>
  </si>
  <si>
    <t>Data source</t>
  </si>
  <si>
    <t>Code</t>
  </si>
  <si>
    <t>Year</t>
  </si>
  <si>
    <t>Name</t>
  </si>
  <si>
    <t>Projects</t>
  </si>
  <si>
    <t xml:space="preserve">allocation 2021- 2027 used for calculation of 2029 target </t>
  </si>
  <si>
    <t>RCO77</t>
  </si>
  <si>
    <t>Cultural and tourism sites</t>
  </si>
  <si>
    <t>RCR77</t>
  </si>
  <si>
    <t>visitors/ year</t>
  </si>
  <si>
    <t>EU amount, eur</t>
  </si>
  <si>
    <t>n/a</t>
  </si>
  <si>
    <t>RCO02</t>
  </si>
  <si>
    <t>RCO03</t>
  </si>
  <si>
    <t>RCO04</t>
  </si>
  <si>
    <t>RCO01</t>
  </si>
  <si>
    <t>RCR02</t>
  </si>
  <si>
    <t>euro</t>
  </si>
  <si>
    <t>enterprises</t>
  </si>
  <si>
    <t>The 2029 target for RCO01 equals the sum of RCO02, RCO03, RCO04 target values. As regards milestones for 2024, it is assumed that progress of the action would amount to 10% of the final targets set based on the allocation for 2021-2027.</t>
  </si>
  <si>
    <t xml:space="preserve">The 2029 target for RCO01 equals the sum of RCO02, RCO03, RCO04 target values. As regards milestones for 2024, it is assumed that progress of the action would amount to 10% of the final targets set based on the allocation for 2021-2027. </t>
  </si>
  <si>
    <t>Methodology for calculating the values for the indicator  (LT kalba)</t>
  </si>
  <si>
    <t>Rodiklio 2029 m. siektina reikšmė apskaičiuota remiantis 2014-2020 m. patirtimi investuojant į privačius kultūros infrastruktūros ir paveldo objektus. Nustatyta vidutinė 1 investicijų projektui vertė vidurio vakarų Lietuvos regione yra 857.142 eur (įvertinus 30% statybos kainų  augimą lyginant su 2014-2020 m. laikotarpiu). Todėl 35 objektams nustatyta reikalinga investicijų suma: 843.357 eur*35 objektai= 30 mln. eur.  Vadovaujantis 2014-2020 m. patirtimi ir vidutine projektų įgyvendinimo trukme (apie 5 metai) 2024 m. nebus pabaigtų projektų (objektų).</t>
  </si>
  <si>
    <t>Rodiklio 2029 m. siektina reikšmė apskaičiuota remiantis 2014-2020 m. patirtimi investuojant į privačius kultūros infrastruktūros ir paveldo objektus. Nustatyta vidutinė 1 investicijų projektui skiriama viešųjų investicijų suma Sostinės regione yra apie 1 000 000 eur  (įvertinus 30% statybos kainų  augimą lyginant su 2014-2020 m. laikotarpiu). Vadovaujantis 2014-2020 m. patirtimi ir vidutine projektų įgyvendinimo trukme (apie 5 metai) 2024 m. nebus pabaigtų projektų (objektų).</t>
  </si>
  <si>
    <t>ERDF</t>
  </si>
  <si>
    <t>Enterprises supported (of which: micro, small, medium, large)(Paramą gavusios įmonės (iš kurių: labai mažos, mažosios, vidutinės ir didelės)</t>
  </si>
  <si>
    <t>Indicator code</t>
  </si>
  <si>
    <t>Indicator name</t>
  </si>
  <si>
    <t>Indicator M.U.</t>
  </si>
  <si>
    <t>Indicator baseline value</t>
  </si>
  <si>
    <t>Indicator baseline year</t>
  </si>
  <si>
    <t>Enterprises supported by grants (Paramą dotacijomis gavusios įmonės)</t>
  </si>
  <si>
    <t>Enterprises supported by financial instruments (Paramą finansinėmis priemonėmis gavusios įmonės)</t>
  </si>
  <si>
    <t>Enterprises with non-financial suppport (Nefinansinę paramą gavusios įmonės)</t>
  </si>
  <si>
    <t>Private investments matching public support (of which: grants, financial instruments)(Privačiosios investicijos, papildančios viešąją paramą (iš kurių: dotacijos, finansinės priemonės)</t>
  </si>
  <si>
    <t xml:space="preserve">Capital </t>
  </si>
  <si>
    <t>MWR</t>
  </si>
  <si>
    <t>Number of cultural and tourism sites supported (paramą gavusių kultūros ir turizmo objektų skaičius)</t>
  </si>
  <si>
    <t>Visitors of cultural and tourism sites supported (paramą gavusių kultūros ir turizmo objektų lankytojai)</t>
  </si>
  <si>
    <t>Rodiklio 2029 m. siektina reikšmė apskaičiuota remiantis 2014-2020 m. patirtimi ir preliminarių objektų investicijų poreikius, nustatyta vidutinė 1 projekto vertė – apie 4.215.686 mln. Eur. Taip pat atsižvelgiant į 2014-2020 m. atliktas investicijas ir prioritetiškai investuojant į Vidurio ir Vakarų Lietuvos regione esančius valstybei svarbiausius objektus, kurie generuoja didžiausią socialinę-ekonominę vertę, nustatytas preliminarus objektų skaičius - ne mažiau 12 objektai/projektai. Apkaičiuojama reikalinga lėšų suma: 1 projekto vidutinė lėšų suma* 12 objektai = 4.215.686 mln. Eur* = 50.588.232 mln. Eur. Įvertinus tikslią kofinansavimo lėšų dalį, planuojama lėšų suma – 50.588.235,29 eur. Vadovaujantis 2014-2020 m. patirtimi ir vidutine projektų įgyvendinimo trukme (apie 4 metai) 2024 m. nebus pabaigtų projektų (objektų).</t>
  </si>
  <si>
    <t>The amount of funds allocated to the activity group and the indicator are calculated on the basis of 2014-2020. 1) 76% of the total funds allocated to the Mid-West region are allocated to this group of activities and exact amount is EUR 18.705.882,4; 2) the total amount allocated to SME projects in the CCI sector is EUR 20,000,000, the number of implemented projects is 45. The average amount of one project is EUR 20,000,000 / 45 = EUR 444,444.44. Indicator 2029 the value is calculated taking into account the amount of funds allocated to the Mid-West region and the result is reduced by 15% because of implementation risk: (EUR 18.705.882,4 / 444,444.44) * 0.85 = 36 enterprises. The intermediate value of the indicator in 2024 is 10% and it will be 36 * 0.1 = 4 companies.</t>
  </si>
  <si>
    <t>Veiklų grupei skirta lėšų suma ir rodiklis apskaičiuoti remiantis 2014-2020 m. laikotarpio patirtimi: 1)  Šiai veiklų grupei skiriama 50% visos Capital regionui skiriamos lėšų: 10.100.000.00 eur; 2)bendra KKI sektoriaus MVĮ projektams skirta suma 20.000.000 Eur, įgyvendintų projektų skaičius 45. Vieno projekto vidutinė suma  20.000.000/45=444.444,44 Eur. Rodiklio 2029 m. reikšmė apskaičiuota Atsižvelgiant į Capital regionui skirtą lėšų sumą, the result is reduced 15 % because of implementation risk : (10.200.000/444.444,44 EUR)*0,85=19 enterprises.  2024 metų tarpinė rodiklio reikšmė sudaro 10% ir tai sudarys 19*0,1=2 įmonės.</t>
  </si>
  <si>
    <t>Atsižvelgiant į KKI sektoriaus galimybes naudotis finansinėmis priemonėmis, finansinėms priemonėms planuojama lėšų suma sudaro apie 19,8 proc. visos Capital regionui skiriamos ES lėšų sumos and it is  4.000.000,00 EUR. Multiplier 1,5 is applied and total allocation used for callculation of  the target for indikators is 6.000.000,00  EUR.The 2029 target for RCO03 is based on the assumption of 444.444.44 EUR average project value per enterprise (in terms of 2014-2020 financed projects). Also the result is reduced 15 % because of implementation risk : (6.000.000,00 EUR/ 444.444,44 EUR)*0,85=12 enterprises.  As regards milestones for 2024, it is assumed that progress of the action would amount to 10% of the final targets set based on the allocation for 2021-2027: 10% * 12= 1 enterprises.</t>
  </si>
  <si>
    <t>Atsižvelgiant į KKI sektoriaus galimybes naudotis finansinėmis priemonėmis, finansinėms priemonėms planuojama lėšų suma sudaro apie 9.56%. visos Mid - West regionui skiriamos ES lėšų sumos and it is  2.352.941,18 EUR. Multiplier 1,5 is applied and total allocation used for callculation of  the target for indikators is 3.529.411,77 EUR.The 2029 target for RCO03 is based on the assumption of 444.444.44 EUR average project value per enterprise (in terms of 2014-2020 financed projects). Also the result is reduced 15 % because of implementation risk : (3.529.411,77 EUR/ 444.444,44 EUR)*0,85=7 enterprises.  As regards milestones for 2024, it is assumed that progress of the action would amount to 10% of the final targets set based on the allocation for 2021-2027: 10% * 7= 1 enterprises.</t>
  </si>
  <si>
    <t>The 2029 target for RCR02 (private investment) is calculated according to the Mid-West Region funding intensity level (EU-85%; national-15%).
22.235.294,11 EUR of total amount is allocated to grants. Private investments of enterprises supported by grants is: 22.235.294,11  EUR (total amount) * 0,15 (private funding)= 3.335.294,12 EUR.
 2.352.941,18 EUR of total amount is allocated to financial instruments. Multiplier 1,5 is applied and total allocation used for callculation of  the target for RCR02 is 3.529.411,77 EUR. Private investments of enterprises supported by  financial enterprises is: 3.529.411,77 EUR (total amount with multiplier) * 0,15 (private funding)= 529.411,77 EUR.</t>
  </si>
  <si>
    <t>The 2029 target for RCR02 (private investment) is calculated according to the amount allocated and 2014-2020 ecperience.
16.200.000,00 EUR of total amount is allocated to grants. Private investments of enterprises supported by grants is: 16.200.000,00  EUR (total amount) * 0,2 (private funding)= 3.240.000,00 EUR.
4.000.000,00 EUR of total amount is allocated to financial instruments. Multiplier 1,5 is applied and total allocation used for callculation of  the target for RCR02 is 6.000.000,00 EUR. Private investments of enterprises supported by  financial enterprises is: 6.000.000,00 EUR (total amount with multiplier) * 0,20 (private funding)= 1.200.000.00 EUR.</t>
  </si>
  <si>
    <t>counting removed at the level of the specific objective</t>
  </si>
  <si>
    <t>Rodiklio 2019 m. (iki pandemijos) pradinė reikšmė nurodoma įvertinus galimų objektų, į kuriuos bus investuojama 2019 m. metinį lankytojų skaičių. Bus investuojama į esamus ir naujus objektus, todėl pradinė lankytojų skaičiaus reikšmė: 130.244 metiniai lankytojai. Rodiklio 2029 m. siektina reikšmė apskaičiuota remiantis 2014-2020 m. patirtimi, įvertinus vidutinę 1 papildomo lankytojo kainą (1 papildomas lankytojas – 135,65 eur): 2014-2020 investicijų suma/papildomų lankytojų skaičius + 30% dėl kainų padidėjimo: 67.826.416 eur/650.000 lankytojai+30 % = 135,65 eur. Planuojama investicijų suma/ 1 lankytojo kaina = 50.588.235 / 135.65= 372.932 lankytojai. Galutinė siektina reikšmė: pradinis lankytojų sk.+ papildomų lankytojų sk.: 130.244+372.932=503.176 lankytojai.</t>
  </si>
  <si>
    <t>Rodiklis apskaičiuotas remiantis 2014-2020 m. laikotarpiu įgyvendintų skėtinių veiklų, nukreiptų į įvairių rūšių nefinansinių MVĮ vystymo paslaugų, konsultacijų ir kt. patirtimi. 
2021-2027 laikotarpiu planuojamos 2 rūšių veiklų grupės. 
Pirmoji. Remiantis 2014-2020 m. laikotarpio patirtimi ir įvertinus skirtingo išsivystymo lygio ir atskirų subsektorių KKI MVĮ poreikius, 1 skėtinio projekto (rotacijos) planuojama vertė yra 1,45 mln. Eur, kurio metu nefinansines įvairias paslaugas gauna 30 MVĮ. Vidutinė 1 MVĮ skirta lėšų suma: 1.450.000 eur / 30 įmonių = 48.333 eur. Indicator 2029 the value is calculated taking into account the amount of funds allocated to the Mid-West region and the result is reduced by 15% because of implementation risk:  (2.352.941,18 eur/48.333) * 0.85=41 enterprises.
Antroji. Šioje veiklų grupėje planuojamos kompleksinės nefinansinės verslo paramos ir vystymo paslaugos, skirtos KKI MVĮ, todėl vidutinė lėšų suma skiriama 1 MVĮ didinama 30 procentais ir siekia 62.833 eur. (48.333 eur + 30 %=62.833 eur). Indicator 2029 the value is calculated taking into account the amount of funds allocated to the Mid-West region and the result is reduced by 15% because of implementation risk: (1.176.470,59/62.833) * 0.85 =16 enterprises. 
Iš viso planuojamas nefinansines gavusių MVĮ skaičius – 41+16=57 įmonės. As regards milestones for 2024, it is assumed that progress of the action would amount to 10% of the final targets set based on the allocation for 2021-2027: 10% * 57= 6 enterprises.</t>
  </si>
  <si>
    <t>Rodiklis apskaičiuotas remiantis 2014-2020 m. laikotarpiu įgyvendintų skėtinių veiklų, nukreiptų į įvairių rūšių nefinansinių MVĮ vystymo paslaugų, konsultacijų ir kt. patirtimi. 
2021-2027 laikotarpiu planuojamos 2 rūšių veiklų grupės. 
Pirmoji. Remiantis 2014-2020 m. laikotarpio patirtimi ir įvertinus skirtingo išsivystymo lygio ir atskirų subsektorių KKI MVĮ poreikius, 1 skėtinio projekto (rotacijos) planuojama vertė yra 1,45 mln. Eur, kurio metu nefinansines įvairias paslaugas gauna 30 MVĮ. Vidutinė 1 MVĮ skirta lėšų suma: 1.450.000 eur / 30 įmonių = 48.333 eur. Indicator 2029 the value is calculated taking into account the amount of funds allocated to the Capital region and the result is reduced by 15% because of implementation risk:  (4.000.000,00 eur/48.333) * 0.85=70 enterprises.
Antroji. Šioje veiklų grupėje planuojamos kompleksinės nefinansinės verslo paramos ir vystymo paslaugos, skirtos KKI MVĮ, todėl vidutinė lėšų suma skiriama 1 MVĮ didinama 30 procentais ir siekia 62.833 eur. (48.333 eur + 30 %=62.833 eur). Indicator 2029 the value is calculated taking into account the amount of funds allocated to the Capital region and the result is reduced by 15% because of implementation risk: (2.000.000,00/62.833) * 0.85 =27 enterprises. 
Iš viso planuojamas nefinansines gavusių MVĮ skaičius – 70+27=97 įmonės. As regards milestones for 2024, it is assumed that progress of the action would amount to 10% of the final targets set based on the allocation for 2021-2027: 10% * 97= 10 enterprises.</t>
  </si>
  <si>
    <t>According to the experience of 2014-2020, it is assumed that about 65 % of the supported enterprises will be unique.</t>
  </si>
  <si>
    <t>According to the experience of 2014-2020, it is assumed that about 75 % of the supported enterprises will be unique.</t>
  </si>
  <si>
    <t>4.6.1. Promote the contribution of CCI sector to a sustainable and socially responsible economy (Skatinti Kultūros ir kūrybinių industrijų (KKI) indėlį į tvarią ir socialiai atsakingą ekonomiką)</t>
  </si>
  <si>
    <t>4.6.3. Flexible adaptation of cultural infrastructure and heritage objects to the needs of various social groups (Privačių kultūros infrastruktūros ir paveldo objektų pritaikymas įvairių socialinių grupių poreikiams)</t>
  </si>
  <si>
    <t>Methodology for calculating the values for the indicator</t>
  </si>
  <si>
    <t>Specific objective – 4.6. Enhancing the role of culture and sustainable tourism in economic development, social inclusion and social innovation</t>
  </si>
  <si>
    <t>Ministry of Cultural</t>
  </si>
  <si>
    <t>The 2029 target for RCR02 (private investment) is calculated according to the amount allocated to grants and financial instruments:
10.200.000,00 EUR  of total amount is allocated to grants + 4.000.000,00 EUR of total amount allocated to financial instruments.
Private investments of enterprises supported by grants: 10.200.000,00  EUR (total amount) * 0,2 (private funding)= 2.040.000,00 EUR.
4.000.000,00 EUR of total amount is allocated to financial instruments. Multiplier 1,5 is applied and total allocation used for callculation of  the target for RCR02 is 6.000.000,00 EUR. Private investments of enterprises supported by  financial enterprises is: 6.000.000,00 EUR (total amount with multiplier) * 0,20 (private funding)= 1.200.000.00 EUR.</t>
  </si>
  <si>
    <r>
      <rPr>
        <b/>
        <sz val="11"/>
        <rFont val="Calibri"/>
        <family val="2"/>
        <charset val="186"/>
        <scheme val="minor"/>
      </rPr>
      <t xml:space="preserve">166 </t>
    </r>
    <r>
      <rPr>
        <sz val="11"/>
        <rFont val="Calibri"/>
        <family val="2"/>
        <charset val="186"/>
        <scheme val="minor"/>
      </rPr>
      <t>Protection, development and promotion of cultural heritage and cultural services (Kultūros paveldo ir kultūros paslaugų apsauga, plėtojimas ir skatinimas)</t>
    </r>
  </si>
  <si>
    <r>
      <rPr>
        <b/>
        <sz val="11"/>
        <rFont val="Calibri"/>
        <family val="2"/>
        <charset val="186"/>
        <scheme val="minor"/>
      </rPr>
      <t>166</t>
    </r>
    <r>
      <rPr>
        <sz val="11"/>
        <rFont val="Calibri"/>
        <family val="2"/>
        <charset val="186"/>
        <scheme val="minor"/>
      </rPr>
      <t xml:space="preserve"> - Protection, development and promotion of cultural heritage and cultural services (Kultūros paveldo ir kultūros paslaugų apsauga, plėtojimas ir skatinimas)</t>
    </r>
  </si>
  <si>
    <r>
      <rPr>
        <b/>
        <sz val="11"/>
        <rFont val="Calibri"/>
        <family val="2"/>
        <charset val="186"/>
        <scheme val="minor"/>
      </rPr>
      <t>021</t>
    </r>
    <r>
      <rPr>
        <strike/>
        <sz val="11"/>
        <rFont val="Calibri"/>
        <family val="2"/>
        <charset val="186"/>
        <scheme val="minor"/>
      </rPr>
      <t xml:space="preserve"> </t>
    </r>
    <r>
      <rPr>
        <sz val="11"/>
        <rFont val="Calibri"/>
        <family val="2"/>
        <charset val="186"/>
        <scheme val="minor"/>
      </rPr>
      <t>- SME business development and internationalisation (MVĮ verslo plėtra ir tarptautinimas, įskaitant gamybines investicijas)</t>
    </r>
  </si>
  <si>
    <r>
      <rPr>
        <b/>
        <sz val="11"/>
        <rFont val="Calibri"/>
        <family val="2"/>
        <charset val="186"/>
        <scheme val="minor"/>
      </rPr>
      <t>021</t>
    </r>
    <r>
      <rPr>
        <sz val="11"/>
        <rFont val="Calibri"/>
        <family val="2"/>
        <charset val="186"/>
        <scheme val="minor"/>
      </rPr>
      <t xml:space="preserve"> - SME business development and internationalisation (MVĮ verslo plėtra ir tarptautinimas, įskaitant gamybines investicijas)</t>
    </r>
  </si>
  <si>
    <t>Policy objective - 4. A more social and inclusive Europe implementing the European Pillar of Social Rights</t>
  </si>
  <si>
    <t>The 2029 target for RCR02 (private investment) is calculated according to the Mid-West Region funding intensity level (EU-85%; national-15%). The amount allocated to grants and financial instruments:
18.705.882,35 EUR of total amount is allocated to grants. Private investments of enterprises supported by grants: 
18.705.882,35  EUR (total amount) * 0,15 (private funding)= 2.805.882,35 EUR.
2.352.941,18 EUR of total amount is allocated to financial instruments. Multiplier 1,5 is applied and total allocation used for callculation of  the target for RCR02 is 3.529.411,77 EUR. Private investments of enterprises supported by  financial enterprises is: 3.529.411,77 EUR (total amount with multiplier) * 0,15 (private funding)= 529.411,77 EUR.</t>
  </si>
  <si>
    <t>4.6.2. Modernization of the most important cultural infrastructure and heritage objects for the state in order to increase the availability and inclusion of services (Svarbiausių Valstybei kultūros objektų modernizavimas siekiant paslaugų prieinamumo ir įtraukumo didinimo)</t>
  </si>
  <si>
    <t xml:space="preserve">Indicator for 2019 (before the pandemic) initial value and target values ​​for 2029 were calculated on the basis of data on investments in private cultural objects for the period 2014-2020. Initial 2019 the value of the indicator is calculated by estimating the ratio of the investment amount of 2014-2020 to the total number of initial visitors: the investment amount of 2014-2020 / total initial number of visitors + 30% due to price increases: 14,920,939 / 301,920 + 30% = 64.25. Therefore, the initial value of the number of visitors: planned investment amount / initial visitor ratio = 30,000,000 / 64.25 = 466,926 initial visitors. Indicator 2029 the target value is calculated by estimating the average price of 1 additional visitor (1 additional visitor - 90.2 eur): 2014-2020 amount of investment / number of additional visitors + 30% due to price increase: 14,920,939 eur / 215,055 visitors + 30% = 90, 2 eur. Planned investment amount / cost per visitor = 30,000,000 / 90.2 = 332,594 visitors. Final target value: initial number of visitors + number of additional visitors: 466,926 + 332,594 = 799,520 visitors. </t>
  </si>
  <si>
    <t>Indicator for 2019 (before the pandemic) and target for 2029. values ​​are calculated on the basis of data on investments in private cultural objects for the period 2014-2020. Initial 2019 the value of the indicator is calculated by estimating the ratio of the investment amount of 2014-2020 to the total number of initial visitors: the investment amount of 2014-2020 / total initial number of visitors + 30% due to price increases: 14,920,939 / 301,920 + 30% = 64.25. Therefore, the initial value of the number of visitors: planned investment amount / initial visitor ratio = 1,000,000 / 64.25 = 15,564 initial visitors. Indicator 2029 the target value is calculated by estimating the average price of 1 additional visitor (1 additional visitor - 90.2 eur): 2014-2020 amount of investment / number of additional visitors + 30% due to price increase: 14,920,939 eur / 215,055 visitors + 30% = 90, 2 eur. Planned investment amount / price per 1 visitor = 1,000,000 / 90.2 = 11,086 visitors. Final target value: initial number of visitors + number of additional visitors: 15,564 + 11,086 = 26,650 visitors.</t>
  </si>
  <si>
    <t>Indicator 2029 the target value is calculated on the basis of the 2014-2020 experience in investing in private cultural infrastructure and heritage sites. The average value of 1 investment project in the Mid-Western region of Lithuania is EUR 857,142.00. The average unit cost was calculated based on the experience of the 2014-2020 period investing in private culture infrastructure and heritage sites (“Modernization of public and private cultural Infrastructure” measure for the 2014-2020 funding period under Priority 7 and “Adaptation of public and private cultural heritage” measure for the 2014-2020 funding period under Priority 5): was determined the average value of the project financed in the Mid-Western region in the 2014-2020 period and additionally estimated a 30% increase in construction prices compared to the period 2014-2020. The 30% price increase was determined by comparing the estimated construction prices used in the project applications for the period 2014-2020 with the prices in 2021. Calculated (estimated) prices and their change are calculated on the basis of the official construction price list SISTELA. Therefore, the required investment amount was determined for 35 objects: 857,142 euros * 35 objects = 30 million. eur. According to the 2014-2020. experience and average project implementation duration (about 5 years) in 2024. there will be no completed projects (objects).</t>
  </si>
  <si>
    <t>Indicator 2029 the target value is calculated on the basis of the 2014-2020 experience in investing in private cultural infrastructure and heritage sites. The average amount of public investment allocated to 1 investment project in the Capital region is about EUR 1,000,000.00. The average unit cost was calculated based on the experience of the 2014-2020 period: was determined the average value of the project financed in the Capital region in the 2014-2020 period (“Modernization of public and private cultural Infrastructure” measure for the 2014-2020 funding period under Priority 7 and “Adaptation of public and private cultural heritage” measure for the 2014-2020 funding period under Priority 5) and additionally estimated a 30% increase in construction prices compared to the period 2014-2020. The 30% price increase was determined by comparing the estimated construction prices used in the project applications for the period 2014-2020 with the prices in 2021. Calculated (estimated) prices and their change are calculated on the basis of the official construction price list SISTELA. According to the 2014-2020. experience and average project implementation duration (about 5 years) in 2024 there will be no completed projects (objects).</t>
  </si>
  <si>
    <t>The indicator is calculated on the basis of activities implemented during the 2014-2020 period, targeting various types of non-financial SME development services, consulting, etc. experience.
2 types of activity groups are planned for the period 2021-2027.
The first. Based on the experience of the 2014-2020 financed similar umbrella type project (“Incentives for designers: Design wings” measure for the 2014-2020 funding period under Priority 13), the planned value of 1 umbrella project (rotation) is 1.45 million. Eur, during which 30 SMEs received various non-financial services. Therefore average funding for 1 SME: € 1,450,000 / 30 companies = € 48,333. Indicator 2029 the value is calculated taking into account the amount of funds allocated to the Mid-West region and the result is reduced by 15% because of implementation risk  (according to the experience of 2014-2020 value of discontinued projects is 15% of the value of completed projects): (2.352.941,18 eur / 48.333) * 0.85 = 41 enterprises.
Second. Complex non-financial business support and development services for CCI SMEs are planned in this group of activities, therefore the average amount allocated to 1 SME is increased by 30 percent   (taking into account the planned package of integrated business development services (Non-financial development services for the CCI sector, targeted advice on business development, operational solutions including circular and digital transformation, supply chains, internationalization, etc.) and their preliminary market price (the preliminary market price of these services was determined in consultation with the representatives of the CCI sector and the companies providing such services)) and amounts to EUR 62,833. (EUR 48,333 + 30% = EUR 62,833). Indicator 2029 the value is calculated taking into account the amount of funds allocated to the Mid-West region and the result is reduced by 15% because of implementation risk  (according to the experience of 2014-2020 value of discontinued projects is 15% of the value of completed projects): (1,176.470,59 / 62.833) * 0.85 = 16 enterprises.
The total planned number of non-financial SMEs has been 41 + 16 = 57 companies. As regards milestones for 2024, it is assumed that progress of the action, according to the experience of 2014-2020 (duration of preparation of measures implementation measures and duration of projects), would amount to 10% of the final targets set based on the allocation for 2021-2027: 10% * 57 = 6 enterprises.</t>
  </si>
  <si>
    <t>Taking into account the needs of the CCI sector for financial instruments, the planned amount of funds for financial instruments is about 9.56%  the total amount of EU funds allocated to Mid - West region and it is  2.352.941,18 EUR. Multiplier 1,5 is applied and total allocation used for calculation of  the target for indicators is 3.529.411,77 EUR.The 2029 target for RCO03 is based on the assumption of 444.444.44 EUR average project value per enterprise (in terms of 2014-2020 financed similar projects (“Incentives to improve the infrastructure of enterprises in cultural and creative industries” and “Incentives for the cultural and creative industries sector to develop competitive cultural products” measures for the 2014-2020 funding period under Priority 13)). Also the result is reduced 15 % because of implementation risk (according to the experience of 2014-2020 value of discontinued projects is 15% of the value of completed projects) : (3.529.411,77 EUR/ 444.444,44 EUR)*0,85=7 enterprises. As regards milestones for 2024, it is assumed that progress of the action, according to the experience of 2014-2020 (duration of preparation of measures implementation measures and duration of projects), would amount to 10% of the final targets set based on the allocation for 2021-2027: 10% * 7= 1 enterprise.</t>
  </si>
  <si>
    <t>The amount of funds allocated to the activity group and the indicator are calculated on the basis of 2014-2020: 1) 76% of the total funds allocated to the Mid-West region are allocated to this group of activities and exact amount is EUR 18.705.882,4; 2) The average unit cost was calculated on the basis of the experience of similar projects financed in the period 2014-2020 (“Incentives to improve the infrastructure of enterprises in cultural and creative industries” and “Incentives for the cultural and creative industries sector to develop competitive cultural products” measures for the 2014-2020 funding period under Priority 13). The average amount of one project is EUR 444,444.44. Indicator 2029 the value is calculated taking into account the amount of funds allocated to the Mid-West region and the result is reduced by 15% because of implementation risk (according to the experience of 2014-2020 value of discontinued projects is 15% of the value of completed projects): (EUR 18.705.882,4 / 444,444.44) * 0.85 = 36 enterprises. As regards milestones for 2024, it is assumed that progress of the action, according to the experience of 2014-2020 (duration of preparation of measures implementation measures and duration of projects), would amount to 10% of the final targets set based on the allocation for 2021-2027: 36 * 0.1 = 4 enterprises.</t>
  </si>
  <si>
    <t>The 2029 target for RCO01 equals the sum of RCO02, RCO03, RCO04 target values. As regards milestones for 2024, it is assumed that progress of the action, according to the experience of 2014-2020 (duration of preparation of measures implementation measures and duration of projects), would amount to 10% of the final targets set based on the allocation for 2021-2027.</t>
  </si>
  <si>
    <t>The indicator is calculated on the basis of activities implemented during the 2014-2020 period, targeting various types of non-financial SME development services, consulting, etc. experience.
2 types of activity groups are planned for the period 2021-2027.
The first. Based on the experience of the 2014-2020 financed similar umbrella type project (“Incentives for designers: Design wings” measure for the 2014-2020 funding period under Priority 13), the planned value of 1 umbrella project (rotation) is 1.45 million Eur, during which 30 SMEs received various non-financial services. Therefore average funding for 1 SME: € 1.450.000 / 30 companies = € 48.333. Indicator 2029 the value is calculated taking into account the amount of funds allocated to the Capital region and the result is reduced by 15% because of implementation risk (according to the experience of 2014-2020 value of discontinued projects is 15% of the value of completed projects): (4.000.000,00 eur / 48.333) * 0.85 = 70 enterprises.
Second. Complex non-financial business support and development services for CCI SMEs are planned in this group of activities, therefore the average amount allocated to 1 SME is increased by 30 percent (taking into account the planned package of integrated business development services (Non-financial development services for the CCI sector, targeted advice on business development, operational solutions including circular and digital transformation, supply chains, internationalization, etc.) and their preliminary market price (the preliminary market price of these services was determined in consultation with the representatives of the CCI sector and the companies providing such services)) and amounts to EUR 62,833. (EUR 48.333 + 30% = EUR 62.833). Indicator 2029 the value is calculated taking into account the amount of funds allocated to the Capital region and the result is reduced by 15% because of implementation risk (according to the experience of 2014-2020 value of discontinued projects is 15% of the value of completed projects): (2.000.000,00 / 62.833) * 0.85 = 27 enterprises.
The total planned number of SMEs that have received non-financial support is 70 + 27 = 97 companies. As regards milestones for 2024, it is assumed that progress of the action, according to the experience of 2014-2020 (duration of preparation of measures implementation measures and duration of projects), would amount to 10% of the final targets set based on the allocation for 2021-2027: 10% * 97 = 10 enterprises.</t>
  </si>
  <si>
    <t>Taking into account the needs of the CCI sector for financial instruments, the planned amount of funds for financial instruments is about 19.8% the total amount of EU funds allocated to the Capital region and it is EUR 4.000.000.00. Multiplier 1.5 is applied and total allocation used for callculation of the target for indicators is 6.000.000,00 EUR.The 2029 target for RCO03 is based on the assumption of 444.444,44 EUR average project value per enterprise (in terms of 2014 -2020 financed similar projects - “Incentives to improve the infrastructure of enterprises in cultural and creative industries” and “Incentives for the cultural and creative industries sector to develop competitive cultural products” measures for the 2014-2020 funding period under Priority 13. Also the result is reduced by 15% because of implementation risk (according to the experience of 2014-2020 value of discontinued projects is 15% of the value of completed projects): (EUR 6.000,000.00 / EUR 444.444,44) * 0.85 = 12 enterprises. As regards milestones for 2024, it is assumed that progress of the action, according to the experience of 2014-2020 (duration of preparation of measures implementation measures and duration of projects), would amount to 10% of the final targets set based on the allocation for 2021-2027: 10% * 12 = 1 enterprise.</t>
  </si>
  <si>
    <t>The amount of funds allocated to the activity group and the indicator are calculated on the basis of 2014-2020: 1) about 50% of the total funds allocated to the Capital region are allocated to this group of activities and this amount is EUR 10.200.000.00; 2) The average unit cost was calculated on the basis of the experience of similar projects financed in the period 2014-2020 (“Incentives to improve the infrastructure of enterprises in cultural and creative industries” and “Incentives for the cultural and creative industries sector to develop competitive cultural products” measures for the 2014-2020 funding period under Priority 13). The average amount of one project is  EUR 444.444,44 and the  45 projects were financed in the period 2014-2020 (20.000.000 / 45 enterprises = 444.444,44 euros). 
Indicator 2029 the value is calculated taking into account the amount of funds allocated to the Capital region and the result is reduced by 15% because of implementation risk (according to the experience of 2014-2020 value of discontinued projects is 15% of the value of completed projects): (EUR 10.200.000 / 444.444,44) * 0.85 = 19 enterprises. The intermediate value of the indicator in 2024 is 10% and it will be 19 * 0.1 = 2 companies. As regards milestones for 2024, it is assumed that progress of the action, according to the experience of 2014-2020 (duration of preparation of measures implementation measures and duration of projects), would amount to 10% of the final targets set based on the allocation for 2021-2027.</t>
  </si>
  <si>
    <t xml:space="preserve">Investments will be made in new facilitiy, so the initial value of the number of visitors: 0 visitors. The target value for indicator 2029 is calculated on the basis of the 2014-2020. experience, estimating the average price of 1 additional visitor (1 additional visitor - 135.65 eur): 2014-2020 investment amount / number of additional visitors + 30% due to price increase: 67,826,416 eur / 650,000 visitors + 30% = 135.65 eur . Planned investment amount / price per 1 visitor = 10,000,000 / 135.65 = 73,718 visitors. Final target value: initial number of visitors + additional number of visitors: 73,718 visitors. </t>
  </si>
  <si>
    <t xml:space="preserve">Indicator for 2019 (before the pandemic) the initial value is indicated by estimating the potential number of visitors to which the 2019 annual number of visitors will be invested. Investments will be made in existing and/or new facilities, so the initial value of the number of visitors: 130,244 visitors. The target value for indicator 2029 is calculated on the basis of the 2014-2020. experience, estimating the average price of 1 additional visitor (1 additional visitor - 135.65 eur): 2014-2020 investment amount / number of additional visitors + 30% due to price increase: 67,826,416 eur / 650,000 visitors + 30% = 135.65 eur . Planned investment amount / price per 1 visitor = 40,588,235 / 135.65 = 299,214 visitors. Final target value: initial number of visitors + additional number of visitors: 130,244 + 299,214 = 429,458 visitors. </t>
  </si>
  <si>
    <t>Indicator 2029 the target value is calculated on the basis of the 2014-2020 experience and investment needs of preliminary objects, the average value of 1 project was determined - about 3,689,840 million. Eur. The average unit cost was calculated based on the experience of the 2014-2020 period: was determined the average value of the state cultural infrastructure modernization project financed in the 2014-2020 period ( “Modernization of Cultural Infrastructure” measure for the 2014-2020 funding period under Priority 7) and additionally estimated a 30% increase in construction prices compared to the period 2014-2020. The 30% price increase was determined by comparing the estimated construction prices used in the project applications for the period 2014-2020 with the prices in 2021. Calculated (estimated) prices and their change are calculated on the basis of the official construction price list SISTELA. Also, taking into account the investments made in 2014-2020 and prioritizing investments in the most important objects for the state in the Central and Western Lithuania region, which generate the highest socio-economic value, a preliminary number of objects was determined - at least 11 objects / projects. The required amount of funds is calculated: 1 project average amount * 11 objects = 3,689,840 million. Eur * 11 objects = 40,588,232 million Eur (estimating the exact share of co-financing funds). According to the 2014-2020 experience and average project implementation duration (about 4 years) in 2024 there will be no fully completed projects (objects).</t>
  </si>
  <si>
    <t xml:space="preserve">Investments are planned for a newly built cultural facility. The value of the indicator and the preliminary investment amount of EU funds are planned on the basis of a feasibility study, which examined various implementation, technical solutions and capacity alternatives and the amount of investment required for their implementation when building a new facility. Technical documents will be prepared for the implementation of the project, which will detail the technical and functional solutions, the scope and the amount of EU funds required for their implementation. According to the 2014-2020 experience and average project implementation duration (about 4 years) in 2024 there will be no fully completed projects (objects).
</t>
  </si>
  <si>
    <r>
      <rPr>
        <b/>
        <sz val="11"/>
        <rFont val="Calibri"/>
        <family val="2"/>
        <charset val="186"/>
        <scheme val="minor"/>
      </rPr>
      <t xml:space="preserve">044 </t>
    </r>
    <r>
      <rPr>
        <sz val="11"/>
        <rFont val="Calibri"/>
        <family val="2"/>
        <charset val="186"/>
        <scheme val="minor"/>
      </rPr>
      <t>- Energy efficiency renovation of public infrastructure, demonstration projects and supporting measures</t>
    </r>
  </si>
  <si>
    <t>Rodiklio 2019 m. (iki pandemijos) pradinė reikšmė ir siekiamos 2029 m. reikšmės apskaičiuotos remiantis 2014-2020 m. laikotarpio investicijų į privačius kultūros objektus duomenimis. Pradinė 2019 m. rodiklio reikšmė apskaičiuota įvertinus 2014-2020 investicijų sumos santykį su bendru pradinių lankytojų skaičiumi: 2014-2020 investicijų suma/bendras pradinis lankytojų sk.+30% dėl kainų apdidėjimo: 14.920.939/301.920 + 30 % = 64,25. Todėl pradinė lankytojų skaičiaus reikšmė: planuojama investicijų suma/ pradinio lankytojų santykis = 1.000.000 / 64,25= 15.564 pradiniai lankytojai. Rodiklio 2029 m. siektina reikšmė apskaičiuota įvertinus vidutinę 1 papildomo lankytojo kainą (1 papildomas lankytojas – 90,2 eur): 2014-2020 investicijų į suma/papildomų lankytojų skaičius + 30% dėl kainų padidėjimo: 14.920.939 eur/215.055 lankytojai+30 % = 90,2 eur. Planuojama investicijų suma/ 1 lankytojo kaina = 1.000.000 / 90,2= 11.086 lankytojai. Galutinė siektina reikšmė: pradinis lankytojų sk.+ papildomų lankytojų sk.: 15.564+11.086=26.650 lankytojai.</t>
  </si>
  <si>
    <t>Rodiklio 2019 m. (iki pandemijos) pradinė reikšmė ir siekiamos 2029 m. reikšmės apskaičiuotos remiantis 2014-2020 m. laikotarpio investicijų į privačius kultūros objektus duomenimis. Pradinė 2019 m. rodiklio reikšmė apskaičiuota įvertinus 2014-2020 investicijų sumos santykį su bendru pradinių lankytojų skaičiumi: 2014-2020 investicijų suma/bendras pradinis lankytojų sk.+30% dėl kainų apdidėjimo: 14.920.939/301.920 + 30 % = 64,25. Todėl pradinė lankytojų skaičiaus reikšmė: planuojama investicijų suma/ pradinio lankytojų santykis = 30.000.000 / 64,25= 466.926 pradiniai lankytojai. Rodiklio 2029 m. siektina reikšmė apskaičiuota įvertinus vidutinę 1 papildomo lankytojo kainą (1 papildomas lankytojas – 90,2 eur): 2014-2020 investicijų į suma/papildomų lankytojų skaičius + 30% dėl kainų padidėjimo: 14.920.939 eur/215.055 lankytojai+30 % = 90,2 eur. Planuojama investicijų suma/ 1 lankytojo kaina = 30.000.000 / 90,2= 332.594 lankytojai. Galutinė siektina reikšmė: pradinis lankytojų sk.+ papildomų lankytojų sk.: 466.926+332.594=799.520 lankytojai.</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</si>
</sst>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1"/>
      <color theme="1"/>
      <name val="Calibri"/>
      <family val="2"/>
      <charset val="186"/>
      <scheme val="minor"/>
    </font>
    <font>
      <b/>
      <sz val="11"/>
      <name val="Calibri"/>
      <family val="2"/>
      <charset val="186"/>
      <scheme val="minor"/>
    </font>
    <font>
      <sz val="11"/>
      <name val="Calibri"/>
      <family val="2"/>
      <charset val="186"/>
      <scheme val="minor"/>
    </font>
    <font>
      <sz val="9"/>
      <color indexed="81"/>
      <name val="Tahoma"/>
      <family val="2"/>
      <charset val="186"/>
    </font>
    <font>
      <b/>
      <sz val="9"/>
      <color indexed="81"/>
      <name val="Tahoma"/>
      <family val="2"/>
      <charset val="186"/>
    </font>
    <font>
      <strike/>
      <sz val="11"/>
      <name val="Calibri"/>
      <family val="2"/>
      <charset val="186"/>
      <scheme val="minor"/>
    </font>
  </fonts>
  <fills count="3">
    <fill>
      <patternFill patternType="none"/>
    </fill>
    <fill>
      <patternFill patternType="gray125"/>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1">
    <xf numFmtId="0" fontId="0" fillId="0" borderId="0"/>
  </cellStyleXfs>
  <cellXfs count="95">
    <xf numFmtId="0" fontId="0" fillId="0" borderId="0" xfId="0"/>
    <xf numFmtId="0" fontId="0" fillId="0" borderId="1" xfId="0" applyBorder="1"/>
    <xf numFmtId="0" fontId="0" fillId="0" borderId="0" xfId="0" applyBorder="1"/>
    <xf numFmtId="0" fontId="0" fillId="0" borderId="0" xfId="0" applyFont="1"/>
    <xf numFmtId="0" fontId="0" fillId="0" borderId="0" xfId="0" applyFont="1" applyBorder="1"/>
    <xf numFmtId="0" fontId="2" fillId="2" borderId="7" xfId="0" applyFont="1" applyFill="1" applyBorder="1" applyAlignment="1">
      <alignment horizontal="center" vertical="center" wrapText="1"/>
    </xf>
    <xf numFmtId="4" fontId="0" fillId="0" borderId="0" xfId="0" applyNumberFormat="1" applyBorder="1" applyAlignment="1">
      <alignment horizontal="center" vertical="center"/>
    </xf>
    <xf numFmtId="0" fontId="0" fillId="0" borderId="0" xfId="0" applyBorder="1" applyAlignment="1">
      <alignment vertical="center"/>
    </xf>
    <xf numFmtId="0" fontId="0" fillId="0" borderId="0" xfId="0" applyBorder="1" applyAlignment="1">
      <alignment vertical="center" wrapText="1"/>
    </xf>
    <xf numFmtId="0" fontId="1" fillId="0" borderId="0" xfId="0" applyFont="1" applyBorder="1" applyAlignment="1">
      <alignment vertical="center" wrapText="1"/>
    </xf>
    <xf numFmtId="0" fontId="2" fillId="2" borderId="1" xfId="0" applyFont="1" applyFill="1" applyBorder="1" applyAlignment="1">
      <alignment horizontal="left" vertical="top"/>
    </xf>
    <xf numFmtId="0" fontId="2" fillId="2" borderId="2" xfId="0" applyFont="1" applyFill="1" applyBorder="1" applyAlignment="1">
      <alignment vertical="top" wrapText="1"/>
    </xf>
    <xf numFmtId="0" fontId="2" fillId="2" borderId="2" xfId="0" applyFont="1" applyFill="1" applyBorder="1" applyAlignment="1">
      <alignment horizontal="left" vertical="top"/>
    </xf>
    <xf numFmtId="3" fontId="3" fillId="2" borderId="9" xfId="0" applyNumberFormat="1" applyFont="1" applyFill="1" applyBorder="1" applyAlignment="1">
      <alignment horizontal="center" vertical="center" wrapText="1"/>
    </xf>
    <xf numFmtId="4" fontId="3" fillId="2" borderId="9" xfId="0" applyNumberFormat="1"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4" fontId="3"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0" xfId="0" applyFont="1" applyFill="1" applyAlignment="1">
      <alignment horizontal="left" vertical="top" wrapText="1"/>
    </xf>
    <xf numFmtId="0" fontId="3" fillId="2" borderId="0" xfId="0" applyFont="1" applyFill="1"/>
    <xf numFmtId="0" fontId="3" fillId="2" borderId="0" xfId="0" applyFont="1" applyFill="1" applyAlignment="1">
      <alignment wrapText="1"/>
    </xf>
    <xf numFmtId="0" fontId="2" fillId="2" borderId="0" xfId="0" applyFont="1" applyFill="1"/>
    <xf numFmtId="0" fontId="3" fillId="2" borderId="0" xfId="0" applyFont="1" applyFill="1" applyBorder="1"/>
    <xf numFmtId="0" fontId="2" fillId="2" borderId="1" xfId="0" applyFont="1" applyFill="1" applyBorder="1" applyAlignment="1">
      <alignment horizontal="left" vertical="top" wrapText="1"/>
    </xf>
    <xf numFmtId="0" fontId="2" fillId="2" borderId="1" xfId="0" applyFont="1" applyFill="1" applyBorder="1" applyAlignment="1">
      <alignment horizontal="center" vertical="top" wrapText="1"/>
    </xf>
    <xf numFmtId="0" fontId="2" fillId="2" borderId="1" xfId="0" applyFont="1" applyFill="1" applyBorder="1" applyAlignment="1">
      <alignment horizontal="center" vertical="top"/>
    </xf>
    <xf numFmtId="0" fontId="2" fillId="2" borderId="2" xfId="0" applyFont="1" applyFill="1" applyBorder="1" applyAlignment="1">
      <alignment horizontal="center" vertical="top" wrapText="1"/>
    </xf>
    <xf numFmtId="0" fontId="2" fillId="2" borderId="2" xfId="0" applyFont="1" applyFill="1" applyBorder="1" applyAlignment="1">
      <alignment horizontal="center" vertical="top"/>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6"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2" xfId="0" applyFont="1" applyFill="1" applyBorder="1" applyAlignment="1">
      <alignment vertical="top"/>
    </xf>
    <xf numFmtId="0" fontId="2" fillId="2" borderId="5" xfId="0" applyFont="1" applyFill="1" applyBorder="1" applyAlignment="1">
      <alignment horizontal="center" vertical="top" wrapText="1"/>
    </xf>
    <xf numFmtId="0" fontId="2" fillId="2" borderId="5" xfId="0" applyFont="1" applyFill="1" applyBorder="1" applyAlignment="1">
      <alignment horizontal="center" vertical="top"/>
    </xf>
    <xf numFmtId="0" fontId="2" fillId="2" borderId="16" xfId="0" applyFont="1" applyFill="1" applyBorder="1" applyAlignment="1">
      <alignment horizontal="left" vertical="top"/>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9"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1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3" fontId="3" fillId="2" borderId="1" xfId="0" applyNumberFormat="1" applyFont="1" applyFill="1" applyBorder="1" applyAlignment="1">
      <alignment horizontal="center" vertical="center" wrapText="1"/>
    </xf>
    <xf numFmtId="0" fontId="3" fillId="2" borderId="1" xfId="0" applyFont="1" applyFill="1" applyBorder="1" applyAlignment="1">
      <alignment wrapText="1"/>
    </xf>
    <xf numFmtId="0" fontId="3" fillId="2" borderId="1" xfId="0" applyFont="1" applyFill="1" applyBorder="1" applyAlignment="1">
      <alignment vertical="top" wrapText="1"/>
    </xf>
    <xf numFmtId="0" fontId="3" fillId="2" borderId="17" xfId="0" applyFont="1" applyFill="1" applyBorder="1" applyAlignment="1">
      <alignment horizontal="center" vertical="center" wrapText="1"/>
    </xf>
    <xf numFmtId="3" fontId="3" fillId="2"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3" fontId="3" fillId="2" borderId="2" xfId="0" applyNumberFormat="1" applyFont="1" applyFill="1" applyBorder="1" applyAlignment="1">
      <alignment horizontal="center" vertical="center" wrapText="1"/>
    </xf>
    <xf numFmtId="0" fontId="3" fillId="2" borderId="2" xfId="0" applyFont="1" applyFill="1" applyBorder="1" applyAlignment="1">
      <alignment vertical="center" wrapText="1"/>
    </xf>
    <xf numFmtId="0" fontId="3" fillId="2" borderId="1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vertical="center" wrapText="1"/>
    </xf>
    <xf numFmtId="0" fontId="3" fillId="2" borderId="2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22" xfId="0" applyFont="1" applyFill="1" applyBorder="1" applyAlignment="1">
      <alignment horizontal="center" vertical="center" wrapText="1"/>
    </xf>
    <xf numFmtId="3" fontId="3" fillId="2" borderId="20" xfId="0" applyNumberFormat="1"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0" xfId="0" applyFont="1" applyFill="1" applyBorder="1" applyAlignment="1">
      <alignment vertical="center" wrapText="1"/>
    </xf>
    <xf numFmtId="0" fontId="3" fillId="2" borderId="13" xfId="0" applyFont="1" applyFill="1" applyBorder="1" applyAlignment="1">
      <alignment horizontal="center" vertical="center" wrapText="1"/>
    </xf>
    <xf numFmtId="3" fontId="3" fillId="2" borderId="14" xfId="0" applyNumberFormat="1" applyFont="1" applyFill="1" applyBorder="1" applyAlignment="1">
      <alignment horizontal="center" vertical="center" wrapText="1"/>
    </xf>
    <xf numFmtId="0" fontId="3" fillId="2" borderId="14" xfId="0" applyFont="1" applyFill="1" applyBorder="1" applyAlignment="1">
      <alignment horizontal="center" vertical="center" wrapText="1"/>
    </xf>
    <xf numFmtId="3" fontId="3" fillId="2" borderId="14" xfId="0" applyNumberFormat="1" applyFont="1" applyFill="1" applyBorder="1" applyAlignment="1">
      <alignment horizontal="center" vertical="center" wrapText="1"/>
    </xf>
    <xf numFmtId="3" fontId="3" fillId="2" borderId="14" xfId="0" applyNumberFormat="1" applyFont="1" applyFill="1" applyBorder="1" applyAlignment="1">
      <alignment horizontal="center" vertical="center"/>
    </xf>
    <xf numFmtId="0" fontId="3" fillId="2" borderId="14" xfId="0" applyFont="1" applyFill="1" applyBorder="1" applyAlignment="1">
      <alignment vertical="center" wrapText="1"/>
    </xf>
    <xf numFmtId="0" fontId="3" fillId="2" borderId="0" xfId="0" applyFont="1" applyFill="1" applyBorder="1" applyAlignment="1">
      <alignment horizontal="center" vertical="center" wrapText="1"/>
    </xf>
    <xf numFmtId="4" fontId="3" fillId="2" borderId="0" xfId="0" applyNumberFormat="1" applyFont="1" applyFill="1" applyBorder="1" applyAlignment="1">
      <alignment horizontal="center" vertical="center" wrapText="1"/>
    </xf>
    <xf numFmtId="3" fontId="3" fillId="2" borderId="0" xfId="0" applyNumberFormat="1" applyFont="1" applyFill="1" applyBorder="1" applyAlignment="1">
      <alignment horizontal="center" vertical="center" wrapText="1"/>
    </xf>
    <xf numFmtId="3" fontId="3" fillId="2" borderId="0" xfId="0" applyNumberFormat="1" applyFont="1" applyFill="1" applyBorder="1" applyAlignment="1">
      <alignment horizontal="center" vertical="center"/>
    </xf>
    <xf numFmtId="0" fontId="3" fillId="2" borderId="0" xfId="0" applyFont="1" applyFill="1" applyBorder="1" applyAlignment="1">
      <alignment vertical="center" wrapText="1"/>
    </xf>
    <xf numFmtId="0" fontId="3" fillId="2" borderId="0" xfId="0" applyFont="1" applyFill="1" applyAlignment="1">
      <alignment vertical="center" wrapText="1"/>
    </xf>
    <xf numFmtId="3" fontId="3" fillId="2" borderId="0" xfId="0" applyNumberFormat="1" applyFont="1" applyFill="1"/>
    <xf numFmtId="0" fontId="2" fillId="2" borderId="19" xfId="0" applyFont="1" applyFill="1" applyBorder="1" applyAlignment="1">
      <alignment vertical="center" wrapText="1"/>
    </xf>
    <xf numFmtId="0" fontId="3" fillId="2" borderId="8" xfId="0" applyFont="1" applyFill="1" applyBorder="1" applyAlignment="1">
      <alignment horizontal="center" vertical="center" wrapText="1"/>
    </xf>
    <xf numFmtId="1" fontId="3" fillId="2" borderId="9" xfId="0" applyNumberFormat="1" applyFont="1" applyFill="1" applyBorder="1" applyAlignment="1">
      <alignment horizontal="center" vertical="center" wrapText="1"/>
    </xf>
    <xf numFmtId="1" fontId="3" fillId="2" borderId="10" xfId="0" applyNumberFormat="1" applyFont="1" applyFill="1" applyBorder="1" applyAlignment="1">
      <alignment horizontal="center" vertical="center" wrapText="1"/>
    </xf>
    <xf numFmtId="0" fontId="3" fillId="2" borderId="0" xfId="0" applyFont="1" applyFill="1" applyAlignment="1">
      <alignment horizontal="left" vertical="top" wrapText="1"/>
    </xf>
    <xf numFmtId="0" fontId="3" fillId="2" borderId="11" xfId="0" applyFont="1" applyFill="1" applyBorder="1" applyAlignment="1">
      <alignment horizontal="center" vertical="center" wrapText="1"/>
    </xf>
    <xf numFmtId="1" fontId="3" fillId="2" borderId="12" xfId="0" applyNumberFormat="1"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0" fontId="3" fillId="2" borderId="0" xfId="0" applyFont="1" applyFill="1" applyBorder="1" applyAlignment="1">
      <alignment vertical="top" wrapText="1"/>
    </xf>
    <xf numFmtId="3" fontId="3" fillId="2" borderId="12"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wrapText="1"/>
    </xf>
    <xf numFmtId="3" fontId="3" fillId="2" borderId="15" xfId="0" applyNumberFormat="1" applyFont="1" applyFill="1" applyBorder="1" applyAlignment="1">
      <alignment horizontal="center" vertical="center"/>
    </xf>
  </cellXfs>
  <cellStyles count="1">
    <cellStyle name="Įprastas"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CQ42"/>
  <sheetViews>
    <sheetView tabSelected="1" zoomScale="75" zoomScaleNormal="75" workbookViewId="0">
      <selection activeCell="F6" sqref="F6:F10"/>
    </sheetView>
  </sheetViews>
  <sheetFormatPr defaultColWidth="9.140625" defaultRowHeight="15" x14ac:dyDescent="0.25"/>
  <cols>
    <col min="1" max="1" width="23.28515625" style="25" customWidth="1"/>
    <col min="2" max="2" width="24.42578125" style="25" customWidth="1"/>
    <col min="3" max="3" width="22.140625" style="25" customWidth="1"/>
    <col min="4" max="4" width="18.42578125" style="25" customWidth="1"/>
    <col min="5" max="5" width="16.42578125" style="25" customWidth="1"/>
    <col min="6" max="6" width="18.28515625" style="25" customWidth="1"/>
    <col min="7" max="7" width="17" style="25" customWidth="1"/>
    <col min="8" max="8" width="20.140625" style="25" customWidth="1"/>
    <col min="9" max="9" width="29.7109375" style="25" customWidth="1"/>
    <col min="10" max="11" width="18.7109375" style="25" customWidth="1"/>
    <col min="12" max="12" width="19.7109375" style="25" customWidth="1"/>
    <col min="13" max="13" width="9.28515625" style="25" customWidth="1"/>
    <col min="14" max="14" width="13.85546875" style="25" customWidth="1"/>
    <col min="15" max="15" width="13.5703125" style="25" customWidth="1"/>
    <col min="16" max="16" width="21.28515625" style="25" customWidth="1"/>
    <col min="17" max="17" width="18" style="25" customWidth="1"/>
    <col min="18" max="18" width="97.7109375" style="25" hidden="1" customWidth="1"/>
    <col min="19" max="19" width="104.140625" style="26" customWidth="1"/>
    <col min="20" max="20" width="30.28515625" style="4" customWidth="1"/>
    <col min="21" max="95" width="9.140625" style="4"/>
    <col min="96" max="16384" width="9.140625" style="3"/>
  </cols>
  <sheetData>
    <row r="1" spans="1:95" ht="17.25" customHeight="1" x14ac:dyDescent="0.25">
      <c r="A1" s="24" t="s">
        <v>78</v>
      </c>
      <c r="B1" s="24"/>
      <c r="C1" s="24"/>
      <c r="D1" s="24"/>
      <c r="E1" s="24"/>
      <c r="F1" s="24"/>
      <c r="G1" s="24"/>
      <c r="H1" s="24"/>
    </row>
    <row r="2" spans="1:95" x14ac:dyDescent="0.25">
      <c r="A2" s="27" t="s">
        <v>71</v>
      </c>
      <c r="B2" s="27"/>
      <c r="C2" s="27"/>
      <c r="D2" s="27"/>
      <c r="E2" s="27"/>
      <c r="F2" s="27"/>
      <c r="G2" s="27"/>
      <c r="H2" s="27"/>
      <c r="R2" s="26"/>
      <c r="S2" s="28"/>
    </row>
    <row r="3" spans="1:95" x14ac:dyDescent="0.25">
      <c r="A3" s="25" t="s">
        <v>72</v>
      </c>
      <c r="R3" s="26"/>
      <c r="S3" s="28"/>
    </row>
    <row r="4" spans="1:95" customFormat="1" ht="15" customHeight="1" x14ac:dyDescent="0.25">
      <c r="A4" s="29" t="s">
        <v>5</v>
      </c>
      <c r="B4" s="29" t="s">
        <v>4</v>
      </c>
      <c r="C4" s="30" t="s">
        <v>26</v>
      </c>
      <c r="D4" s="30" t="s">
        <v>0</v>
      </c>
      <c r="E4" s="30"/>
      <c r="F4" s="30"/>
      <c r="G4" s="29" t="s">
        <v>21</v>
      </c>
      <c r="H4" s="31" t="s">
        <v>3</v>
      </c>
      <c r="I4" s="31"/>
      <c r="J4" s="32" t="s">
        <v>11</v>
      </c>
      <c r="K4" s="33" t="s">
        <v>15</v>
      </c>
      <c r="L4" s="32" t="s">
        <v>12</v>
      </c>
      <c r="M4" s="34" t="s">
        <v>7</v>
      </c>
      <c r="N4" s="35"/>
      <c r="O4" s="32" t="s">
        <v>9</v>
      </c>
      <c r="P4" s="32" t="s">
        <v>10</v>
      </c>
      <c r="Q4" s="32" t="s">
        <v>16</v>
      </c>
      <c r="R4" s="36" t="s">
        <v>37</v>
      </c>
      <c r="S4" s="10" t="s">
        <v>70</v>
      </c>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row>
    <row r="5" spans="1:95" customFormat="1" ht="30.75" thickBot="1" x14ac:dyDescent="0.3">
      <c r="A5" s="37"/>
      <c r="B5" s="37"/>
      <c r="C5" s="32"/>
      <c r="D5" s="11" t="s">
        <v>1</v>
      </c>
      <c r="E5" s="11" t="s">
        <v>2</v>
      </c>
      <c r="F5" s="11" t="s">
        <v>6</v>
      </c>
      <c r="G5" s="37"/>
      <c r="H5" s="11" t="s">
        <v>17</v>
      </c>
      <c r="I5" s="38" t="s">
        <v>19</v>
      </c>
      <c r="J5" s="39"/>
      <c r="K5" s="40"/>
      <c r="L5" s="39"/>
      <c r="M5" s="38" t="s">
        <v>8</v>
      </c>
      <c r="N5" s="38" t="s">
        <v>18</v>
      </c>
      <c r="O5" s="39"/>
      <c r="P5" s="39"/>
      <c r="Q5" s="39"/>
      <c r="R5" s="41"/>
      <c r="S5" s="1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row>
    <row r="6" spans="1:95" customFormat="1" ht="96" customHeight="1" x14ac:dyDescent="0.25">
      <c r="A6" s="42" t="s">
        <v>68</v>
      </c>
      <c r="B6" s="13">
        <f>G6</f>
        <v>20200000</v>
      </c>
      <c r="C6" s="13">
        <v>10100000</v>
      </c>
      <c r="D6" s="14" t="s">
        <v>76</v>
      </c>
      <c r="E6" s="13">
        <f>C6*0.5/0.5</f>
        <v>10100000</v>
      </c>
      <c r="F6" s="13">
        <f>C6+E6</f>
        <v>20200000</v>
      </c>
      <c r="G6" s="13">
        <f>F6</f>
        <v>20200000</v>
      </c>
      <c r="H6" s="43" t="s">
        <v>31</v>
      </c>
      <c r="I6" s="43" t="s">
        <v>41</v>
      </c>
      <c r="J6" s="20" t="s">
        <v>14</v>
      </c>
      <c r="K6" s="44" t="s">
        <v>40</v>
      </c>
      <c r="L6" s="43" t="s">
        <v>34</v>
      </c>
      <c r="M6" s="43">
        <v>0</v>
      </c>
      <c r="N6" s="43" t="s">
        <v>27</v>
      </c>
      <c r="O6" s="43">
        <f>SUM(O7:O9)</f>
        <v>13</v>
      </c>
      <c r="P6" s="43">
        <f>SUM(P7:P9)</f>
        <v>128</v>
      </c>
      <c r="Q6" s="43" t="s">
        <v>20</v>
      </c>
      <c r="R6" s="45" t="s">
        <v>36</v>
      </c>
      <c r="S6" s="46" t="s">
        <v>88</v>
      </c>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row>
    <row r="7" spans="1:95" s="1" customFormat="1" ht="237" customHeight="1" x14ac:dyDescent="0.25">
      <c r="A7" s="47"/>
      <c r="B7" s="15"/>
      <c r="C7" s="15"/>
      <c r="D7" s="16"/>
      <c r="E7" s="15"/>
      <c r="F7" s="15"/>
      <c r="G7" s="15"/>
      <c r="H7" s="48" t="s">
        <v>28</v>
      </c>
      <c r="I7" s="48" t="s">
        <v>47</v>
      </c>
      <c r="J7" s="18"/>
      <c r="K7" s="49"/>
      <c r="L7" s="48" t="s">
        <v>34</v>
      </c>
      <c r="M7" s="48">
        <v>0</v>
      </c>
      <c r="N7" s="48" t="s">
        <v>27</v>
      </c>
      <c r="O7" s="48">
        <v>2</v>
      </c>
      <c r="P7" s="48">
        <v>19</v>
      </c>
      <c r="Q7" s="48" t="s">
        <v>20</v>
      </c>
      <c r="R7" s="46" t="s">
        <v>57</v>
      </c>
      <c r="S7" s="17" t="s">
        <v>91</v>
      </c>
      <c r="T7" s="6"/>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row>
    <row r="8" spans="1:95" s="1" customFormat="1" ht="194.25" customHeight="1" x14ac:dyDescent="0.25">
      <c r="A8" s="47"/>
      <c r="B8" s="15"/>
      <c r="C8" s="15"/>
      <c r="D8" s="16"/>
      <c r="E8" s="15"/>
      <c r="F8" s="15"/>
      <c r="G8" s="15"/>
      <c r="H8" s="48" t="s">
        <v>29</v>
      </c>
      <c r="I8" s="48" t="s">
        <v>48</v>
      </c>
      <c r="J8" s="18"/>
      <c r="K8" s="49"/>
      <c r="L8" s="48" t="s">
        <v>34</v>
      </c>
      <c r="M8" s="48">
        <v>0</v>
      </c>
      <c r="N8" s="48" t="s">
        <v>27</v>
      </c>
      <c r="O8" s="48">
        <v>1</v>
      </c>
      <c r="P8" s="48">
        <v>12</v>
      </c>
      <c r="Q8" s="48" t="s">
        <v>20</v>
      </c>
      <c r="R8" s="17" t="s">
        <v>58</v>
      </c>
      <c r="S8" s="17" t="s">
        <v>90</v>
      </c>
      <c r="T8" s="6"/>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row>
    <row r="9" spans="1:95" s="1" customFormat="1" ht="388.5" customHeight="1" x14ac:dyDescent="0.25">
      <c r="A9" s="47"/>
      <c r="B9" s="15"/>
      <c r="C9" s="15"/>
      <c r="D9" s="16"/>
      <c r="E9" s="15"/>
      <c r="F9" s="15"/>
      <c r="G9" s="15"/>
      <c r="H9" s="48" t="s">
        <v>30</v>
      </c>
      <c r="I9" s="48" t="s">
        <v>49</v>
      </c>
      <c r="J9" s="18"/>
      <c r="K9" s="49"/>
      <c r="L9" s="48" t="s">
        <v>34</v>
      </c>
      <c r="M9" s="48">
        <v>0</v>
      </c>
      <c r="N9" s="48" t="s">
        <v>27</v>
      </c>
      <c r="O9" s="48">
        <v>10</v>
      </c>
      <c r="P9" s="48">
        <v>97</v>
      </c>
      <c r="Q9" s="48" t="s">
        <v>20</v>
      </c>
      <c r="R9" s="46" t="s">
        <v>65</v>
      </c>
      <c r="S9" s="17" t="s">
        <v>89</v>
      </c>
      <c r="T9" s="6"/>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row>
    <row r="10" spans="1:95" s="1" customFormat="1" ht="156.75" customHeight="1" x14ac:dyDescent="0.25">
      <c r="A10" s="47"/>
      <c r="B10" s="15"/>
      <c r="C10" s="15"/>
      <c r="D10" s="16"/>
      <c r="E10" s="15"/>
      <c r="F10" s="15"/>
      <c r="G10" s="15"/>
      <c r="H10" s="48" t="s">
        <v>32</v>
      </c>
      <c r="I10" s="48" t="s">
        <v>50</v>
      </c>
      <c r="J10" s="18"/>
      <c r="K10" s="49"/>
      <c r="L10" s="48" t="s">
        <v>33</v>
      </c>
      <c r="M10" s="48">
        <v>0</v>
      </c>
      <c r="N10" s="48">
        <v>2021</v>
      </c>
      <c r="O10" s="48" t="s">
        <v>27</v>
      </c>
      <c r="P10" s="50">
        <f>2040000+1200000</f>
        <v>3240000</v>
      </c>
      <c r="Q10" s="48" t="s">
        <v>20</v>
      </c>
      <c r="R10" s="17" t="s">
        <v>61</v>
      </c>
      <c r="S10" s="17" t="s">
        <v>73</v>
      </c>
      <c r="T10" s="9"/>
      <c r="U10" s="2"/>
      <c r="V10" s="2"/>
      <c r="W10" s="2"/>
      <c r="X10" s="2"/>
      <c r="Y10" s="2"/>
      <c r="Z10" s="2"/>
      <c r="AA10" s="2"/>
      <c r="AB10" s="2"/>
      <c r="AC10" s="7"/>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row>
    <row r="11" spans="1:95" s="1" customFormat="1" ht="102.75" customHeight="1" x14ac:dyDescent="0.25">
      <c r="A11" s="47"/>
      <c r="B11" s="15">
        <f>F11</f>
        <v>24588235.294117648</v>
      </c>
      <c r="C11" s="15">
        <v>20900000</v>
      </c>
      <c r="D11" s="18" t="s">
        <v>77</v>
      </c>
      <c r="E11" s="15">
        <f>C11*15/85</f>
        <v>3688235.2941176472</v>
      </c>
      <c r="F11" s="15">
        <f>C11+E11</f>
        <v>24588235.294117648</v>
      </c>
      <c r="G11" s="15">
        <f>F11</f>
        <v>24588235.294117648</v>
      </c>
      <c r="H11" s="48" t="s">
        <v>31</v>
      </c>
      <c r="I11" s="48" t="s">
        <v>41</v>
      </c>
      <c r="J11" s="18" t="s">
        <v>13</v>
      </c>
      <c r="K11" s="18" t="s">
        <v>40</v>
      </c>
      <c r="L11" s="48" t="s">
        <v>34</v>
      </c>
      <c r="M11" s="48">
        <v>0</v>
      </c>
      <c r="N11" s="48" t="s">
        <v>27</v>
      </c>
      <c r="O11" s="50">
        <f>SUM(O12:O14)</f>
        <v>11</v>
      </c>
      <c r="P11" s="50">
        <f>SUM(P12:P14)</f>
        <v>100</v>
      </c>
      <c r="Q11" s="48" t="s">
        <v>20</v>
      </c>
      <c r="R11" s="46" t="s">
        <v>35</v>
      </c>
      <c r="S11" s="17" t="s">
        <v>88</v>
      </c>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row>
    <row r="12" spans="1:95" s="1" customFormat="1" ht="195.75" customHeight="1" x14ac:dyDescent="0.25">
      <c r="A12" s="47"/>
      <c r="B12" s="15"/>
      <c r="C12" s="15"/>
      <c r="D12" s="18"/>
      <c r="E12" s="15"/>
      <c r="F12" s="15"/>
      <c r="G12" s="15"/>
      <c r="H12" s="48" t="s">
        <v>28</v>
      </c>
      <c r="I12" s="48" t="s">
        <v>47</v>
      </c>
      <c r="J12" s="18"/>
      <c r="K12" s="18"/>
      <c r="L12" s="50" t="s">
        <v>34</v>
      </c>
      <c r="M12" s="50">
        <v>0</v>
      </c>
      <c r="N12" s="50" t="s">
        <v>27</v>
      </c>
      <c r="O12" s="50">
        <v>4</v>
      </c>
      <c r="P12" s="50">
        <v>36</v>
      </c>
      <c r="Q12" s="50" t="s">
        <v>20</v>
      </c>
      <c r="R12" s="51" t="s">
        <v>56</v>
      </c>
      <c r="S12" s="52" t="s">
        <v>87</v>
      </c>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row>
    <row r="13" spans="1:95" s="1" customFormat="1" ht="195" x14ac:dyDescent="0.25">
      <c r="A13" s="47"/>
      <c r="B13" s="15"/>
      <c r="C13" s="15"/>
      <c r="D13" s="18"/>
      <c r="E13" s="15"/>
      <c r="F13" s="15"/>
      <c r="G13" s="15"/>
      <c r="H13" s="48" t="s">
        <v>29</v>
      </c>
      <c r="I13" s="48" t="s">
        <v>48</v>
      </c>
      <c r="J13" s="18"/>
      <c r="K13" s="18"/>
      <c r="L13" s="48" t="s">
        <v>34</v>
      </c>
      <c r="M13" s="48">
        <v>0</v>
      </c>
      <c r="N13" s="48" t="s">
        <v>27</v>
      </c>
      <c r="O13" s="48">
        <v>1</v>
      </c>
      <c r="P13" s="50">
        <v>7</v>
      </c>
      <c r="Q13" s="48" t="s">
        <v>20</v>
      </c>
      <c r="R13" s="17" t="s">
        <v>59</v>
      </c>
      <c r="S13" s="52" t="s">
        <v>86</v>
      </c>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row>
    <row r="14" spans="1:95" s="1" customFormat="1" ht="358.5" customHeight="1" x14ac:dyDescent="0.25">
      <c r="A14" s="47"/>
      <c r="B14" s="15"/>
      <c r="C14" s="15"/>
      <c r="D14" s="18"/>
      <c r="E14" s="15"/>
      <c r="F14" s="15"/>
      <c r="G14" s="15"/>
      <c r="H14" s="48" t="s">
        <v>30</v>
      </c>
      <c r="I14" s="48" t="s">
        <v>49</v>
      </c>
      <c r="J14" s="18"/>
      <c r="K14" s="18"/>
      <c r="L14" s="48" t="s">
        <v>34</v>
      </c>
      <c r="M14" s="48">
        <v>0</v>
      </c>
      <c r="N14" s="48" t="s">
        <v>27</v>
      </c>
      <c r="O14" s="48">
        <v>6</v>
      </c>
      <c r="P14" s="50">
        <v>57</v>
      </c>
      <c r="Q14" s="48" t="s">
        <v>20</v>
      </c>
      <c r="R14" s="51" t="s">
        <v>64</v>
      </c>
      <c r="S14" s="52" t="s">
        <v>85</v>
      </c>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row>
    <row r="15" spans="1:95" s="1" customFormat="1" ht="159.75" customHeight="1" thickBot="1" x14ac:dyDescent="0.3">
      <c r="A15" s="53"/>
      <c r="B15" s="54"/>
      <c r="C15" s="54"/>
      <c r="D15" s="19"/>
      <c r="E15" s="54"/>
      <c r="F15" s="54"/>
      <c r="G15" s="54"/>
      <c r="H15" s="55" t="s">
        <v>32</v>
      </c>
      <c r="I15" s="48" t="s">
        <v>50</v>
      </c>
      <c r="J15" s="19"/>
      <c r="K15" s="19"/>
      <c r="L15" s="55" t="s">
        <v>33</v>
      </c>
      <c r="M15" s="55">
        <v>0</v>
      </c>
      <c r="N15" s="55">
        <v>2021</v>
      </c>
      <c r="O15" s="55" t="s">
        <v>27</v>
      </c>
      <c r="P15" s="56">
        <f>2805882.35+529411.77</f>
        <v>3335294.12</v>
      </c>
      <c r="Q15" s="55" t="s">
        <v>20</v>
      </c>
      <c r="R15" s="57" t="s">
        <v>60</v>
      </c>
      <c r="S15" s="17" t="s">
        <v>79</v>
      </c>
      <c r="T15" s="8"/>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row>
    <row r="16" spans="1:95" s="1" customFormat="1" ht="243" customHeight="1" x14ac:dyDescent="0.25">
      <c r="A16" s="58" t="s">
        <v>80</v>
      </c>
      <c r="B16" s="13">
        <f>F16</f>
        <v>40588235.294117644</v>
      </c>
      <c r="C16" s="13">
        <f>43000000-8500000</f>
        <v>34500000</v>
      </c>
      <c r="D16" s="20" t="s">
        <v>75</v>
      </c>
      <c r="E16" s="13">
        <f>C16/0.85*0.15</f>
        <v>6088235.2941176463</v>
      </c>
      <c r="F16" s="13">
        <f>E16+C16</f>
        <v>40588235.294117644</v>
      </c>
      <c r="G16" s="13">
        <f>F16</f>
        <v>40588235.294117644</v>
      </c>
      <c r="H16" s="43" t="s">
        <v>22</v>
      </c>
      <c r="I16" s="43" t="s">
        <v>53</v>
      </c>
      <c r="J16" s="59" t="s">
        <v>13</v>
      </c>
      <c r="K16" s="59" t="s">
        <v>40</v>
      </c>
      <c r="L16" s="43" t="s">
        <v>23</v>
      </c>
      <c r="M16" s="43">
        <v>0</v>
      </c>
      <c r="N16" s="43" t="s">
        <v>27</v>
      </c>
      <c r="O16" s="43">
        <v>0</v>
      </c>
      <c r="P16" s="43">
        <v>11</v>
      </c>
      <c r="Q16" s="43" t="s">
        <v>20</v>
      </c>
      <c r="R16" s="60" t="s">
        <v>55</v>
      </c>
      <c r="S16" s="46" t="s">
        <v>94</v>
      </c>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row>
    <row r="17" spans="1:95" s="1" customFormat="1" ht="152.25" customHeight="1" thickBot="1" x14ac:dyDescent="0.3">
      <c r="A17" s="61"/>
      <c r="B17" s="54"/>
      <c r="C17" s="54"/>
      <c r="D17" s="19"/>
      <c r="E17" s="54"/>
      <c r="F17" s="54"/>
      <c r="G17" s="54"/>
      <c r="H17" s="55" t="s">
        <v>24</v>
      </c>
      <c r="I17" s="55" t="s">
        <v>54</v>
      </c>
      <c r="J17" s="62"/>
      <c r="K17" s="62"/>
      <c r="L17" s="55" t="s">
        <v>25</v>
      </c>
      <c r="M17" s="56">
        <v>130244</v>
      </c>
      <c r="N17" s="55">
        <v>2019</v>
      </c>
      <c r="O17" s="55" t="s">
        <v>27</v>
      </c>
      <c r="P17" s="56">
        <f>503176-73718</f>
        <v>429458</v>
      </c>
      <c r="Q17" s="55" t="s">
        <v>20</v>
      </c>
      <c r="R17" s="57" t="s">
        <v>63</v>
      </c>
      <c r="S17" s="17" t="s">
        <v>93</v>
      </c>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row>
    <row r="18" spans="1:95" s="1" customFormat="1" ht="152.25" customHeight="1" x14ac:dyDescent="0.25">
      <c r="A18" s="61"/>
      <c r="B18" s="15">
        <f>F18</f>
        <v>10000000</v>
      </c>
      <c r="C18" s="54">
        <v>8500000</v>
      </c>
      <c r="D18" s="19" t="s">
        <v>96</v>
      </c>
      <c r="E18" s="15">
        <f>C18/0.85*0.15</f>
        <v>1500000</v>
      </c>
      <c r="F18" s="15">
        <f>E18+C18</f>
        <v>10000000</v>
      </c>
      <c r="G18" s="15">
        <f>F18</f>
        <v>10000000</v>
      </c>
      <c r="H18" s="43" t="s">
        <v>22</v>
      </c>
      <c r="I18" s="43" t="s">
        <v>53</v>
      </c>
      <c r="J18" s="62"/>
      <c r="K18" s="62"/>
      <c r="L18" s="43" t="s">
        <v>23</v>
      </c>
      <c r="M18" s="43">
        <v>0</v>
      </c>
      <c r="N18" s="43" t="s">
        <v>27</v>
      </c>
      <c r="O18" s="43">
        <v>0</v>
      </c>
      <c r="P18" s="43">
        <v>1</v>
      </c>
      <c r="Q18" s="48" t="s">
        <v>20</v>
      </c>
      <c r="R18" s="17"/>
      <c r="S18" s="17" t="s">
        <v>95</v>
      </c>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row>
    <row r="19" spans="1:95" s="1" customFormat="1" ht="152.25" customHeight="1" thickBot="1" x14ac:dyDescent="0.3">
      <c r="A19" s="63"/>
      <c r="B19" s="15"/>
      <c r="C19" s="64"/>
      <c r="D19" s="21"/>
      <c r="E19" s="15"/>
      <c r="F19" s="15"/>
      <c r="G19" s="15"/>
      <c r="H19" s="48" t="s">
        <v>24</v>
      </c>
      <c r="I19" s="48" t="s">
        <v>54</v>
      </c>
      <c r="J19" s="21"/>
      <c r="K19" s="21"/>
      <c r="L19" s="48" t="s">
        <v>25</v>
      </c>
      <c r="M19" s="50">
        <v>0</v>
      </c>
      <c r="N19" s="48">
        <v>2019</v>
      </c>
      <c r="O19" s="48" t="s">
        <v>27</v>
      </c>
      <c r="P19" s="50">
        <v>73718</v>
      </c>
      <c r="Q19" s="48" t="s">
        <v>20</v>
      </c>
      <c r="R19" s="17"/>
      <c r="S19" s="17" t="s">
        <v>92</v>
      </c>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row>
    <row r="20" spans="1:95" s="1" customFormat="1" ht="164.45" customHeight="1" x14ac:dyDescent="0.25">
      <c r="A20" s="42" t="s">
        <v>69</v>
      </c>
      <c r="B20" s="64">
        <f>F20</f>
        <v>1000000</v>
      </c>
      <c r="C20" s="64">
        <v>500000</v>
      </c>
      <c r="D20" s="21" t="s">
        <v>74</v>
      </c>
      <c r="E20" s="64">
        <f>C20/0.5*0.5</f>
        <v>500000</v>
      </c>
      <c r="F20" s="64">
        <f>E20+C20</f>
        <v>1000000</v>
      </c>
      <c r="G20" s="64">
        <f>F20</f>
        <v>1000000</v>
      </c>
      <c r="H20" s="65" t="s">
        <v>22</v>
      </c>
      <c r="I20" s="65" t="s">
        <v>53</v>
      </c>
      <c r="J20" s="21" t="s">
        <v>14</v>
      </c>
      <c r="K20" s="21" t="s">
        <v>40</v>
      </c>
      <c r="L20" s="65" t="s">
        <v>23</v>
      </c>
      <c r="M20" s="65">
        <v>0</v>
      </c>
      <c r="N20" s="65" t="s">
        <v>27</v>
      </c>
      <c r="O20" s="65">
        <v>0</v>
      </c>
      <c r="P20" s="65">
        <v>1</v>
      </c>
      <c r="Q20" s="65" t="s">
        <v>20</v>
      </c>
      <c r="R20" s="66" t="s">
        <v>39</v>
      </c>
      <c r="S20" s="52" t="s">
        <v>84</v>
      </c>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row>
    <row r="21" spans="1:95" s="2" customFormat="1" ht="171.75" customHeight="1" x14ac:dyDescent="0.25">
      <c r="A21" s="47"/>
      <c r="B21" s="15"/>
      <c r="C21" s="15"/>
      <c r="D21" s="18"/>
      <c r="E21" s="15"/>
      <c r="F21" s="15"/>
      <c r="G21" s="15"/>
      <c r="H21" s="48" t="s">
        <v>24</v>
      </c>
      <c r="I21" s="48" t="s">
        <v>54</v>
      </c>
      <c r="J21" s="18"/>
      <c r="K21" s="18"/>
      <c r="L21" s="48" t="s">
        <v>25</v>
      </c>
      <c r="M21" s="50">
        <v>15564</v>
      </c>
      <c r="N21" s="48">
        <v>2019</v>
      </c>
      <c r="O21" s="48" t="s">
        <v>27</v>
      </c>
      <c r="P21" s="50">
        <v>26650</v>
      </c>
      <c r="Q21" s="48" t="s">
        <v>20</v>
      </c>
      <c r="R21" s="17" t="s">
        <v>97</v>
      </c>
      <c r="S21" s="52" t="s">
        <v>82</v>
      </c>
    </row>
    <row r="22" spans="1:95" s="2" customFormat="1" ht="221.25" customHeight="1" x14ac:dyDescent="0.25">
      <c r="A22" s="47"/>
      <c r="B22" s="15">
        <f>F22</f>
        <v>30000000</v>
      </c>
      <c r="C22" s="15">
        <v>25500000</v>
      </c>
      <c r="D22" s="18"/>
      <c r="E22" s="15">
        <f>C22/0.85*0.15</f>
        <v>4500000</v>
      </c>
      <c r="F22" s="15">
        <f>E22+C22</f>
        <v>30000000</v>
      </c>
      <c r="G22" s="15">
        <f>F22</f>
        <v>30000000</v>
      </c>
      <c r="H22" s="48" t="s">
        <v>22</v>
      </c>
      <c r="I22" s="48" t="s">
        <v>53</v>
      </c>
      <c r="J22" s="18" t="s">
        <v>13</v>
      </c>
      <c r="K22" s="18" t="s">
        <v>40</v>
      </c>
      <c r="L22" s="48" t="s">
        <v>23</v>
      </c>
      <c r="M22" s="50">
        <v>0</v>
      </c>
      <c r="N22" s="48" t="s">
        <v>27</v>
      </c>
      <c r="O22" s="48">
        <v>0</v>
      </c>
      <c r="P22" s="48">
        <v>35</v>
      </c>
      <c r="Q22" s="48" t="s">
        <v>20</v>
      </c>
      <c r="R22" s="17" t="s">
        <v>38</v>
      </c>
      <c r="S22" s="52" t="s">
        <v>83</v>
      </c>
    </row>
    <row r="23" spans="1:95" customFormat="1" ht="183" customHeight="1" thickBot="1" x14ac:dyDescent="0.3">
      <c r="A23" s="67"/>
      <c r="B23" s="68"/>
      <c r="C23" s="68"/>
      <c r="D23" s="22"/>
      <c r="E23" s="68"/>
      <c r="F23" s="68"/>
      <c r="G23" s="68"/>
      <c r="H23" s="69" t="s">
        <v>24</v>
      </c>
      <c r="I23" s="69" t="s">
        <v>54</v>
      </c>
      <c r="J23" s="22"/>
      <c r="K23" s="22"/>
      <c r="L23" s="69" t="s">
        <v>25</v>
      </c>
      <c r="M23" s="70">
        <v>466926</v>
      </c>
      <c r="N23" s="69">
        <v>2019</v>
      </c>
      <c r="O23" s="69" t="s">
        <v>27</v>
      </c>
      <c r="P23" s="71">
        <v>799520</v>
      </c>
      <c r="Q23" s="69" t="s">
        <v>20</v>
      </c>
      <c r="R23" s="72" t="s">
        <v>98</v>
      </c>
      <c r="S23" s="17" t="s">
        <v>81</v>
      </c>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row>
    <row r="24" spans="1:95" customFormat="1" ht="16.5" customHeight="1" x14ac:dyDescent="0.25">
      <c r="A24" s="73"/>
      <c r="B24" s="74" t="s">
        <v>51</v>
      </c>
      <c r="C24" s="75">
        <f>C6+C20</f>
        <v>10600000</v>
      </c>
      <c r="D24" s="75"/>
      <c r="E24" s="75">
        <f>E6+E20</f>
        <v>10600000</v>
      </c>
      <c r="F24" s="75">
        <f>F6+F20</f>
        <v>21200000</v>
      </c>
      <c r="G24" s="75">
        <f>G6+G20</f>
        <v>21200000</v>
      </c>
      <c r="H24" s="73"/>
      <c r="I24" s="73"/>
      <c r="J24" s="73"/>
      <c r="K24" s="73"/>
      <c r="L24" s="73"/>
      <c r="M24" s="75">
        <f>SUM(M6:M23)</f>
        <v>612734</v>
      </c>
      <c r="N24" s="73"/>
      <c r="O24" s="73">
        <f>SUM(O6:O23)</f>
        <v>48</v>
      </c>
      <c r="P24" s="76">
        <f>SUM(P6:P23)</f>
        <v>7905144.1200000001</v>
      </c>
      <c r="Q24" s="73"/>
      <c r="R24" s="77"/>
      <c r="S24" s="78"/>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row>
    <row r="25" spans="1:95" customFormat="1" ht="17.25" customHeight="1" x14ac:dyDescent="0.25">
      <c r="A25" s="73"/>
      <c r="B25" s="74" t="s">
        <v>52</v>
      </c>
      <c r="C25" s="75">
        <f>C11+C16+C22</f>
        <v>80900000</v>
      </c>
      <c r="D25" s="75"/>
      <c r="E25" s="75">
        <f>E11+E16+E22</f>
        <v>14276470.588235293</v>
      </c>
      <c r="F25" s="75">
        <f>F11+F16+F22</f>
        <v>95176470.588235289</v>
      </c>
      <c r="G25" s="75">
        <f>G11+G16+G22</f>
        <v>95176470.588235289</v>
      </c>
      <c r="H25" s="73"/>
      <c r="I25" s="73"/>
      <c r="J25" s="73"/>
      <c r="K25" s="73"/>
      <c r="L25" s="73"/>
      <c r="M25" s="73"/>
      <c r="N25" s="73"/>
      <c r="O25" s="73"/>
      <c r="P25" s="76"/>
      <c r="Q25" s="73"/>
      <c r="R25" s="77"/>
      <c r="S25" s="78"/>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row>
    <row r="26" spans="1:95" customFormat="1" ht="15.75" thickBot="1" x14ac:dyDescent="0.3">
      <c r="A26" s="25"/>
      <c r="B26" s="25"/>
      <c r="C26" s="79">
        <f>C24+C25</f>
        <v>91500000</v>
      </c>
      <c r="D26" s="79"/>
      <c r="E26" s="79"/>
      <c r="F26" s="79"/>
      <c r="G26" s="79">
        <f>G24+G25</f>
        <v>116376470.58823529</v>
      </c>
      <c r="H26" s="25"/>
      <c r="I26" s="25"/>
      <c r="J26" s="25"/>
      <c r="K26" s="25"/>
      <c r="L26" s="25"/>
      <c r="M26" s="25"/>
      <c r="N26" s="25"/>
      <c r="O26" s="25"/>
      <c r="P26" s="25"/>
      <c r="Q26" s="25"/>
      <c r="R26" s="25"/>
      <c r="S26" s="26"/>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row>
    <row r="27" spans="1:95" customFormat="1" ht="64.150000000000006" customHeight="1" thickBot="1" x14ac:dyDescent="0.3">
      <c r="A27" s="23" t="s">
        <v>42</v>
      </c>
      <c r="B27" s="5" t="s">
        <v>43</v>
      </c>
      <c r="C27" s="5" t="s">
        <v>44</v>
      </c>
      <c r="D27" s="5" t="s">
        <v>45</v>
      </c>
      <c r="E27" s="5" t="s">
        <v>11</v>
      </c>
      <c r="F27" s="5" t="s">
        <v>15</v>
      </c>
      <c r="G27" s="5" t="s">
        <v>46</v>
      </c>
      <c r="H27" s="5" t="s">
        <v>9</v>
      </c>
      <c r="I27" s="5" t="s">
        <v>62</v>
      </c>
      <c r="J27" s="5" t="s">
        <v>10</v>
      </c>
      <c r="K27" s="80" t="s">
        <v>62</v>
      </c>
      <c r="L27" s="25"/>
      <c r="M27" s="79"/>
      <c r="N27" s="25"/>
      <c r="O27" s="25"/>
      <c r="P27" s="79">
        <f>P23+P21+P17</f>
        <v>1255628</v>
      </c>
      <c r="Q27" s="25"/>
      <c r="R27" s="26"/>
      <c r="S27" s="25"/>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row>
    <row r="28" spans="1:95" customFormat="1" ht="111" customHeight="1" x14ac:dyDescent="0.25">
      <c r="A28" s="81" t="str">
        <f>H6</f>
        <v>RCO01</v>
      </c>
      <c r="B28" s="43" t="str">
        <f>I6</f>
        <v>Enterprises supported (of which: micro, small, medium, large)(Paramą gavusios įmonės (iš kurių: labai mažos, mažosios, vidutinės ir didelės)</v>
      </c>
      <c r="C28" s="43" t="str">
        <f>L6</f>
        <v>enterprises</v>
      </c>
      <c r="D28" s="43">
        <v>0</v>
      </c>
      <c r="E28" s="43" t="s">
        <v>14</v>
      </c>
      <c r="F28" s="43" t="s">
        <v>40</v>
      </c>
      <c r="G28" s="43" t="s">
        <v>27</v>
      </c>
      <c r="H28" s="43">
        <f>O6</f>
        <v>13</v>
      </c>
      <c r="I28" s="82">
        <f>SUM(I30,I32,I34)+1</f>
        <v>9.4499999999999993</v>
      </c>
      <c r="J28" s="43">
        <f>P6</f>
        <v>128</v>
      </c>
      <c r="K28" s="83">
        <f>SUM(K30,K32,K34)</f>
        <v>92.9</v>
      </c>
      <c r="L28" s="84"/>
      <c r="M28" s="84"/>
      <c r="N28" s="84"/>
      <c r="O28" s="84"/>
      <c r="P28" s="25"/>
      <c r="Q28" s="25"/>
      <c r="R28" s="26"/>
      <c r="S28" s="25"/>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row>
    <row r="29" spans="1:95" customFormat="1" ht="109.5" customHeight="1" x14ac:dyDescent="0.25">
      <c r="A29" s="85" t="str">
        <f>H11</f>
        <v>RCO01</v>
      </c>
      <c r="B29" s="48" t="str">
        <f>I11</f>
        <v>Enterprises supported (of which: micro, small, medium, large)(Paramą gavusios įmonės (iš kurių: labai mažos, mažosios, vidutinės ir didelės)</v>
      </c>
      <c r="C29" s="48" t="str">
        <f>L11</f>
        <v>enterprises</v>
      </c>
      <c r="D29" s="48">
        <v>0</v>
      </c>
      <c r="E29" s="48" t="s">
        <v>13</v>
      </c>
      <c r="F29" s="48" t="s">
        <v>40</v>
      </c>
      <c r="G29" s="48" t="s">
        <v>27</v>
      </c>
      <c r="H29" s="48">
        <f>O11</f>
        <v>11</v>
      </c>
      <c r="I29" s="50">
        <f>SUM(I31,I33,I35)+1</f>
        <v>7.75</v>
      </c>
      <c r="J29" s="50">
        <f>P11</f>
        <v>100</v>
      </c>
      <c r="K29" s="86">
        <f>SUM(K31,K33,K35)</f>
        <v>70.7</v>
      </c>
      <c r="L29" s="84"/>
      <c r="M29" s="84"/>
      <c r="N29" s="84"/>
      <c r="O29" s="84"/>
      <c r="P29" s="25"/>
      <c r="Q29" s="25"/>
      <c r="R29" s="26"/>
      <c r="S29" s="25"/>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row>
    <row r="30" spans="1:95" customFormat="1" ht="105" x14ac:dyDescent="0.25">
      <c r="A30" s="85" t="str">
        <f>H7</f>
        <v>RCO02</v>
      </c>
      <c r="B30" s="48" t="str">
        <f>I7</f>
        <v>Enterprises supported by grants (Paramą dotacijomis gavusios įmonės)</v>
      </c>
      <c r="C30" s="48" t="str">
        <f>L7</f>
        <v>enterprises</v>
      </c>
      <c r="D30" s="48">
        <v>0</v>
      </c>
      <c r="E30" s="48" t="s">
        <v>14</v>
      </c>
      <c r="F30" s="48" t="s">
        <v>40</v>
      </c>
      <c r="G30" s="48" t="s">
        <v>27</v>
      </c>
      <c r="H30" s="48">
        <f>O7</f>
        <v>2</v>
      </c>
      <c r="I30" s="87">
        <f>H30*0.65</f>
        <v>1.3</v>
      </c>
      <c r="J30" s="48">
        <f>P7</f>
        <v>19</v>
      </c>
      <c r="K30" s="86">
        <f>J30*0.65</f>
        <v>12.35</v>
      </c>
      <c r="L30" s="88" t="s">
        <v>66</v>
      </c>
      <c r="M30" s="25"/>
      <c r="N30" s="25"/>
      <c r="O30" s="25"/>
      <c r="P30" s="25"/>
      <c r="Q30" s="25"/>
      <c r="R30" s="26"/>
      <c r="S30" s="25"/>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row>
    <row r="31" spans="1:95" customFormat="1" ht="105" x14ac:dyDescent="0.25">
      <c r="A31" s="85" t="str">
        <f>H12</f>
        <v>RCO02</v>
      </c>
      <c r="B31" s="48" t="str">
        <f>I12</f>
        <v>Enterprises supported by grants (Paramą dotacijomis gavusios įmonės)</v>
      </c>
      <c r="C31" s="50" t="str">
        <f>L12</f>
        <v>enterprises</v>
      </c>
      <c r="D31" s="48">
        <v>0</v>
      </c>
      <c r="E31" s="48" t="s">
        <v>13</v>
      </c>
      <c r="F31" s="48" t="s">
        <v>40</v>
      </c>
      <c r="G31" s="48" t="s">
        <v>27</v>
      </c>
      <c r="H31" s="50">
        <f>O12</f>
        <v>4</v>
      </c>
      <c r="I31" s="87">
        <f t="shared" ref="I31:I33" si="0">H31*0.65</f>
        <v>2.6</v>
      </c>
      <c r="J31" s="50">
        <f>P12</f>
        <v>36</v>
      </c>
      <c r="K31" s="86">
        <f t="shared" ref="K31:K33" si="1">J31*0.65</f>
        <v>23.400000000000002</v>
      </c>
      <c r="L31" s="88" t="s">
        <v>66</v>
      </c>
      <c r="M31" s="25"/>
      <c r="N31" s="25"/>
      <c r="O31" s="25"/>
      <c r="P31" s="25"/>
      <c r="Q31" s="25"/>
      <c r="R31" s="26"/>
      <c r="S31" s="25"/>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row>
    <row r="32" spans="1:95" customFormat="1" ht="105" x14ac:dyDescent="0.25">
      <c r="A32" s="85" t="str">
        <f>H8</f>
        <v>RCO03</v>
      </c>
      <c r="B32" s="48" t="str">
        <f>I8</f>
        <v>Enterprises supported by financial instruments (Paramą finansinėmis priemonėmis gavusios įmonės)</v>
      </c>
      <c r="C32" s="48" t="str">
        <f>L8</f>
        <v>enterprises</v>
      </c>
      <c r="D32" s="48">
        <v>0</v>
      </c>
      <c r="E32" s="48" t="s">
        <v>14</v>
      </c>
      <c r="F32" s="48" t="s">
        <v>40</v>
      </c>
      <c r="G32" s="48" t="s">
        <v>27</v>
      </c>
      <c r="H32" s="48">
        <f>O8</f>
        <v>1</v>
      </c>
      <c r="I32" s="87">
        <f t="shared" si="0"/>
        <v>0.65</v>
      </c>
      <c r="J32" s="48">
        <f>P8</f>
        <v>12</v>
      </c>
      <c r="K32" s="86">
        <f t="shared" si="1"/>
        <v>7.8000000000000007</v>
      </c>
      <c r="L32" s="88" t="s">
        <v>66</v>
      </c>
      <c r="M32" s="25"/>
      <c r="N32" s="25"/>
      <c r="O32" s="25"/>
      <c r="P32" s="25"/>
      <c r="Q32" s="25"/>
      <c r="R32" s="26"/>
      <c r="S32" s="25"/>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row>
    <row r="33" spans="1:95" customFormat="1" ht="105" x14ac:dyDescent="0.25">
      <c r="A33" s="85" t="str">
        <f>H13</f>
        <v>RCO03</v>
      </c>
      <c r="B33" s="48" t="str">
        <f>I13</f>
        <v>Enterprises supported by financial instruments (Paramą finansinėmis priemonėmis gavusios įmonės)</v>
      </c>
      <c r="C33" s="48" t="str">
        <f>L13</f>
        <v>enterprises</v>
      </c>
      <c r="D33" s="48">
        <v>0</v>
      </c>
      <c r="E33" s="48" t="s">
        <v>13</v>
      </c>
      <c r="F33" s="48" t="s">
        <v>40</v>
      </c>
      <c r="G33" s="48" t="s">
        <v>27</v>
      </c>
      <c r="H33" s="48">
        <f>O13</f>
        <v>1</v>
      </c>
      <c r="I33" s="87">
        <f t="shared" si="0"/>
        <v>0.65</v>
      </c>
      <c r="J33" s="50">
        <f>P13</f>
        <v>7</v>
      </c>
      <c r="K33" s="86">
        <f t="shared" si="1"/>
        <v>4.55</v>
      </c>
      <c r="L33" s="88" t="s">
        <v>66</v>
      </c>
      <c r="M33" s="25"/>
      <c r="N33" s="25"/>
      <c r="O33" s="25"/>
      <c r="P33" s="25"/>
      <c r="Q33" s="25"/>
      <c r="R33" s="26"/>
      <c r="S33" s="25"/>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row>
    <row r="34" spans="1:95" customFormat="1" ht="105" x14ac:dyDescent="0.25">
      <c r="A34" s="85" t="str">
        <f>H9</f>
        <v>RCO04</v>
      </c>
      <c r="B34" s="48" t="str">
        <f>I9</f>
        <v>Enterprises with non-financial suppport (Nefinansinę paramą gavusios įmonės)</v>
      </c>
      <c r="C34" s="48" t="str">
        <f>L9</f>
        <v>enterprises</v>
      </c>
      <c r="D34" s="48">
        <v>0</v>
      </c>
      <c r="E34" s="48" t="s">
        <v>14</v>
      </c>
      <c r="F34" s="48" t="s">
        <v>40</v>
      </c>
      <c r="G34" s="48" t="s">
        <v>27</v>
      </c>
      <c r="H34" s="48">
        <f>O9</f>
        <v>10</v>
      </c>
      <c r="I34" s="87">
        <f>H34*0.75-1</f>
        <v>6.5</v>
      </c>
      <c r="J34" s="48">
        <f>P9</f>
        <v>97</v>
      </c>
      <c r="K34" s="86">
        <f>J34*0.75</f>
        <v>72.75</v>
      </c>
      <c r="L34" s="88" t="s">
        <v>67</v>
      </c>
      <c r="M34" s="25"/>
      <c r="N34" s="25"/>
      <c r="O34" s="25"/>
      <c r="P34" s="25"/>
      <c r="Q34" s="25"/>
      <c r="R34" s="26"/>
      <c r="S34" s="25"/>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row>
    <row r="35" spans="1:95" customFormat="1" ht="105" x14ac:dyDescent="0.25">
      <c r="A35" s="85" t="str">
        <f>H14</f>
        <v>RCO04</v>
      </c>
      <c r="B35" s="48" t="str">
        <f>I14</f>
        <v>Enterprises with non-financial suppport (Nefinansinę paramą gavusios įmonės)</v>
      </c>
      <c r="C35" s="48" t="str">
        <f>L14</f>
        <v>enterprises</v>
      </c>
      <c r="D35" s="48">
        <v>0</v>
      </c>
      <c r="E35" s="48" t="s">
        <v>13</v>
      </c>
      <c r="F35" s="48" t="s">
        <v>40</v>
      </c>
      <c r="G35" s="48" t="s">
        <v>27</v>
      </c>
      <c r="H35" s="48">
        <f>O14</f>
        <v>6</v>
      </c>
      <c r="I35" s="87">
        <f>H35*0.75-1</f>
        <v>3.5</v>
      </c>
      <c r="J35" s="50">
        <f>P14</f>
        <v>57</v>
      </c>
      <c r="K35" s="86">
        <f>J35*0.75</f>
        <v>42.75</v>
      </c>
      <c r="L35" s="88" t="s">
        <v>67</v>
      </c>
      <c r="M35" s="25"/>
      <c r="N35" s="25"/>
      <c r="O35" s="25"/>
      <c r="P35" s="25"/>
      <c r="Q35" s="25"/>
      <c r="R35" s="26"/>
      <c r="S35" s="25"/>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row>
    <row r="36" spans="1:95" customFormat="1" ht="114.75" customHeight="1" x14ac:dyDescent="0.25">
      <c r="A36" s="85" t="str">
        <f>H10</f>
        <v>RCR02</v>
      </c>
      <c r="B36" s="48" t="str">
        <f>I10</f>
        <v>Private investments matching public support (of which: grants, financial instruments)(Privačiosios investicijos, papildančios viešąją paramą (iš kurių: dotacijos, finansinės priemonės)</v>
      </c>
      <c r="C36" s="48" t="str">
        <f>L10</f>
        <v>euro</v>
      </c>
      <c r="D36" s="48">
        <v>0</v>
      </c>
      <c r="E36" s="48" t="s">
        <v>14</v>
      </c>
      <c r="F36" s="48" t="s">
        <v>40</v>
      </c>
      <c r="G36" s="48">
        <v>2021</v>
      </c>
      <c r="H36" s="48" t="s">
        <v>27</v>
      </c>
      <c r="I36" s="48" t="s">
        <v>27</v>
      </c>
      <c r="J36" s="50">
        <f>P10</f>
        <v>3240000</v>
      </c>
      <c r="K36" s="89">
        <f>J36</f>
        <v>3240000</v>
      </c>
      <c r="L36" s="25"/>
      <c r="M36" s="25"/>
      <c r="N36" s="25"/>
      <c r="O36" s="25"/>
      <c r="P36" s="25"/>
      <c r="Q36" s="25"/>
      <c r="R36" s="26"/>
      <c r="S36" s="25"/>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row>
    <row r="37" spans="1:95" ht="135" x14ac:dyDescent="0.25">
      <c r="A37" s="85" t="str">
        <f>H15</f>
        <v>RCR02</v>
      </c>
      <c r="B37" s="48" t="str">
        <f>I15</f>
        <v>Private investments matching public support (of which: grants, financial instruments)(Privačiosios investicijos, papildančios viešąją paramą (iš kurių: dotacijos, finansinės priemonės)</v>
      </c>
      <c r="C37" s="90" t="str">
        <f>L15</f>
        <v>euro</v>
      </c>
      <c r="D37" s="48">
        <v>0</v>
      </c>
      <c r="E37" s="48" t="s">
        <v>13</v>
      </c>
      <c r="F37" s="48" t="s">
        <v>40</v>
      </c>
      <c r="G37" s="48">
        <v>2021</v>
      </c>
      <c r="H37" s="48" t="s">
        <v>27</v>
      </c>
      <c r="I37" s="48" t="s">
        <v>27</v>
      </c>
      <c r="J37" s="50">
        <f>P15</f>
        <v>3335294.12</v>
      </c>
      <c r="K37" s="89">
        <f t="shared" ref="K37:K41" si="2">J37</f>
        <v>3335294.12</v>
      </c>
      <c r="R37" s="26"/>
      <c r="S37" s="25"/>
    </row>
    <row r="38" spans="1:95" ht="75" x14ac:dyDescent="0.25">
      <c r="A38" s="85" t="str">
        <f>H20</f>
        <v>RCO77</v>
      </c>
      <c r="B38" s="48" t="str">
        <f>I20</f>
        <v>Number of cultural and tourism sites supported (paramą gavusių kultūros ir turizmo objektų skaičius)</v>
      </c>
      <c r="C38" s="48" t="str">
        <f>L20</f>
        <v>Cultural and tourism sites</v>
      </c>
      <c r="D38" s="48">
        <v>0</v>
      </c>
      <c r="E38" s="48" t="s">
        <v>14</v>
      </c>
      <c r="F38" s="48" t="s">
        <v>40</v>
      </c>
      <c r="G38" s="48" t="s">
        <v>27</v>
      </c>
      <c r="H38" s="48">
        <v>0</v>
      </c>
      <c r="I38" s="48">
        <v>0</v>
      </c>
      <c r="J38" s="50">
        <f>P20</f>
        <v>1</v>
      </c>
      <c r="K38" s="89">
        <f t="shared" si="2"/>
        <v>1</v>
      </c>
      <c r="R38" s="26"/>
      <c r="S38" s="25"/>
    </row>
    <row r="39" spans="1:95" ht="75" x14ac:dyDescent="0.25">
      <c r="A39" s="85" t="str">
        <f>H16</f>
        <v>RCO77</v>
      </c>
      <c r="B39" s="48" t="str">
        <f>I16</f>
        <v>Number of cultural and tourism sites supported (paramą gavusių kultūros ir turizmo objektų skaičius)</v>
      </c>
      <c r="C39" s="48" t="str">
        <f>L16</f>
        <v>Cultural and tourism sites</v>
      </c>
      <c r="D39" s="48">
        <v>0</v>
      </c>
      <c r="E39" s="48" t="s">
        <v>13</v>
      </c>
      <c r="F39" s="48" t="s">
        <v>40</v>
      </c>
      <c r="G39" s="48" t="s">
        <v>27</v>
      </c>
      <c r="H39" s="48">
        <v>0</v>
      </c>
      <c r="I39" s="48">
        <v>0</v>
      </c>
      <c r="J39" s="50">
        <f>P16+P22+P18</f>
        <v>47</v>
      </c>
      <c r="K39" s="89">
        <f t="shared" si="2"/>
        <v>47</v>
      </c>
      <c r="R39" s="26"/>
      <c r="S39" s="25"/>
    </row>
    <row r="40" spans="1:95" ht="75" x14ac:dyDescent="0.25">
      <c r="A40" s="85" t="str">
        <f>H21</f>
        <v>RCR77</v>
      </c>
      <c r="B40" s="91" t="str">
        <f>I21</f>
        <v>Visitors of cultural and tourism sites supported (paramą gavusių kultūros ir turizmo objektų lankytojai)</v>
      </c>
      <c r="C40" s="48" t="str">
        <f>L21</f>
        <v>visitors/ year</v>
      </c>
      <c r="D40" s="50">
        <f>M21</f>
        <v>15564</v>
      </c>
      <c r="E40" s="48" t="s">
        <v>14</v>
      </c>
      <c r="F40" s="48" t="s">
        <v>40</v>
      </c>
      <c r="G40" s="48">
        <v>2019</v>
      </c>
      <c r="H40" s="48" t="s">
        <v>27</v>
      </c>
      <c r="I40" s="48" t="s">
        <v>27</v>
      </c>
      <c r="J40" s="50">
        <f>P21</f>
        <v>26650</v>
      </c>
      <c r="K40" s="89">
        <f t="shared" si="2"/>
        <v>26650</v>
      </c>
      <c r="R40" s="26"/>
      <c r="S40" s="25"/>
    </row>
    <row r="41" spans="1:95" ht="75.75" thickBot="1" x14ac:dyDescent="0.3">
      <c r="A41" s="92" t="str">
        <f>H17</f>
        <v>RCR77</v>
      </c>
      <c r="B41" s="93" t="str">
        <f>I17</f>
        <v>Visitors of cultural and tourism sites supported (paramą gavusių kultūros ir turizmo objektų lankytojai)</v>
      </c>
      <c r="C41" s="69" t="str">
        <f>L17</f>
        <v>visitors/ year</v>
      </c>
      <c r="D41" s="70">
        <f>M17+M23</f>
        <v>597170</v>
      </c>
      <c r="E41" s="69" t="s">
        <v>13</v>
      </c>
      <c r="F41" s="69" t="s">
        <v>40</v>
      </c>
      <c r="G41" s="69">
        <v>2019</v>
      </c>
      <c r="H41" s="69" t="s">
        <v>27</v>
      </c>
      <c r="I41" s="69" t="s">
        <v>27</v>
      </c>
      <c r="J41" s="70">
        <f>P17+P23+P19</f>
        <v>1302696</v>
      </c>
      <c r="K41" s="94">
        <f t="shared" si="2"/>
        <v>1302696</v>
      </c>
      <c r="R41" s="26"/>
      <c r="S41" s="25"/>
    </row>
    <row r="42" spans="1:95" x14ac:dyDescent="0.25">
      <c r="D42" s="79">
        <f>SUM(D28:D41)</f>
        <v>612734</v>
      </c>
      <c r="H42" s="25">
        <f>SUM(H28:H41)</f>
        <v>48</v>
      </c>
      <c r="I42" s="79">
        <f>SUM(I28:I41)</f>
        <v>32.4</v>
      </c>
      <c r="J42" s="79">
        <f>SUM(J28:J41)</f>
        <v>7905144.1200000001</v>
      </c>
      <c r="K42" s="79">
        <f>SUM(K28:K41)</f>
        <v>7905015.3200000003</v>
      </c>
      <c r="L42" s="79" t="b">
        <f>J42=P24</f>
        <v>1</v>
      </c>
    </row>
  </sheetData>
  <mergeCells count="64">
    <mergeCell ref="E18:E19"/>
    <mergeCell ref="F18:F19"/>
    <mergeCell ref="G18:G19"/>
    <mergeCell ref="K11:K15"/>
    <mergeCell ref="K20:K21"/>
    <mergeCell ref="K22:K23"/>
    <mergeCell ref="K6:K10"/>
    <mergeCell ref="S4:S5"/>
    <mergeCell ref="R4:R5"/>
    <mergeCell ref="K4:K5"/>
    <mergeCell ref="L4:L5"/>
    <mergeCell ref="M4:N4"/>
    <mergeCell ref="O4:O5"/>
    <mergeCell ref="P4:P5"/>
    <mergeCell ref="Q4:Q5"/>
    <mergeCell ref="K16:K19"/>
    <mergeCell ref="J11:J15"/>
    <mergeCell ref="J6:J10"/>
    <mergeCell ref="J22:J23"/>
    <mergeCell ref="J20:J21"/>
    <mergeCell ref="A6:A15"/>
    <mergeCell ref="B6:B10"/>
    <mergeCell ref="C6:C10"/>
    <mergeCell ref="D6:D10"/>
    <mergeCell ref="E6:E10"/>
    <mergeCell ref="D11:D15"/>
    <mergeCell ref="C11:C15"/>
    <mergeCell ref="B11:B15"/>
    <mergeCell ref="A16:A19"/>
    <mergeCell ref="J16:J19"/>
    <mergeCell ref="B18:B19"/>
    <mergeCell ref="C18:C19"/>
    <mergeCell ref="A4:A5"/>
    <mergeCell ref="B4:B5"/>
    <mergeCell ref="G20:G21"/>
    <mergeCell ref="A20:A23"/>
    <mergeCell ref="C20:C21"/>
    <mergeCell ref="D20:D23"/>
    <mergeCell ref="C22:C23"/>
    <mergeCell ref="B20:B21"/>
    <mergeCell ref="B22:B23"/>
    <mergeCell ref="G22:G23"/>
    <mergeCell ref="E22:E23"/>
    <mergeCell ref="E20:E21"/>
    <mergeCell ref="F20:F21"/>
    <mergeCell ref="F22:F23"/>
    <mergeCell ref="G16:G17"/>
    <mergeCell ref="D18:D19"/>
    <mergeCell ref="A1:H1"/>
    <mergeCell ref="C4:C5"/>
    <mergeCell ref="J4:J5"/>
    <mergeCell ref="B16:B17"/>
    <mergeCell ref="D16:D17"/>
    <mergeCell ref="E16:E17"/>
    <mergeCell ref="F16:F17"/>
    <mergeCell ref="C16:C17"/>
    <mergeCell ref="F6:F10"/>
    <mergeCell ref="G6:G10"/>
    <mergeCell ref="G11:G15"/>
    <mergeCell ref="F11:F15"/>
    <mergeCell ref="E11:E15"/>
    <mergeCell ref="D4:F4"/>
    <mergeCell ref="G4:G5"/>
    <mergeCell ref="H4:I4"/>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4.6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2022-07-11T10:55:47Z</dcterms:modified>
</cp:coreProperties>
</file>