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3280" windowHeight="13200" firstSheet="4" activeTab="4"/>
  </bookViews>
  <sheets>
    <sheet name="Intervencijų lėšos (2)" sheetId="17" state="hidden" r:id="rId1"/>
    <sheet name="2PO 2.2" sheetId="6" state="hidden" r:id="rId2"/>
    <sheet name="2PO 2.8" sheetId="12" state="hidden" r:id="rId3"/>
    <sheet name="3PO 3.1" sheetId="13" state="hidden" r:id="rId4"/>
    <sheet name="3.1." sheetId="14" r:id="rId5"/>
    <sheet name="5PO" sheetId="18" state="hidden" r:id="rId6"/>
    <sheet name="F Specific output 3.1.1 (1)" sheetId="19" r:id="rId7"/>
    <sheet name="F Specific result 3.1.1 (1)" sheetId="20" r:id="rId8"/>
    <sheet name="F Specific result 3.1.1 (2)" sheetId="21" r:id="rId9"/>
    <sheet name="F Specific output 3.1.1 (3)" sheetId="28" r:id="rId10"/>
    <sheet name="F Specific result 3.1.1 (3)" sheetId="23" r:id="rId11"/>
    <sheet name="F Specific output 3.1.1 (4)" sheetId="22" r:id="rId12"/>
    <sheet name="F Specific result 3.1.1 (4)" sheetId="27" r:id="rId13"/>
    <sheet name="F Specific output 3.1.2 (1)" sheetId="24" r:id="rId14"/>
    <sheet name="F Specific result 3.1.2 (1)" sheetId="25" r:id="rId15"/>
    <sheet name="F Specific result 3.1.3 (1)" sheetId="26" r:id="rId16"/>
  </sheets>
  <externalReferences>
    <externalReference r:id="rId17"/>
  </externalReferenc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4" l="1"/>
  <c r="E13" i="14"/>
  <c r="F13" i="14" s="1"/>
  <c r="G13" i="14" s="1"/>
  <c r="I43" i="14"/>
  <c r="D43" i="14"/>
  <c r="I42" i="14"/>
  <c r="D42" i="14"/>
  <c r="C43" i="14" l="1"/>
  <c r="B43" i="14"/>
  <c r="H42" i="14"/>
  <c r="C42" i="14"/>
  <c r="B42" i="14"/>
  <c r="B40" i="14"/>
  <c r="C53" i="14" l="1"/>
  <c r="B53" i="14"/>
  <c r="A53" i="14"/>
  <c r="C52" i="14"/>
  <c r="B52" i="14"/>
  <c r="A52" i="14"/>
  <c r="C51" i="14"/>
  <c r="B51" i="14"/>
  <c r="A51" i="14"/>
  <c r="C50" i="14"/>
  <c r="B50" i="14"/>
  <c r="A50" i="14"/>
  <c r="C49" i="14"/>
  <c r="B49" i="14"/>
  <c r="A49" i="14"/>
  <c r="C48" i="14"/>
  <c r="B48" i="14"/>
  <c r="A48" i="14"/>
  <c r="C47" i="14"/>
  <c r="B47" i="14"/>
  <c r="A47" i="14"/>
  <c r="C46" i="14"/>
  <c r="B46" i="14"/>
  <c r="A46" i="14"/>
  <c r="C45" i="14"/>
  <c r="B45" i="14"/>
  <c r="A45" i="14"/>
  <c r="C44" i="14"/>
  <c r="B44" i="14"/>
  <c r="A44" i="14"/>
  <c r="C41" i="14"/>
  <c r="B41" i="14"/>
  <c r="A41" i="14"/>
  <c r="C40" i="14"/>
  <c r="A40" i="14"/>
  <c r="C39" i="14"/>
  <c r="B39" i="14"/>
  <c r="A39" i="14"/>
  <c r="C38" i="14"/>
  <c r="B38" i="14"/>
  <c r="A38" i="14"/>
  <c r="C37" i="14"/>
  <c r="B37" i="14"/>
  <c r="A37" i="14"/>
  <c r="C36" i="14"/>
  <c r="B36" i="14"/>
  <c r="A36" i="14"/>
  <c r="C35" i="14"/>
  <c r="B35" i="14"/>
  <c r="A35" i="14"/>
  <c r="E17" i="14" l="1"/>
  <c r="E23" i="14"/>
  <c r="E20" i="14"/>
  <c r="E15" i="14" l="1"/>
  <c r="E28" i="14" l="1"/>
  <c r="G48" i="14" l="1"/>
  <c r="G53" i="14"/>
  <c r="H53" i="14" l="1"/>
  <c r="I46" i="14"/>
  <c r="D46" i="14"/>
  <c r="D45" i="14"/>
  <c r="D44" i="14"/>
  <c r="I48" i="14"/>
  <c r="D48" i="14"/>
  <c r="I49" i="14"/>
  <c r="D49" i="14"/>
  <c r="I47" i="14"/>
  <c r="D47" i="14"/>
  <c r="H45" i="14"/>
  <c r="I45" i="14"/>
  <c r="C31" i="14"/>
  <c r="D37" i="14" l="1"/>
  <c r="I37" i="14"/>
  <c r="F20" i="14" l="1"/>
  <c r="E31" i="14"/>
  <c r="M30" i="14"/>
  <c r="G20" i="14" l="1"/>
  <c r="G31" i="14" s="1"/>
  <c r="F31" i="14"/>
  <c r="I53" i="14" l="1"/>
  <c r="D53" i="14"/>
  <c r="I41" i="14"/>
  <c r="D41" i="14"/>
  <c r="I40" i="14"/>
  <c r="D40" i="14"/>
  <c r="I39" i="14"/>
  <c r="D39" i="14"/>
  <c r="I38" i="14"/>
  <c r="H38" i="14"/>
  <c r="D38" i="14"/>
  <c r="I36" i="14"/>
  <c r="D36" i="14"/>
  <c r="H35" i="14"/>
  <c r="D35" i="14"/>
  <c r="O10" i="14" l="1"/>
  <c r="H37" i="14" l="1"/>
  <c r="H18" i="18"/>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5" i="14" l="1"/>
  <c r="F13" i="6"/>
  <c r="I91" i="6"/>
  <c r="I90" i="6"/>
  <c r="D87" i="6"/>
  <c r="H90" i="6"/>
  <c r="G15" i="14" l="1"/>
  <c r="E47" i="6"/>
  <c r="F47" i="6" s="1"/>
  <c r="G47" i="6" s="1"/>
  <c r="B47" i="6" l="1"/>
  <c r="E43" i="6"/>
  <c r="H52" i="14" l="1"/>
  <c r="I52" i="14"/>
  <c r="D52" i="14"/>
  <c r="I51" i="14"/>
  <c r="H51" i="14"/>
  <c r="D51" i="14"/>
  <c r="D50" i="14"/>
  <c r="D54" i="14" l="1"/>
  <c r="D61" i="13"/>
  <c r="D60" i="13"/>
  <c r="D59" i="13"/>
  <c r="I58" i="13"/>
  <c r="D58" i="13"/>
  <c r="D57" i="13"/>
  <c r="I56" i="13"/>
  <c r="H56" i="13"/>
  <c r="D56" i="13"/>
  <c r="D55" i="13"/>
  <c r="D54" i="13"/>
  <c r="I25" i="12"/>
  <c r="D25" i="12"/>
  <c r="I24" i="12"/>
  <c r="H24" i="12"/>
  <c r="D24" i="12"/>
  <c r="D21" i="12"/>
  <c r="H91" i="6"/>
  <c r="E10" i="12" l="1"/>
  <c r="E26" i="14" l="1"/>
  <c r="F17" i="14"/>
  <c r="F44" i="13"/>
  <c r="F42" i="13"/>
  <c r="F26" i="13"/>
  <c r="E22" i="13"/>
  <c r="F22" i="13" s="1"/>
  <c r="G22" i="13" s="1"/>
  <c r="F18" i="13"/>
  <c r="G18" i="13" s="1"/>
  <c r="F10" i="13"/>
  <c r="E6" i="13"/>
  <c r="F6" i="13" s="1"/>
  <c r="G6" i="13" s="1"/>
  <c r="C30" i="13"/>
  <c r="C68" i="6"/>
  <c r="C17" i="12"/>
  <c r="G17" i="14" l="1"/>
  <c r="B6" i="13"/>
  <c r="G10" i="13"/>
  <c r="B10" i="13"/>
  <c r="D42" i="13"/>
  <c r="G42" i="13" s="1"/>
  <c r="D44" i="13"/>
  <c r="F28" i="14"/>
  <c r="B28" i="14" s="1"/>
  <c r="F26" i="14"/>
  <c r="G26" i="14" s="1"/>
  <c r="F23" i="14"/>
  <c r="G26" i="13"/>
  <c r="B26" i="13"/>
  <c r="E14" i="13"/>
  <c r="F14" i="13" s="1"/>
  <c r="B22" i="13"/>
  <c r="B18" i="13"/>
  <c r="G23" i="14" l="1"/>
  <c r="O23" i="14" s="1"/>
  <c r="B17" i="14"/>
  <c r="I35" i="14"/>
  <c r="H50" i="14"/>
  <c r="I50" i="14"/>
  <c r="G28" i="14"/>
  <c r="G14" i="13"/>
  <c r="B14" i="13"/>
  <c r="I44" i="14" l="1"/>
  <c r="I54" i="14" s="1"/>
  <c r="O17" i="14"/>
  <c r="P30" i="14"/>
  <c r="E7" i="12"/>
  <c r="F7" i="12" s="1"/>
  <c r="G7" i="12" s="1"/>
  <c r="P9" i="12" s="1"/>
  <c r="C13" i="12"/>
  <c r="F10" i="12"/>
  <c r="G10" i="12" s="1"/>
  <c r="J54" i="14" l="1"/>
  <c r="H44" i="14"/>
  <c r="H54" i="14" s="1"/>
  <c r="O30"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C30" i="14" l="1"/>
  <c r="E48" i="13" s="1"/>
  <c r="E6" i="14"/>
  <c r="F6" i="14" s="1"/>
  <c r="G6" i="14" l="1"/>
  <c r="G8" i="14"/>
  <c r="G10" i="14"/>
  <c r="E30" i="14"/>
  <c r="C32" i="14"/>
  <c r="B6" i="14"/>
  <c r="F30" i="14"/>
  <c r="F32" i="14" s="1"/>
  <c r="G30" i="14" l="1"/>
</calcChain>
</file>

<file path=xl/comments1.xml><?xml version="1.0" encoding="utf-8"?>
<comments xmlns="http://schemas.openxmlformats.org/spreadsheetml/2006/main">
  <authors>
    <author>Autorius</author>
  </authors>
  <commentList>
    <comment ref="I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text>
        <r>
          <rPr>
            <b/>
            <sz val="9"/>
            <color indexed="81"/>
            <rFont val="Tahoma"/>
            <family val="2"/>
            <charset val="186"/>
          </rPr>
          <t>Autorius:</t>
        </r>
        <r>
          <rPr>
            <sz val="9"/>
            <color indexed="81"/>
            <rFont val="Tahoma"/>
            <family val="2"/>
            <charset val="186"/>
          </rPr>
          <t xml:space="preserve">
Iškeliama į 5PO - 2020-12-10</t>
        </r>
      </text>
    </comment>
    <comment ref="I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authors>
    <author>Autorius</author>
  </authors>
  <commentList>
    <comment ref="C13" authorId="0">
      <text>
        <r>
          <rPr>
            <b/>
            <sz val="9"/>
            <color indexed="81"/>
            <rFont val="Tahoma"/>
            <family val="2"/>
            <charset val="186"/>
          </rPr>
          <t>Autorius:</t>
        </r>
        <r>
          <rPr>
            <sz val="9"/>
            <color indexed="81"/>
            <rFont val="Tahoma"/>
            <family val="2"/>
            <charset val="186"/>
          </rPr>
          <t xml:space="preserve">
išskirkit kiekvienam intervencijos kodui</t>
        </r>
      </text>
    </comment>
    <comment ref="C23" authorId="0">
      <text>
        <r>
          <rPr>
            <b/>
            <sz val="9"/>
            <color indexed="81"/>
            <rFont val="Tahoma"/>
            <family val="2"/>
            <charset val="186"/>
          </rPr>
          <t>Autorius:</t>
        </r>
        <r>
          <rPr>
            <sz val="9"/>
            <color indexed="81"/>
            <rFont val="Tahoma"/>
            <family val="2"/>
            <charset val="186"/>
          </rPr>
          <t xml:space="preserve">
išskirkit kiekvienam intervencijos kodui</t>
        </r>
      </text>
    </comment>
    <comment ref="D23" authorId="0">
      <text>
        <r>
          <rPr>
            <b/>
            <sz val="9"/>
            <color indexed="81"/>
            <rFont val="Tahoma"/>
            <family val="2"/>
            <charset val="186"/>
          </rPr>
          <t>Autorius:</t>
        </r>
        <r>
          <rPr>
            <sz val="9"/>
            <color indexed="81"/>
            <rFont val="Tahoma"/>
            <family val="2"/>
            <charset val="186"/>
          </rPr>
          <t xml:space="preserve">
EK siūlo tik 2.1 uždaviniui</t>
        </r>
      </text>
    </comment>
    <comment ref="C35" authorId="0">
      <text>
        <r>
          <rPr>
            <b/>
            <sz val="9"/>
            <color indexed="81"/>
            <rFont val="Tahoma"/>
            <family val="2"/>
            <charset val="186"/>
          </rPr>
          <t>Autorius:</t>
        </r>
        <r>
          <rPr>
            <sz val="9"/>
            <color indexed="81"/>
            <rFont val="Tahoma"/>
            <family val="2"/>
            <charset val="186"/>
          </rPr>
          <t xml:space="preserve">
išskirkit kiekvienam intervencijos kodui</t>
        </r>
      </text>
    </comment>
    <comment ref="D41" authorId="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text>
        <r>
          <rPr>
            <b/>
            <sz val="9"/>
            <color indexed="81"/>
            <rFont val="Tahoma"/>
            <family val="2"/>
            <charset val="186"/>
          </rPr>
          <t>Autorius:</t>
        </r>
        <r>
          <rPr>
            <sz val="9"/>
            <color indexed="81"/>
            <rFont val="Tahoma"/>
            <family val="2"/>
            <charset val="186"/>
          </rPr>
          <t xml:space="preserve">
n/a produkto rodikliams</t>
        </r>
      </text>
    </comment>
    <comment ref="I42" authorId="0">
      <text>
        <r>
          <rPr>
            <b/>
            <sz val="9"/>
            <color indexed="81"/>
            <rFont val="Tahoma"/>
            <family val="2"/>
            <charset val="186"/>
          </rPr>
          <t>Autorius:</t>
        </r>
        <r>
          <rPr>
            <sz val="9"/>
            <color indexed="81"/>
            <rFont val="Tahoma"/>
            <family val="2"/>
            <charset val="186"/>
          </rPr>
          <t xml:space="preserve">
angliskai</t>
        </r>
      </text>
    </comment>
    <comment ref="J43" authorId="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text>
        <r>
          <rPr>
            <b/>
            <sz val="9"/>
            <color indexed="81"/>
            <rFont val="Tahoma"/>
            <family val="2"/>
            <charset val="186"/>
          </rPr>
          <t>Autorius:</t>
        </r>
        <r>
          <rPr>
            <sz val="9"/>
            <color indexed="81"/>
            <rFont val="Tahoma"/>
            <family val="2"/>
            <charset val="186"/>
          </rPr>
          <t xml:space="preserve">
angliskai</t>
        </r>
      </text>
    </comment>
    <comment ref="D45" authorId="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text>
        <r>
          <rPr>
            <b/>
            <sz val="9"/>
            <color indexed="81"/>
            <rFont val="Tahoma"/>
            <family val="2"/>
            <charset val="186"/>
          </rPr>
          <t>Autorius:</t>
        </r>
        <r>
          <rPr>
            <sz val="9"/>
            <color indexed="81"/>
            <rFont val="Tahoma"/>
            <family val="2"/>
            <charset val="186"/>
          </rPr>
          <t xml:space="preserve">
angliskai</t>
        </r>
      </text>
    </comment>
    <comment ref="K45" authorId="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text>
        <r>
          <rPr>
            <b/>
            <sz val="9"/>
            <color indexed="81"/>
            <rFont val="Tahoma"/>
            <family val="2"/>
            <charset val="186"/>
          </rPr>
          <t>Autorius:</t>
        </r>
        <r>
          <rPr>
            <sz val="9"/>
            <color indexed="81"/>
            <rFont val="Tahoma"/>
            <family val="2"/>
            <charset val="186"/>
          </rPr>
          <t xml:space="preserve">
produkto?</t>
        </r>
      </text>
    </comment>
    <comment ref="I47" authorId="0">
      <text>
        <r>
          <rPr>
            <b/>
            <sz val="9"/>
            <color indexed="81"/>
            <rFont val="Tahoma"/>
            <family val="2"/>
            <charset val="186"/>
          </rPr>
          <t>Autorius:</t>
        </r>
        <r>
          <rPr>
            <sz val="9"/>
            <color indexed="81"/>
            <rFont val="Tahoma"/>
            <family val="2"/>
            <charset val="186"/>
          </rPr>
          <t xml:space="preserve">
angliskai</t>
        </r>
      </text>
    </comment>
    <comment ref="J47" authorId="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text>
        <r>
          <rPr>
            <b/>
            <sz val="9"/>
            <color indexed="81"/>
            <rFont val="Tahoma"/>
            <family val="2"/>
            <charset val="186"/>
          </rPr>
          <t>Autorius:</t>
        </r>
        <r>
          <rPr>
            <sz val="9"/>
            <color indexed="81"/>
            <rFont val="Tahoma"/>
            <family val="2"/>
            <charset val="186"/>
          </rPr>
          <t xml:space="preserve">
produkto?</t>
        </r>
      </text>
    </comment>
    <comment ref="C49" authorId="0">
      <text>
        <r>
          <rPr>
            <b/>
            <sz val="9"/>
            <color indexed="81"/>
            <rFont val="Tahoma"/>
            <family val="2"/>
            <charset val="186"/>
          </rPr>
          <t>Autorius:</t>
        </r>
        <r>
          <rPr>
            <sz val="9"/>
            <color indexed="81"/>
            <rFont val="Tahoma"/>
            <family val="2"/>
            <charset val="186"/>
          </rPr>
          <t xml:space="preserve">
išskirkit kiekvienam intervencijos kodui</t>
        </r>
      </text>
    </comment>
    <comment ref="D61" authorId="0">
      <text>
        <r>
          <rPr>
            <b/>
            <sz val="9"/>
            <color indexed="81"/>
            <rFont val="Tahoma"/>
            <family val="2"/>
            <charset val="186"/>
          </rPr>
          <t>Autorius:</t>
        </r>
        <r>
          <rPr>
            <sz val="9"/>
            <color indexed="81"/>
            <rFont val="Tahoma"/>
            <family val="2"/>
            <charset val="186"/>
          </rPr>
          <t xml:space="preserve">
EK siūlo naudoti 2.1 uzdavinyje</t>
        </r>
      </text>
    </comment>
    <comment ref="D65" authorId="0">
      <text>
        <r>
          <rPr>
            <b/>
            <sz val="9"/>
            <color indexed="81"/>
            <rFont val="Tahoma"/>
            <family val="2"/>
            <charset val="186"/>
          </rPr>
          <t>Autorius:</t>
        </r>
        <r>
          <rPr>
            <sz val="9"/>
            <color indexed="81"/>
            <rFont val="Tahoma"/>
            <family val="2"/>
            <charset val="186"/>
          </rPr>
          <t xml:space="preserve">
EK siūlo nadoti 2.3 uždavinyje</t>
        </r>
      </text>
    </comment>
    <comment ref="H65" authorId="0">
      <text>
        <r>
          <rPr>
            <b/>
            <sz val="9"/>
            <color indexed="81"/>
            <rFont val="Tahoma"/>
            <family val="2"/>
            <charset val="186"/>
          </rPr>
          <t>Autorius:</t>
        </r>
        <r>
          <rPr>
            <sz val="9"/>
            <color indexed="81"/>
            <rFont val="Tahoma"/>
            <family val="2"/>
            <charset val="186"/>
          </rPr>
          <t xml:space="preserve">
kuris produkto, kuris rezultato?</t>
        </r>
      </text>
    </comment>
    <comment ref="C67" authorId="0">
      <text>
        <r>
          <rPr>
            <b/>
            <sz val="9"/>
            <color indexed="81"/>
            <rFont val="Tahoma"/>
            <family val="2"/>
            <charset val="186"/>
          </rPr>
          <t>Autorius:</t>
        </r>
        <r>
          <rPr>
            <sz val="9"/>
            <color indexed="81"/>
            <rFont val="Tahoma"/>
            <family val="2"/>
            <charset val="186"/>
          </rPr>
          <t xml:space="preserve">
SM</t>
        </r>
      </text>
    </comment>
    <comment ref="C68" authorId="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E7" authorId="0">
      <text>
        <r>
          <rPr>
            <b/>
            <sz val="9"/>
            <color indexed="81"/>
            <rFont val="Tahoma"/>
            <family val="2"/>
            <charset val="186"/>
          </rPr>
          <t>Autorius:</t>
        </r>
        <r>
          <rPr>
            <sz val="9"/>
            <color indexed="81"/>
            <rFont val="Tahoma"/>
            <family val="2"/>
            <charset val="186"/>
          </rPr>
          <t xml:space="preserve">
Jus paskaiciavote 70, as randu, kad 85 proc.</t>
        </r>
      </text>
    </comment>
    <comment ref="I7" authorId="0">
      <text>
        <r>
          <rPr>
            <b/>
            <sz val="9"/>
            <color indexed="81"/>
            <rFont val="Tahoma"/>
            <family val="2"/>
            <charset val="186"/>
          </rPr>
          <t>Autorius:</t>
        </r>
        <r>
          <rPr>
            <sz val="9"/>
            <color indexed="81"/>
            <rFont val="Tahoma"/>
            <family val="2"/>
            <charset val="186"/>
          </rPr>
          <t xml:space="preserve">
angliskai</t>
        </r>
      </text>
    </comment>
    <comment ref="L7" authorId="0">
      <text>
        <r>
          <rPr>
            <b/>
            <sz val="9"/>
            <color indexed="81"/>
            <rFont val="Tahoma"/>
            <family val="2"/>
            <charset val="186"/>
          </rPr>
          <t>Autorius:</t>
        </r>
        <r>
          <rPr>
            <sz val="9"/>
            <color indexed="81"/>
            <rFont val="Tahoma"/>
            <family val="2"/>
            <charset val="186"/>
          </rPr>
          <t xml:space="preserve">
angliskai</t>
        </r>
      </text>
    </comment>
    <comment ref="O7" authorId="0">
      <text>
        <r>
          <rPr>
            <b/>
            <sz val="9"/>
            <color indexed="81"/>
            <rFont val="Tahoma"/>
            <family val="2"/>
            <charset val="186"/>
          </rPr>
          <t>Autorius:</t>
        </r>
        <r>
          <rPr>
            <sz val="9"/>
            <color indexed="81"/>
            <rFont val="Tahoma"/>
            <family val="2"/>
            <charset val="186"/>
          </rPr>
          <t xml:space="preserve">
n/a rezultato rodikliui</t>
        </r>
      </text>
    </comment>
    <comment ref="H8" authorId="0">
      <text>
        <r>
          <rPr>
            <b/>
            <sz val="9"/>
            <color indexed="81"/>
            <rFont val="Tahoma"/>
            <family val="2"/>
            <charset val="186"/>
          </rPr>
          <t>Autorius:</t>
        </r>
        <r>
          <rPr>
            <sz val="9"/>
            <color indexed="81"/>
            <rFont val="Tahoma"/>
            <family val="2"/>
            <charset val="186"/>
          </rPr>
          <t xml:space="preserve">
produkto?</t>
        </r>
      </text>
    </comment>
    <comment ref="N8" authorId="0">
      <text>
        <r>
          <rPr>
            <b/>
            <sz val="9"/>
            <color indexed="81"/>
            <rFont val="Tahoma"/>
            <family val="2"/>
            <charset val="186"/>
          </rPr>
          <t>Autorius:</t>
        </r>
        <r>
          <rPr>
            <sz val="9"/>
            <color indexed="81"/>
            <rFont val="Tahoma"/>
            <family val="2"/>
            <charset val="186"/>
          </rPr>
          <t xml:space="preserve">
n/a produkto rodikliui</t>
        </r>
      </text>
    </comment>
    <comment ref="H9" authorId="0">
      <text>
        <r>
          <rPr>
            <b/>
            <sz val="9"/>
            <color indexed="81"/>
            <rFont val="Tahoma"/>
            <family val="2"/>
            <charset val="186"/>
          </rPr>
          <t>Autorius:</t>
        </r>
        <r>
          <rPr>
            <sz val="9"/>
            <color indexed="81"/>
            <rFont val="Tahoma"/>
            <family val="2"/>
            <charset val="186"/>
          </rPr>
          <t xml:space="preserve">
produkto?</t>
        </r>
      </text>
    </comment>
    <comment ref="N9" authorId="0">
      <text>
        <r>
          <rPr>
            <b/>
            <sz val="9"/>
            <color indexed="81"/>
            <rFont val="Tahoma"/>
            <family val="2"/>
            <charset val="186"/>
          </rPr>
          <t>Autorius:</t>
        </r>
        <r>
          <rPr>
            <sz val="9"/>
            <color indexed="81"/>
            <rFont val="Tahoma"/>
            <family val="2"/>
            <charset val="186"/>
          </rPr>
          <t xml:space="preserve">
n/a produkto rodikliui</t>
        </r>
      </text>
    </comment>
    <comment ref="E10" authorId="0">
      <text>
        <r>
          <rPr>
            <b/>
            <sz val="9"/>
            <color indexed="81"/>
            <rFont val="Tahoma"/>
            <family val="2"/>
            <charset val="186"/>
          </rPr>
          <t>Autorius:</t>
        </r>
        <r>
          <rPr>
            <sz val="9"/>
            <color indexed="81"/>
            <rFont val="Tahoma"/>
            <family val="2"/>
            <charset val="186"/>
          </rPr>
          <t xml:space="preserve">
Jus paskaiciavote 70, as randu, kad 85 proc.</t>
        </r>
      </text>
    </comment>
    <comment ref="I10" authorId="0">
      <text>
        <r>
          <rPr>
            <b/>
            <sz val="9"/>
            <color indexed="81"/>
            <rFont val="Tahoma"/>
            <family val="2"/>
            <charset val="186"/>
          </rPr>
          <t>Autorius:</t>
        </r>
        <r>
          <rPr>
            <sz val="9"/>
            <color indexed="81"/>
            <rFont val="Tahoma"/>
            <family val="2"/>
            <charset val="186"/>
          </rPr>
          <t xml:space="preserve">
angliskai</t>
        </r>
      </text>
    </comment>
    <comment ref="L10" authorId="0">
      <text>
        <r>
          <rPr>
            <b/>
            <sz val="9"/>
            <color indexed="81"/>
            <rFont val="Tahoma"/>
            <family val="2"/>
            <charset val="186"/>
          </rPr>
          <t>Autorius:</t>
        </r>
        <r>
          <rPr>
            <sz val="9"/>
            <color indexed="81"/>
            <rFont val="Tahoma"/>
            <family val="2"/>
            <charset val="186"/>
          </rPr>
          <t xml:space="preserve">
a ngliskai</t>
        </r>
      </text>
    </comment>
    <comment ref="N10" authorId="0">
      <text>
        <r>
          <rPr>
            <b/>
            <sz val="9"/>
            <color indexed="81"/>
            <rFont val="Tahoma"/>
            <family val="2"/>
            <charset val="186"/>
          </rPr>
          <t>Autorius:</t>
        </r>
        <r>
          <rPr>
            <sz val="9"/>
            <color indexed="81"/>
            <rFont val="Tahoma"/>
            <family val="2"/>
            <charset val="186"/>
          </rPr>
          <t xml:space="preserve">
n/a produkto rodikliams</t>
        </r>
      </text>
    </comment>
    <comment ref="I11" authorId="0">
      <text>
        <r>
          <rPr>
            <b/>
            <sz val="9"/>
            <color indexed="81"/>
            <rFont val="Tahoma"/>
            <family val="2"/>
            <charset val="186"/>
          </rPr>
          <t>Autorius:</t>
        </r>
        <r>
          <rPr>
            <sz val="9"/>
            <color indexed="81"/>
            <rFont val="Tahoma"/>
            <family val="2"/>
            <charset val="186"/>
          </rPr>
          <t xml:space="preserve">
angliskai</t>
        </r>
      </text>
    </comment>
    <comment ref="L11" authorId="0">
      <text>
        <r>
          <rPr>
            <b/>
            <sz val="9"/>
            <color indexed="81"/>
            <rFont val="Tahoma"/>
            <family val="2"/>
            <charset val="186"/>
          </rPr>
          <t>Autorius:</t>
        </r>
        <r>
          <rPr>
            <sz val="9"/>
            <color indexed="81"/>
            <rFont val="Tahoma"/>
            <family val="2"/>
            <charset val="186"/>
          </rPr>
          <t xml:space="preserve">
angliskai</t>
        </r>
      </text>
    </comment>
    <comment ref="I12" authorId="0">
      <text>
        <r>
          <rPr>
            <b/>
            <sz val="9"/>
            <color indexed="81"/>
            <rFont val="Tahoma"/>
            <family val="2"/>
            <charset val="186"/>
          </rPr>
          <t>Autorius:</t>
        </r>
        <r>
          <rPr>
            <sz val="9"/>
            <color indexed="81"/>
            <rFont val="Tahoma"/>
            <family val="2"/>
            <charset val="186"/>
          </rPr>
          <t xml:space="preserve">
angliskai</t>
        </r>
      </text>
    </comment>
    <comment ref="L12" authorId="0">
      <text>
        <r>
          <rPr>
            <b/>
            <sz val="9"/>
            <color indexed="81"/>
            <rFont val="Tahoma"/>
            <family val="2"/>
            <charset val="186"/>
          </rPr>
          <t>Autorius:</t>
        </r>
        <r>
          <rPr>
            <sz val="9"/>
            <color indexed="81"/>
            <rFont val="Tahoma"/>
            <family val="2"/>
            <charset val="186"/>
          </rPr>
          <t xml:space="preserve">
users</t>
        </r>
      </text>
    </comment>
    <comment ref="C13"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text>
        <r>
          <rPr>
            <b/>
            <sz val="9"/>
            <color indexed="81"/>
            <rFont val="Tahoma"/>
            <family val="2"/>
            <charset val="186"/>
          </rPr>
          <t>Autorius:</t>
        </r>
        <r>
          <rPr>
            <sz val="9"/>
            <color indexed="81"/>
            <rFont val="Tahoma"/>
            <family val="2"/>
            <charset val="186"/>
          </rPr>
          <t xml:space="preserve">
VVL</t>
        </r>
      </text>
    </comment>
    <comment ref="C17" authorId="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authors>
    <author>Autorius</author>
  </authors>
  <commentList>
    <comment ref="A6" authorId="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text>
        <r>
          <rPr>
            <b/>
            <sz val="9"/>
            <color indexed="81"/>
            <rFont val="Tahoma"/>
            <family val="2"/>
            <charset val="186"/>
          </rPr>
          <t>Autorius:</t>
        </r>
        <r>
          <rPr>
            <sz val="9"/>
            <color indexed="81"/>
            <rFont val="Tahoma"/>
            <family val="2"/>
            <charset val="186"/>
          </rPr>
          <t xml:space="preserve">
angliskai idekit</t>
        </r>
      </text>
    </comment>
    <comment ref="N6" authorId="0">
      <text>
        <r>
          <rPr>
            <b/>
            <sz val="9"/>
            <color indexed="81"/>
            <rFont val="Tahoma"/>
            <family val="2"/>
            <charset val="186"/>
          </rPr>
          <t>Autorius:</t>
        </r>
        <r>
          <rPr>
            <sz val="9"/>
            <color indexed="81"/>
            <rFont val="Tahoma"/>
            <family val="2"/>
            <charset val="186"/>
          </rPr>
          <t xml:space="preserve">
produkto rodikliams n/a</t>
        </r>
      </text>
    </comment>
    <comment ref="I7" authorId="0">
      <text>
        <r>
          <rPr>
            <b/>
            <sz val="9"/>
            <color indexed="81"/>
            <rFont val="Tahoma"/>
            <family val="2"/>
            <charset val="186"/>
          </rPr>
          <t>Autorius:</t>
        </r>
        <r>
          <rPr>
            <sz val="9"/>
            <color indexed="81"/>
            <rFont val="Tahoma"/>
            <family val="2"/>
            <charset val="186"/>
          </rPr>
          <t xml:space="preserve">
angliskai idekite</t>
        </r>
      </text>
    </comment>
    <comment ref="N7" authorId="0">
      <text>
        <r>
          <rPr>
            <b/>
            <sz val="9"/>
            <color indexed="81"/>
            <rFont val="Tahoma"/>
            <family val="2"/>
            <charset val="186"/>
          </rPr>
          <t>Autorius:</t>
        </r>
        <r>
          <rPr>
            <sz val="9"/>
            <color indexed="81"/>
            <rFont val="Tahoma"/>
            <family val="2"/>
            <charset val="186"/>
          </rPr>
          <t xml:space="preserve">
n/a</t>
        </r>
      </text>
    </comment>
    <comment ref="I8" authorId="0">
      <text>
        <r>
          <rPr>
            <b/>
            <sz val="9"/>
            <color indexed="81"/>
            <rFont val="Tahoma"/>
            <family val="2"/>
            <charset val="186"/>
          </rPr>
          <t>Autorius:</t>
        </r>
        <r>
          <rPr>
            <sz val="9"/>
            <color indexed="81"/>
            <rFont val="Tahoma"/>
            <family val="2"/>
            <charset val="186"/>
          </rPr>
          <t xml:space="preserve">
angliskai idekite</t>
        </r>
      </text>
    </comment>
    <comment ref="O8" authorId="0">
      <text>
        <r>
          <rPr>
            <b/>
            <sz val="9"/>
            <color indexed="81"/>
            <rFont val="Tahoma"/>
            <family val="2"/>
            <charset val="186"/>
          </rPr>
          <t>Autorius:</t>
        </r>
        <r>
          <rPr>
            <sz val="9"/>
            <color indexed="81"/>
            <rFont val="Tahoma"/>
            <family val="2"/>
            <charset val="186"/>
          </rPr>
          <t xml:space="preserve">
rezultato rodikliams n/a (ziureti fishes)</t>
        </r>
      </text>
    </comment>
    <comment ref="P8" authorId="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text>
        <r>
          <rPr>
            <b/>
            <sz val="9"/>
            <color indexed="81"/>
            <rFont val="Tahoma"/>
            <family val="2"/>
            <charset val="186"/>
          </rPr>
          <t>Autorius:</t>
        </r>
        <r>
          <rPr>
            <sz val="9"/>
            <color indexed="81"/>
            <rFont val="Tahoma"/>
            <family val="2"/>
            <charset val="186"/>
          </rPr>
          <t xml:space="preserve">
n/a</t>
        </r>
      </text>
    </comment>
    <comment ref="P9" authorId="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text>
        <r>
          <rPr>
            <b/>
            <sz val="9"/>
            <color indexed="81"/>
            <rFont val="Tahoma"/>
            <family val="2"/>
            <charset val="186"/>
          </rPr>
          <t>Autorius:</t>
        </r>
        <r>
          <rPr>
            <sz val="9"/>
            <color indexed="81"/>
            <rFont val="Tahoma"/>
            <family val="2"/>
            <charset val="186"/>
          </rPr>
          <t xml:space="preserve">
angliskai idekite</t>
        </r>
      </text>
    </comment>
    <comment ref="I16" authorId="0">
      <text>
        <r>
          <rPr>
            <b/>
            <sz val="9"/>
            <color indexed="81"/>
            <rFont val="Tahoma"/>
            <family val="2"/>
            <charset val="186"/>
          </rPr>
          <t>Autorius:</t>
        </r>
        <r>
          <rPr>
            <sz val="9"/>
            <color indexed="81"/>
            <rFont val="Tahoma"/>
            <family val="2"/>
            <charset val="186"/>
          </rPr>
          <t xml:space="preserve">
angliskai idekite</t>
        </r>
      </text>
    </comment>
    <comment ref="I20" authorId="0">
      <text>
        <r>
          <rPr>
            <b/>
            <sz val="9"/>
            <color indexed="81"/>
            <rFont val="Tahoma"/>
            <family val="2"/>
            <charset val="186"/>
          </rPr>
          <t>Autorius:</t>
        </r>
        <r>
          <rPr>
            <sz val="9"/>
            <color indexed="81"/>
            <rFont val="Tahoma"/>
            <family val="2"/>
            <charset val="186"/>
          </rPr>
          <t xml:space="preserve">
angliskai idekite</t>
        </r>
      </text>
    </comment>
    <comment ref="I24" authorId="0">
      <text>
        <r>
          <rPr>
            <b/>
            <sz val="9"/>
            <color indexed="81"/>
            <rFont val="Tahoma"/>
            <family val="2"/>
            <charset val="186"/>
          </rPr>
          <t>Autorius:</t>
        </r>
        <r>
          <rPr>
            <sz val="9"/>
            <color indexed="81"/>
            <rFont val="Tahoma"/>
            <family val="2"/>
            <charset val="186"/>
          </rPr>
          <t xml:space="preserve">
angliskai idekite</t>
        </r>
      </text>
    </comment>
    <comment ref="I28" authorId="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authors>
    <author>Autorius</author>
  </authors>
  <commentList>
    <comment ref="P7" authorId="0">
      <text>
        <r>
          <rPr>
            <b/>
            <sz val="9"/>
            <color indexed="81"/>
            <rFont val="Tahoma"/>
            <family val="2"/>
            <charset val="186"/>
          </rPr>
          <t>Autorius:</t>
        </r>
        <r>
          <rPr>
            <sz val="9"/>
            <color indexed="81"/>
            <rFont val="Tahoma"/>
            <family val="2"/>
            <charset val="186"/>
          </rPr>
          <t xml:space="preserve">
0,01</t>
        </r>
      </text>
    </comment>
    <comment ref="P11" authorId="0">
      <text>
        <r>
          <rPr>
            <b/>
            <sz val="9"/>
            <color indexed="81"/>
            <rFont val="Tahoma"/>
            <family val="2"/>
            <charset val="186"/>
          </rPr>
          <t>Autorius:</t>
        </r>
        <r>
          <rPr>
            <sz val="9"/>
            <color indexed="81"/>
            <rFont val="Tahoma"/>
            <family val="2"/>
            <charset val="186"/>
          </rPr>
          <t xml:space="preserve">
0,01</t>
        </r>
      </text>
    </comment>
    <comment ref="P16" authorId="0">
      <text>
        <r>
          <rPr>
            <b/>
            <sz val="9"/>
            <color indexed="81"/>
            <rFont val="Tahoma"/>
            <family val="2"/>
            <charset val="186"/>
          </rPr>
          <t>Autorius:</t>
        </r>
        <r>
          <rPr>
            <sz val="9"/>
            <color indexed="81"/>
            <rFont val="Tahoma"/>
            <family val="2"/>
            <charset val="186"/>
          </rPr>
          <t xml:space="preserve">
0,01</t>
        </r>
      </text>
    </comment>
  </commentList>
</comments>
</file>

<file path=xl/comments6.xml><?xml version="1.0" encoding="utf-8"?>
<comments xmlns="http://schemas.openxmlformats.org/spreadsheetml/2006/main">
  <authors>
    <author>Autorius</author>
  </authors>
  <commentList>
    <comment ref="E6" authorId="0">
      <text>
        <r>
          <rPr>
            <b/>
            <sz val="9"/>
            <color indexed="81"/>
            <rFont val="Tahoma"/>
            <family val="2"/>
            <charset val="186"/>
          </rPr>
          <t>Autorius:</t>
        </r>
        <r>
          <rPr>
            <sz val="9"/>
            <color indexed="81"/>
            <rFont val="Tahoma"/>
            <family val="2"/>
            <charset val="186"/>
          </rPr>
          <t xml:space="preserve">
LT dalis</t>
        </r>
      </text>
    </comment>
    <comment ref="F6" authorId="0">
      <text>
        <r>
          <rPr>
            <b/>
            <sz val="9"/>
            <color indexed="81"/>
            <rFont val="Tahoma"/>
            <family val="2"/>
            <charset val="186"/>
          </rPr>
          <t>Autorius:</t>
        </r>
        <r>
          <rPr>
            <sz val="9"/>
            <color indexed="81"/>
            <rFont val="Tahoma"/>
            <family val="2"/>
            <charset val="186"/>
          </rPr>
          <t xml:space="preserve">
ES+LT</t>
        </r>
      </text>
    </comment>
    <comment ref="C7" authorId="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text>
        <r>
          <rPr>
            <b/>
            <sz val="9"/>
            <color indexed="81"/>
            <rFont val="Tahoma"/>
            <family val="2"/>
            <charset val="186"/>
          </rPr>
          <t>Autorius:</t>
        </r>
        <r>
          <rPr>
            <sz val="9"/>
            <color indexed="81"/>
            <rFont val="Tahoma"/>
            <family val="2"/>
            <charset val="186"/>
          </rPr>
          <t xml:space="preserve">
not required</t>
        </r>
      </text>
    </comment>
    <comment ref="C12" authorId="0">
      <text>
        <r>
          <rPr>
            <b/>
            <sz val="9"/>
            <color indexed="81"/>
            <rFont val="Tahoma"/>
            <family val="2"/>
            <charset val="186"/>
          </rPr>
          <t>Autorius:</t>
        </r>
        <r>
          <rPr>
            <sz val="9"/>
            <color indexed="81"/>
            <rFont val="Tahoma"/>
            <family val="2"/>
            <charset val="186"/>
          </rPr>
          <t xml:space="preserve">
VVL</t>
        </r>
      </text>
    </comment>
    <comment ref="C13" authorId="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<sst xmlns="http://schemas.openxmlformats.org/spreadsheetml/2006/main" count="1824" uniqueCount="489">
  <si>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</si>
  <si>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</si>
  <si>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</si>
  <si>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</si>
  <si>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</si>
  <si>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</si>
  <si>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</si>
  <si>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</si>
  <si>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</si>
  <si>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</si>
  <si>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</si>
  <si>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2.2. Skatinti naudoti atsinaujinančiąją energiją</t>
  </si>
  <si>
    <t>Konkretus uždavinys – 2.8. Skatinti darnų įvairiarūšį judumą miestuose</t>
  </si>
  <si>
    <t>Konkretus uždavinys – 3.1. Gerinti skaitmeninį junglumą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</si>
  <si>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</si>
  <si>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</si>
  <si>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</si>
  <si>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</si>
  <si>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</si>
  <si>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</si>
  <si>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</si>
  <si>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</si>
  <si>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km</t>
  </si>
  <si>
    <t>SaF</t>
  </si>
  <si>
    <t>Action</t>
  </si>
  <si>
    <t>Amount (EU+ national)(Eur.)</t>
  </si>
  <si>
    <t>Baseline</t>
  </si>
  <si>
    <t>value</t>
  </si>
  <si>
    <t>year</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</si>
  <si>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</si>
  <si>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</si>
  <si>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</si>
  <si>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</si>
  <si>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</si>
  <si>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</si>
  <si>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</si>
  <si>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</si>
  <si>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</si>
  <si>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</si>
  <si>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</si>
  <si>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</si>
  <si>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</si>
  <si>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</si>
  <si>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Midle-West Lithuania region</t>
  </si>
  <si>
    <t>Code</t>
  </si>
  <si>
    <t>Midle- west Lithuania region</t>
  </si>
  <si>
    <t>2021</t>
  </si>
  <si>
    <t>Value</t>
  </si>
  <si>
    <t>Year</t>
  </si>
  <si>
    <t xml:space="preserve">Target 2029 </t>
  </si>
  <si>
    <t>Visa Lietuva</t>
  </si>
  <si>
    <t>Name</t>
  </si>
  <si>
    <t>Specialusis produkto</t>
  </si>
  <si>
    <t>Projektai</t>
  </si>
  <si>
    <t>Projects</t>
  </si>
  <si>
    <t>&gt; 0</t>
  </si>
  <si>
    <t>MWh/metus</t>
  </si>
  <si>
    <t>RCR 29</t>
  </si>
  <si>
    <t>Apskaičiuotas šiltnamio efektą sukeliančių dujų emisijos kiekis</t>
  </si>
  <si>
    <t>Vidurio ir Vakarų Lietuvos regionas</t>
  </si>
  <si>
    <t>034 - efektyvi kogeneracija, centrinis šildymas ir vėsinimas</t>
  </si>
  <si>
    <t>nac.</t>
  </si>
  <si>
    <r>
      <t>&gt;</t>
    </r>
    <r>
      <rPr>
        <sz val="11"/>
        <color rgb="FFFF0000"/>
        <rFont val="Calibri"/>
        <family val="2"/>
        <charset val="186"/>
      </rPr>
      <t>=</t>
    </r>
    <r>
      <rPr>
        <sz val="11"/>
        <color rgb="FFFF0000"/>
        <rFont val="Calibri"/>
        <family val="2"/>
        <charset val="186"/>
        <scheme val="minor"/>
      </rPr>
      <t>0</t>
    </r>
  </si>
  <si>
    <t>2.2.1. Skatinti elektros energijos gamybą iš AEI ir energijos kaupimo sprendimų diegimą namų ūkiuose, įmonėse bei AEI bendrijose</t>
  </si>
  <si>
    <t>RCR 32</t>
  </si>
  <si>
    <t>Papildomai veikiantys AEI gamybos pajėgumai</t>
  </si>
  <si>
    <t>MW</t>
  </si>
  <si>
    <t>RCR 31</t>
  </si>
  <si>
    <t>RCO 22</t>
  </si>
  <si>
    <t>RCO 97</t>
  </si>
  <si>
    <t>Paramą gavusių AEI bendrijų skaičius</t>
  </si>
  <si>
    <r>
      <t>&gt;</t>
    </r>
    <r>
      <rPr>
        <sz val="11"/>
        <color rgb="FFFF0000"/>
        <rFont val="Calibri"/>
        <family val="2"/>
      </rPr>
      <t>=</t>
    </r>
    <r>
      <rPr>
        <sz val="11"/>
        <color rgb="FFFF0000"/>
        <rFont val="Calibri"/>
        <family val="2"/>
        <scheme val="minor"/>
      </rPr>
      <t>0</t>
    </r>
  </si>
  <si>
    <t>RCR29</t>
  </si>
  <si>
    <t>2.2.2. Skatinti šilumos energijos gamybą iš AEI namų ūkiuose,įmonėse.</t>
  </si>
  <si>
    <t>Iš viso pagaminta atsinaujinančios energijos (tame tarpe: elektros, šilumos)</t>
  </si>
  <si>
    <t>Papildomi AEI pajėgumai</t>
  </si>
  <si>
    <t>033 - Pažangios elektros energijos sistemos (įskaitant išmaniuosius tinklus ir IT sistemas) ir susijęs kaupimas</t>
  </si>
  <si>
    <t>Naujai nutiesti elektros perdavimo tinklai</t>
  </si>
  <si>
    <t>Naujai pastatytų perdavimo tinklo elementų skaičius</t>
  </si>
  <si>
    <t>vnt</t>
  </si>
  <si>
    <t>Tonos CO2 ekvivalentu per metus</t>
  </si>
  <si>
    <t>dwellings</t>
  </si>
  <si>
    <t>Estimated greenhouse emissions</t>
  </si>
  <si>
    <t>tons of CO2eq/year</t>
  </si>
  <si>
    <t>Whole Lithuania</t>
  </si>
  <si>
    <r>
      <t xml:space="preserve">028 - Atsinaujinanti energija - vėjas. </t>
    </r>
    <r>
      <rPr>
        <b/>
        <sz val="11"/>
        <color theme="1"/>
        <rFont val="Calibri"/>
        <family val="2"/>
        <charset val="186"/>
        <scheme val="minor"/>
      </rPr>
      <t>Renewable energy: wind</t>
    </r>
  </si>
  <si>
    <r>
      <t xml:space="preserve">029 - Atsinaujinanti energija - saulė. </t>
    </r>
    <r>
      <rPr>
        <b/>
        <sz val="11"/>
        <color theme="1"/>
        <rFont val="Calibri"/>
        <family val="2"/>
        <charset val="186"/>
        <scheme val="minor"/>
      </rPr>
      <t>Renewable energy: solar</t>
    </r>
  </si>
  <si>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</si>
  <si>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</si>
  <si>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</si>
  <si>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</si>
  <si>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</si>
  <si>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RCR32</t>
  </si>
  <si>
    <t>RCR31</t>
  </si>
  <si>
    <t>RCO22</t>
  </si>
  <si>
    <t>RCO97</t>
  </si>
  <si>
    <t>Additional production capacity for renewable energy (of which: electricity, thermal)</t>
  </si>
  <si>
    <t>Renewable energy communities supported</t>
  </si>
  <si>
    <t>renewable energy communities</t>
  </si>
  <si>
    <t>Total renewable energy produced (of which: electricity, thermal)</t>
  </si>
  <si>
    <t>MWh/year</t>
  </si>
  <si>
    <t>Additional operational capacity installed for renewable energy</t>
  </si>
  <si>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</si>
  <si>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</si>
  <si>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t>2.2.6. Didinti AEI panaudojimą šilumos ir vėsumos gamybai CŠT</t>
  </si>
  <si>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</si>
  <si>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</si>
  <si>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3.1.1. Plėtoti itin didelio pralaidumo plačiajuosčio ryšio tinklus</t>
  </si>
  <si>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</si>
  <si>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</si>
  <si>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2.2.3.Diegti degalų iš AEI gamybos infrastruktūrą, mažinant neigiamą transporto sektoriaus poveikį aplinkai ir klimatui</t>
  </si>
  <si>
    <r>
      <t xml:space="preserve">2.2.3. Diegti degalų iš AEI gamybos infrastruktūrą, mažinant neigiamą transporto sektoriaus poveikį aplinkai ir klimatui </t>
    </r>
    <r>
      <rPr>
        <b/>
        <sz val="11"/>
        <rFont val="Calibri"/>
        <family val="2"/>
        <charset val="186"/>
        <scheme val="minor"/>
      </rPr>
      <t>EM</t>
    </r>
  </si>
  <si>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</si>
  <si>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</si>
  <si>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2.2.7. Pažangios elektros energijos perdavimo infrastruktūros AEI integracijai plėtra</t>
  </si>
  <si>
    <t>Km</t>
  </si>
  <si>
    <t>RCR55</t>
  </si>
  <si>
    <t>RCR56</t>
  </si>
  <si>
    <t>Dedicated cycling infrastructure supported</t>
  </si>
  <si>
    <t>Annual users of dedicated cycling infrastructure</t>
  </si>
  <si>
    <t>-</t>
  </si>
  <si>
    <t>RCO58</t>
  </si>
  <si>
    <t>RCR64</t>
  </si>
  <si>
    <t>2020</t>
  </si>
  <si>
    <t>Bendrai</t>
  </si>
  <si>
    <t>Sostonės</t>
  </si>
  <si>
    <t>VVL</t>
  </si>
  <si>
    <t>bendrai</t>
  </si>
  <si>
    <t>BJRS</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</si>
  <si>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</si>
  <si>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</si>
  <si>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</si>
  <si>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Total allocation at action level (indicative)</t>
  </si>
  <si>
    <t>EU Amount (EUR)</t>
  </si>
  <si>
    <t>Viso</t>
  </si>
  <si>
    <t>EM+SM+ EIM</t>
  </si>
  <si>
    <t>2.2.3. Skatinti AEI diegimą pramonės MVĮ EIM</t>
  </si>
  <si>
    <t>077 Alternative fuels infrastructure</t>
  </si>
  <si>
    <t>RCO 59</t>
  </si>
  <si>
    <t>Įsigytos, pritaitkytos ir (ar) pagamintos) AEI naudojančios transporto priemonės</t>
  </si>
  <si>
    <t>Skaičius</t>
  </si>
  <si>
    <t>RCO59</t>
  </si>
  <si>
    <t>Įgyvendintos darnaus judumo priemones</t>
  </si>
  <si>
    <t>Įdiegtos intelektinės transporto sistemos</t>
  </si>
  <si>
    <t xml:space="preserve">68             </t>
  </si>
  <si>
    <t>Rodiklis</t>
  </si>
  <si>
    <t xml:space="preserve">Rodiklio pradinė </t>
  </si>
  <si>
    <t>Duomenų šaltinis</t>
  </si>
  <si>
    <t>Rodiklio siektinų reikšmų apskaičiavimo metodika</t>
  </si>
  <si>
    <t>Finansinė proporcija (EU+ nacionalinis)(Eur.)</t>
  </si>
  <si>
    <t>reikšmė</t>
  </si>
  <si>
    <t>metai</t>
  </si>
  <si>
    <t>RCO57</t>
  </si>
  <si>
    <t>RCR62</t>
  </si>
  <si>
    <t>Users/Year</t>
  </si>
  <si>
    <t>1</t>
  </si>
  <si>
    <t>intermodal connections</t>
  </si>
  <si>
    <r>
      <rPr>
        <b/>
        <sz val="11"/>
        <color theme="1"/>
        <rFont val="Calibri"/>
        <family val="2"/>
        <charset val="186"/>
        <scheme val="minor"/>
      </rPr>
      <t xml:space="preserve">073 </t>
    </r>
    <r>
      <rPr>
        <sz val="11"/>
        <color theme="1"/>
        <rFont val="Calibri"/>
        <family val="2"/>
        <scheme val="minor"/>
      </rPr>
      <t>Clean urban transport infrastructure</t>
    </r>
  </si>
  <si>
    <r>
      <rPr>
        <b/>
        <sz val="11"/>
        <color theme="1"/>
        <rFont val="Calibri"/>
        <family val="2"/>
        <charset val="186"/>
        <scheme val="minor"/>
      </rPr>
      <t>074</t>
    </r>
    <r>
      <rPr>
        <sz val="11"/>
        <color theme="1"/>
        <rFont val="Calibri"/>
        <family val="2"/>
        <scheme val="minor"/>
      </rPr>
      <t xml:space="preserve"> Clean urban transport rolling stock</t>
    </r>
  </si>
  <si>
    <t>RCO41</t>
  </si>
  <si>
    <t>RCO42</t>
  </si>
  <si>
    <r>
      <rPr>
        <b/>
        <sz val="11"/>
        <color theme="1"/>
        <rFont val="Calibri"/>
        <family val="2"/>
        <scheme val="minor"/>
      </rPr>
      <t>051</t>
    </r>
    <r>
      <rPr>
        <sz val="11"/>
        <color theme="1"/>
        <rFont val="Calibri"/>
        <family val="2"/>
        <scheme val="minor"/>
      </rPr>
      <t xml:space="preserve"> ICT: Very High-Capacity broadband network (backbone/backhaul network)  </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</si>
  <si>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</si>
  <si>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</si>
  <si>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t>3.1</t>
  </si>
  <si>
    <t>3.2</t>
  </si>
  <si>
    <t>3.3</t>
  </si>
  <si>
    <t>RCR53</t>
  </si>
  <si>
    <t>RCR54</t>
  </si>
  <si>
    <t>RCO49</t>
  </si>
  <si>
    <t>RCO45</t>
  </si>
  <si>
    <t>RCO54</t>
  </si>
  <si>
    <t>road passenger-km/ year</t>
  </si>
  <si>
    <t>Additional dwellings with broadband access of very high capacity</t>
  </si>
  <si>
    <t>Additional enterprises with broadband access of very high capacity</t>
  </si>
  <si>
    <t>Dwellings with broadband subscriptions to a very high capacity network</t>
  </si>
  <si>
    <t>Enterprises with broadband subscriptions to a very high capacity network</t>
  </si>
  <si>
    <t>Capacity of environmentally friendly rolling stock for collective public transport</t>
  </si>
  <si>
    <t>Annual users of new or modernised public transport</t>
  </si>
  <si>
    <t>Users</t>
  </si>
  <si>
    <t>Passengers</t>
  </si>
  <si>
    <t>Tons of CO2eq/year</t>
  </si>
  <si>
    <t>9900</t>
  </si>
  <si>
    <t>Alternative fuels infrastructure (refuelling/ recharging points)</t>
  </si>
  <si>
    <t>refuelling/recharging points</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</si>
  <si>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</si>
  <si>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Data from railway service operators</t>
  </si>
  <si>
    <t>Rail tonne-connections/year</t>
  </si>
  <si>
    <t>VVT</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</si>
  <si>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</si>
  <si>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</si>
  <si>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</si>
  <si>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</si>
  <si>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</si>
  <si>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</si>
  <si>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</si>
  <si>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</si>
  <si>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</si>
  <si>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</si>
  <si>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</si>
  <si>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</si>
  <si>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</si>
  <si>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</si>
  <si>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</si>
  <si>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</si>
  <si>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</si>
  <si>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</si>
  <si>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</si>
  <si>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</si>
  <si>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</si>
  <si>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</si>
  <si>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</si>
  <si>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</si>
  <si>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</si>
  <si>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</si>
  <si>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</si>
  <si>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</si>
  <si>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</si>
  <si>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</si>
  <si>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</si>
  <si>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</si>
  <si>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</si>
  <si>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</si>
  <si>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</si>
  <si>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</si>
  <si>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</si>
  <si>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</si>
  <si>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</si>
  <si>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</si>
  <si>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</si>
  <si>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</si>
  <si>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</si>
  <si>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</si>
  <si>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</si>
  <si>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</si>
  <si>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</si>
  <si>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</si>
  <si>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</si>
  <si>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</si>
  <si>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</si>
  <si>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</si>
  <si>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</si>
  <si>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</si>
  <si>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</si>
  <si>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</si>
  <si>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</si>
  <si>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</si>
  <si>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</si>
  <si>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</si>
  <si>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</si>
  <si>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</si>
  <si>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</si>
  <si>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</si>
  <si>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</si>
  <si>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</si>
  <si>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</si>
  <si>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</si>
  <si>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</si>
  <si>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</si>
  <si>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</si>
  <si>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</si>
  <si>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</si>
  <si>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</si>
  <si>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</si>
  <si>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</si>
  <si>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</si>
  <si>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</si>
  <si>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</si>
  <si>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</si>
  <si>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</si>
  <si>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</si>
  <si>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t>2019</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</si>
  <si>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</si>
  <si>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</si>
  <si>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</si>
  <si>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</si>
  <si>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</si>
  <si>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</si>
  <si>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</si>
  <si>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</si>
  <si>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</si>
  <si>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</si>
  <si>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</si>
  <si>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</si>
  <si>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</si>
  <si>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</si>
  <si>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</si>
  <si>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r>
      <t>Įgyvendintos darnaus judumo priemones/</t>
    </r>
    <r>
      <rPr>
        <sz val="11"/>
        <color rgb="FFFF0000"/>
        <rFont val="Calibri"/>
        <family val="2"/>
        <charset val="186"/>
        <scheme val="minor"/>
      </rPr>
      <t xml:space="preserve"> Sustainable mobility measures implemented</t>
    </r>
  </si>
  <si>
    <r>
      <t>Įdiegtos intelektinės transporto sistemos/</t>
    </r>
    <r>
      <rPr>
        <sz val="11"/>
        <color rgb="FFFF0000"/>
        <rFont val="Calibri"/>
        <family val="2"/>
        <charset val="186"/>
        <scheme val="minor"/>
      </rPr>
      <t>Intelligent transport systems introduced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</si>
  <si>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</si>
  <si>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</si>
  <si>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</si>
  <si>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</si>
  <si>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</si>
  <si>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</si>
  <si>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</si>
  <si>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5 prioritetas</t>
  </si>
  <si>
    <r>
      <t>Statistikos departamentas/</t>
    </r>
    <r>
      <rPr>
        <sz val="11"/>
        <color rgb="FFFF0000"/>
        <rFont val="Calibri"/>
        <family val="2"/>
        <charset val="186"/>
        <scheme val="minor"/>
      </rPr>
      <t>Department of Statistics</t>
    </r>
  </si>
  <si>
    <t>CF</t>
  </si>
  <si>
    <t>number</t>
  </si>
  <si>
    <t>Number</t>
  </si>
  <si>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</si>
  <si>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</si>
  <si>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</si>
  <si>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</si>
  <si>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</si>
  <si>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Persons per year</t>
  </si>
  <si>
    <t>Rodiklių siektinos reikšmės bus nustatytos atlikus  ex-ante vertinimą.</t>
  </si>
  <si>
    <t>The target values will be known after ex-ante evaluation.</t>
  </si>
  <si>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</si>
  <si>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</si>
  <si>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</si>
  <si>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Plėtoti dviračių ir pėsčiųjų infrastruktūrą miestuose ir priemiesčiose, kurie neįgyvendina Darnaus judumo mieste planų</t>
  </si>
  <si>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</si>
  <si>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</si>
  <si>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</si>
  <si>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</si>
  <si>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</si>
  <si>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</si>
  <si>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</si>
  <si>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</si>
  <si>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</si>
  <si>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Planuojama, kad prisijungusių bus apie 80% įmonių, turėjusių prisijungimo taškus. Todėl RCR54=2400*0,8=1920.</t>
  </si>
  <si>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</si>
  <si>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</si>
  <si>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</si>
  <si>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</si>
  <si>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</si>
  <si>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</si>
  <si>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</si>
  <si>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</si>
  <si>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</si>
  <si>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</si>
  <si>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</si>
  <si>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</si>
  <si>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\Planuojama, kad prisijungusių bus apie 80% namų ūkių, turėjusių prisijungimo taškus. Todėl RCR53=9500*0,8=7600.</t>
  </si>
  <si>
    <t xml:space="preserve"> Planuojama, kad prisijungusių bus apie 80% įmonių, turėjusių prisijungimo taškus. Todėl RCR54=4750*0,8=3800.</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</si>
  <si>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</si>
  <si>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</si>
  <si>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</si>
  <si>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A Planuojama, kad prisijungusių bus apie 80% namų ūkių, turėjusių prisijungimo taškus. Todėl RCR53=4700*0,8=3760.</t>
  </si>
  <si>
    <t xml:space="preserve"> Planuojama, kad prisijungusių bus apie 80% įmonių, turėjusių prisijungimo taškus. Todėl RCR54=2300*0,8=1840.</t>
  </si>
  <si>
    <t>percent</t>
  </si>
  <si>
    <t xml:space="preserve"> n/a</t>
  </si>
  <si>
    <t>0,26</t>
  </si>
  <si>
    <t>Annual users of newly built, reconstructed, upgraded or modernised roads (naujai pastatytų, rekonstruotų, atnaujintų arba modernizuotų kelių naudotojų skaičius per metus)</t>
  </si>
  <si>
    <t>Time savings due to improved road infrastructures (dėl patobulintos kelių infrastruktūros sutaupytas laikas)</t>
  </si>
  <si>
    <t>New or modernised intermodal connections (naujos arba modernizuotos įvairiarūšės jungtys)</t>
  </si>
  <si>
    <t>3.1.3. Developing infrastructure for improving interoperability between different modes of transport (multimodal connections) (Plėtoti skirtingų transporto rūšių (daugiarūšio vežimo jungčių) sąveikos efektyvumą didinančią infrastruktūrą)</t>
  </si>
  <si>
    <t>Special result</t>
  </si>
  <si>
    <t>Length of roads reconstructed or modernised - TEN-T (rekonstruotų arba modernizuotų kelių ilgis – TEN-T)</t>
  </si>
  <si>
    <t>Estimated greenhouse emissions (numatomas išmetamas šiltnamio efektą sukeliančių dujų kiekis)</t>
  </si>
  <si>
    <t xml:space="preserve"> Implemented traffic safety improvement and environmental protection measures in railways (Įdiegtos saugų eismą gerinančios ir
aplinkosaugos priemonės
geležinkeliuose)</t>
  </si>
  <si>
    <t>Length of rail reconstructed or modernised - TENT-T (rekonstruotų arba modernizuotų geležinkelių ilgis – TEN-T)</t>
  </si>
  <si>
    <t>Annual users of newly built, reconstructed, upgraded or modernised roads ((naujai pastatytų, rekonstruotų, atnaujintų arba modernizuotų kelių naudotojų skaičius per metus)</t>
  </si>
  <si>
    <t>Indicator code</t>
  </si>
  <si>
    <t>Indicator name</t>
  </si>
  <si>
    <t>Indicator M.U.</t>
  </si>
  <si>
    <t>Indicator baseline value</t>
  </si>
  <si>
    <t>Indicator baseline year</t>
  </si>
  <si>
    <t xml:space="preserve">3.1.1. Improve and develop the rail infrastructure of the TEN-T network (Tobulinti ir plėtoti TEN-T tinklo geležinkelių infrastruktūrą) </t>
  </si>
  <si>
    <t>The target value of the result indicator is 69 percent. The value of the indicator is calculated assuming that the noise level will be reduced for all residents living and operating in the area exposed to railway noise, taking into account the possible change in the number of inhabitants (affected by railway noise) due to migration, deaths, births, etc. (~ 30%). The technical specifications of each technical project state: "In order to assess the quality and efficiency of the installation of noise abatement measures, the Contractor must carry out measurements of the noise level of railway transport. In accordance with construction technical regulation STR 1.05.01: 2017" Building permits. Elimination of Consequences of Unauthorized Construction: Elimination of Consequences of Construction According to an Illegally Issued Construction Permit ”(approved by Order No. D1-878 of the Minister of Environment of the Republic of Lithuania of 12 December 2016), a program of laboratory tests and noise measurements performed by certified or documents accredited for the relevant tests. Only then, the Construction Completion Commission, seeing that, according to the results specified in the protocol, the railway noise does not exceed the limit values ​​of HN 33: 2011, will allow the issuance of the construction completion act.</t>
  </si>
  <si>
    <t xml:space="preserve"> Number of TEN-T roads traffic fatalities (Žuvusiųjų  TEN-T tinklo keliuose skaičius)</t>
  </si>
  <si>
    <t>Number of fatalities and injuries at level crossings (Žuvusiųjų ir sužeistųjų geležinkelio pervažose skaičius)</t>
  </si>
  <si>
    <r>
      <t xml:space="preserve"> </t>
    </r>
    <r>
      <rPr>
        <b/>
        <sz val="11"/>
        <color theme="1"/>
        <rFont val="Calibri"/>
        <family val="2"/>
        <charset val="186"/>
        <scheme val="minor"/>
      </rPr>
      <t>094</t>
    </r>
    <r>
      <rPr>
        <sz val="11"/>
        <color theme="1"/>
        <rFont val="Calibri"/>
        <family val="2"/>
        <scheme val="minor"/>
      </rPr>
      <t xml:space="preserve"> Digitalisation of transport: road (Transporto skaitmeninimas: keliai)</t>
    </r>
  </si>
  <si>
    <r>
      <rPr>
        <b/>
        <sz val="11"/>
        <rFont val="Calibri"/>
        <family val="2"/>
        <charset val="186"/>
        <scheme val="minor"/>
      </rPr>
      <t>104</t>
    </r>
    <r>
      <rPr>
        <sz val="11"/>
        <rFont val="Calibri"/>
        <family val="2"/>
        <charset val="186"/>
        <scheme val="minor"/>
      </rPr>
      <t xml:space="preserve"> Digitalisation of transport: rail (Transporto skaitmeninimas: geležinkeliai)</t>
    </r>
  </si>
  <si>
    <r>
      <rPr>
        <b/>
        <sz val="11"/>
        <color theme="1"/>
        <rFont val="Calibri"/>
        <family val="2"/>
        <charset val="186"/>
        <scheme val="minor"/>
      </rPr>
      <t>108</t>
    </r>
    <r>
      <rPr>
        <sz val="11"/>
        <color theme="1"/>
        <rFont val="Calibri"/>
        <family val="2"/>
        <scheme val="minor"/>
      </rPr>
      <t xml:space="preserve"> Multimodal transport (TEN-T)(Daugiarūšis transportas (TEN-T)</t>
    </r>
  </si>
  <si>
    <r>
      <rPr>
        <b/>
        <sz val="11"/>
        <color theme="1"/>
        <rFont val="Calibri"/>
        <family val="2"/>
        <charset val="186"/>
        <scheme val="minor"/>
      </rPr>
      <t>100</t>
    </r>
    <r>
      <rPr>
        <b/>
        <sz val="11"/>
        <color rgb="FFFF0000"/>
        <rFont val="Calibri"/>
        <family val="2"/>
        <charset val="186"/>
        <scheme val="minor"/>
      </rPr>
      <t xml:space="preserve"> </t>
    </r>
    <r>
      <rPr>
        <sz val="11"/>
        <color theme="1"/>
        <rFont val="Calibri"/>
        <family val="2"/>
        <scheme val="minor"/>
      </rPr>
      <t>Reconstructed or modernised railways - TEN-T core network (Rekonstruoti ar modernizuoti geležinkeliai – TEN-T pagrindinis tinklas)</t>
    </r>
  </si>
  <si>
    <t>Ministry of transport</t>
  </si>
  <si>
    <t>Risks to society posed by rail transport (Geležinkelių transporto keliamas pavojus visuomenei)</t>
  </si>
  <si>
    <t>Number of deaths and serious injuries / train-kilometers (km) (žūčių ir sunkių sužalojimų skaičiaus (vnt.)/ traukinių nuvažiuoti kilometrai (km))</t>
  </si>
  <si>
    <t>MWR</t>
  </si>
  <si>
    <t>Row ID</t>
  </si>
  <si>
    <t>Field</t>
  </si>
  <si>
    <t>Indicator metadata</t>
  </si>
  <si>
    <t>Fund relevance</t>
  </si>
  <si>
    <t xml:space="preserve">CF </t>
  </si>
  <si>
    <t>P.S.</t>
  </si>
  <si>
    <t>Measurement unit</t>
  </si>
  <si>
    <t>Type of indicator</t>
  </si>
  <si>
    <t>output</t>
  </si>
  <si>
    <t>&gt;=0</t>
  </si>
  <si>
    <t>&gt;0</t>
  </si>
  <si>
    <t>Policy objective</t>
  </si>
  <si>
    <t>PO3 Connected Europe</t>
  </si>
  <si>
    <t>Specific objective</t>
  </si>
  <si>
    <t>RSO3.1 Sustainable TEN-T</t>
  </si>
  <si>
    <t>Definition and concepts</t>
  </si>
  <si>
    <t>The total number of Implemented traffic safety improvement and environmental protection measures in railways financed through supported projects.</t>
  </si>
  <si>
    <t>Railway safety means a set of technical and organizational measures for railway transport, protection of vehicle passengers, passengers, other road users and other persons, as well as railway infrastructure, rolling stock and protection of freight and luggage against railway accidents, railway traffic events, railway transport incidents and their consequences (source: Law on Railway Traffic Safety of the Republic of Lithuania).</t>
  </si>
  <si>
    <t>Environmental protection - protection of the environment from physical, chemical, biological and other negative effects or consequences arising from implementation plans and programs in the course of economic activities or use of natural resources (source: Law on Environmental Protection of the Republic of Lithuania).</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</si>
  <si>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</si>
  <si>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</si>
  <si>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</si>
  <si>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</si>
  <si>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</si>
  <si>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</si>
  <si>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</si>
  <si>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</si>
  <si>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</si>
  <si>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</si>
  <si>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Implemented traffic safety improvement and environmental protection measures in railways (Įdiegtos saugų eismą gerinančios ir
aplinkosaugos priemonės
geležinkeliuose)</t>
  </si>
  <si>
    <t>R.S.</t>
  </si>
  <si>
    <t>result</t>
  </si>
  <si>
    <t>not required</t>
  </si>
  <si>
    <t>Deaths and injuries - people killed and injured in a traffic accident.</t>
  </si>
  <si>
    <t>"Level crossing accident" means a railway traffic accident at a level crossing where the collision of rolling stock with vehicles crossing the level crossing or objects at the level crossing kills or injures people, damages at least one vehicle, freight or any other property at the level crossing.</t>
  </si>
  <si>
    <t>Crossing - a place of intersection of a railway track with a motorway on one level (source: Railway Transport Code of the Republic of Lithuania).</t>
  </si>
  <si>
    <t>Safety report of AB LTG Infra</t>
  </si>
  <si>
    <t>One year after completion of output in the supported project.</t>
  </si>
  <si>
    <t>Forecast for selected projects and achieved values, both cumulative to date  (CPR Annex VII, Table 6).</t>
  </si>
  <si>
    <t>R.S</t>
  </si>
  <si>
    <t>Percent</t>
  </si>
  <si>
    <t>Noise - continuous or multiple repetitive noise incidents caused by vehicle (road, railway, aircraft) traffic (source: Order No. V-604 of the Minister of Health of the Republic of Lithuania of 13 June 2011 “On the Lithuanian Hygiene Standard HN 33: 2011 “Noise limit values ​​in residential and public buildings and their surroundings”).</t>
  </si>
  <si>
    <t>Noise prevention zone - an area of ​​residential areas where noise exceeds the limit values ​​and where it is necessary to implement noise prevention and reduction measures.</t>
  </si>
  <si>
    <t>Noise prevention - the implementation of measures to reduce the variety and / or number of noise sources, to prevent exceeding the noise limit values ​​and / or to reduce the sound pressure, power, intensity and energy levels of noise sources.</t>
  </si>
  <si>
    <t>Noise limit values ​​- maximum permissible noise limit values ​​according to the Lithuanian hygiene standard HN 33: 2011 “Noise limit values ​​in residential and public buildings and their surroundings” (source: Order No. V- of the Minister of Health of the Republic of Lithuania of 13 June 2011 604 “On the Approval of the Lithuanian Hygiene Standard HN 33: 2011“ Noise Limit Values ​​in Residential and Public Buildings and Their Environment ”).</t>
  </si>
  <si>
    <t>P.S</t>
  </si>
  <si>
    <t>Number of deaths and serious injuries / train-kilometers (km)</t>
  </si>
  <si>
    <t>The calculation of fatalities and weight-related injuries and the ratio of train-kilometres. Risks to society posed by rail transport is  a measure of the consequences of accidents, in which fatalities are counted together with serious injuries: one fatality is statistically equivalent to 1, one serious injury is statistically equivalent to 0.1 fatalities.</t>
  </si>
  <si>
    <t>Train-kilometer is a unit of measurement corresponding to one train-kilometer (taking into account only the distance traveled on the territory of the country).</t>
  </si>
  <si>
    <t>Serious injury is a long-term injury that requires inpatient treatment (but does not die during the period of death).</t>
  </si>
  <si>
    <t>A minor injury is an injury that does not necessarily require hospital treatment.</t>
  </si>
  <si>
    <t>The total number of traffic control systems installed in roads by supported projects.</t>
  </si>
  <si>
    <t>Traffic control system means systems installed on the roads of the TEN-T network, which will record the speed of car traffic, check violations - insurance, tech. inspection, road toll).</t>
  </si>
  <si>
    <t>Deceased is a person who died in a traffic accident.</t>
  </si>
  <si>
    <t>Traffic accident - an event on the road, in a public or private place, when the vehicle kills or injures people, damages or damages at least one vehicle, cargo, road, its structures or any other property on the scene (source: road law).</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</si>
  <si>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</si>
  <si>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TEN-T network - the European Union's network of transport, energy and telecommunications systems connecting all regions of the European Union and contributing to the growth of the internal market and employment, pursuing the objectives of environmental protection and sustainable development (source: Regulation (EU) No 1315 / 2013).</t>
  </si>
  <si>
    <t>Number of fatalities is calculated on all roads of the Lithuania TEN-T network per calendar year.</t>
  </si>
  <si>
    <t>Double counting should be removed at the level of the specific objective</t>
  </si>
  <si>
    <t xml:space="preserve">Total freight weight transported on intermodal connections newly constructed, and modernised financed through the supported projects. The achieved value is to be estimated ex-post over a period of one year after the completion of the intervention. The baseline value is determined from the annual reporting by infrastructure manager/operator. </t>
  </si>
  <si>
    <t xml:space="preserve">Intermodal connections (nodes) that facilitate the use of different means of transport for freight transport.  </t>
  </si>
  <si>
    <t>Annual reporting by infrastructure manager/operator.</t>
  </si>
  <si>
    <r>
      <t>The value of the indicator is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The baseline of the indicator is estimated as the</t>
    </r>
    <r>
      <rPr>
        <sz val="11"/>
        <color theme="1"/>
        <rFont val="Calibri"/>
        <family val="2"/>
        <charset val="186"/>
        <scheme val="minor"/>
      </rPr>
      <t xml:space="preserve"> n</t>
    </r>
    <r>
      <rPr>
        <sz val="10"/>
        <color theme="1"/>
        <rFont val="Calibri"/>
        <family val="2"/>
        <charset val="186"/>
        <scheme val="minor"/>
      </rPr>
      <t>umber of deaths and injuries at level crossings in the year before the intervention starts. The achieved value is estimated ex post as the number of deaths and injuries at level crossings for the year after the physical completion of the intervention.</t>
    </r>
  </si>
  <si>
    <t>Mid-West Region</t>
  </si>
  <si>
    <t>Annual reporting by Infrastructure Manager/ operator</t>
  </si>
  <si>
    <r>
      <rPr>
        <b/>
        <sz val="11"/>
        <color theme="1"/>
        <rFont val="Calibri"/>
        <family val="2"/>
        <charset val="186"/>
        <scheme val="minor"/>
      </rPr>
      <t>091</t>
    </r>
    <r>
      <rPr>
        <sz val="11"/>
        <color theme="1"/>
        <rFont val="Calibri"/>
        <family val="2"/>
        <scheme val="minor"/>
      </rPr>
      <t xml:space="preserve"> Reconstructed or modernised motorways and roads - </t>
    </r>
    <r>
      <rPr>
        <b/>
        <sz val="11"/>
        <color theme="1"/>
        <rFont val="Calibri"/>
        <family val="2"/>
        <scheme val="minor"/>
      </rPr>
      <t>TEN-T core network</t>
    </r>
    <r>
      <rPr>
        <sz val="11"/>
        <color theme="1"/>
        <rFont val="Calibri"/>
        <family val="2"/>
        <scheme val="minor"/>
      </rPr>
      <t xml:space="preserve"> (Rekonstruoti ar modernizuoti greitkeliai ir keliai – TEN-T pagrindinis tinklas)</t>
    </r>
  </si>
  <si>
    <r>
      <rPr>
        <b/>
        <sz val="11"/>
        <color theme="1"/>
        <rFont val="Calibri"/>
        <family val="2"/>
        <charset val="186"/>
        <scheme val="minor"/>
      </rPr>
      <t>092</t>
    </r>
    <r>
      <rPr>
        <sz val="11"/>
        <color theme="1"/>
        <rFont val="Calibri"/>
        <family val="2"/>
        <scheme val="minor"/>
      </rPr>
      <t xml:space="preserve"> Reconstructed or modernised motorways and roads - </t>
    </r>
    <r>
      <rPr>
        <b/>
        <sz val="11"/>
        <color theme="1"/>
        <rFont val="Calibri"/>
        <family val="2"/>
        <scheme val="minor"/>
      </rPr>
      <t xml:space="preserve">TEN-T comprehensive network </t>
    </r>
    <r>
      <rPr>
        <sz val="11"/>
        <color theme="1"/>
        <rFont val="Calibri"/>
        <family val="2"/>
        <scheme val="minor"/>
      </rPr>
      <t>(Rekonstruoti ar modernizuoti greitkeliai ir keliai – TEN-T visuotinis tinklas)</t>
    </r>
  </si>
  <si>
    <t>Rail tonne-connection/year</t>
  </si>
  <si>
    <t>Proportion of the population living and operating in noise prevention areas with reduced railway noise (Gyventojų, gyvenančių ir veikiančių triukšmo prevencijos zonose, dalis, kuriai sumažintas geležinkelių keliamas triukšmas)</t>
  </si>
  <si>
    <t>54</t>
  </si>
  <si>
    <t xml:space="preserve">The target value of the indicator in 2029 is 29.35 km, calculated as the planned reconstruction of  sections:  the Via Baltica road A5 Kaunas – Marijampolė – Suvalkai from 56.83 to 85.00 km (sections I – III) and the section A1 Vilnius – Kaunas – Klaipėda from 99.29 to 100.47 km (A. Meškinis middle bridges over the Neris and viaducts over Jonava str.). Project activities will include reconstruction (15.67 + 6.50 + 6.00 + 1.18 = 29.35 km). The required investments for the  reconstruction (~252 165 000 Eur) of these sections are determined according to the tariff of 1 km  (~  7 476 659 Eur, in 2016  prices) set in technical project of "Reconstruction of the section of the state highway A5 Kaunas - Marijampolė - Suwalki from 45.15 to 56.83 km into the AM category road".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In order to ensure the construction and reconstruction of the integrated section, in addition to the planned investments of the program (~170 053 528 Eur),  is planned  additional national budget  funds contribution( ~82 111 472 Eur). 
The target value for 2029 of the indicator is determined taking into account all the investments necessary for the implementation of the projects (252165000 /8591652=29,35).  It is  planned to complete the construction works in 2024, therefore he milestone value in 2024 will be 100 percent.
</t>
  </si>
  <si>
    <t>26</t>
  </si>
  <si>
    <t xml:space="preserve">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 113 trafic control systems in  57 roads in TEN-T network. These investments will directly contribute to improving road safety on the TEN-T road network.  Other program investment related to TEN-T roads modernisation ( 091 ir 092 intervention) also will contribute to improving road safety on TEN-T roads network. </t>
  </si>
  <si>
    <t>man-days/year</t>
  </si>
  <si>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85.00 km (sections I – III) and the section of the road Vilnius – Kaunas – Klaipėda from 99.29 to 100.47 km (A. Meškinis middle bridges over the Neris and viaducts over Jonava str.) passenger traffic growth (change) per year in the 29.35 km section:  (11380*15,67*1,85*365)+(10360*6,50*1,74*365)+(10360*6,00*1,74*365)+(23761*1,18*1,69*365)=219954364. 
The target value for 2029 of the indicator is determined taking into account the growth (change) of the road passenger traffic planned to be reconstructed per year in the section of 29.35 km: (11957 * 15.67 * 1.85 * 365) + (10884 * 6.50 * 1.74 * 365) + (10884 * 6.00 * 1.74 * 365) + (25069 * 1.18 * 1.69 * 365) = 231171674. The traffic flow forecast is based on forecasts prepared by the European Commission (source: https://ec.europa.eu/energy/sites/ener/files/documents/20160713%20draft_publication_REF2016_v13.pdf).</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</si>
  <si>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85.00 to 97.06 km (Section IV) in the 12.06 km section: (8706 * 8.10 * 1.74 * 365) + (10228 * 3.96 * 1.75 * 365) = 70657577.
The target value of the indicator in 2029 was determined taking into account the growth (change) of the passenger traffic of the road to be reconstructed per year in the 12.06 km section: (9146 * 8.10 * 1.74 * 365) + (10744 * 3.96 * 1.75 * 365) = 74226270. 
The traffic flow forecast is based on forecasts prepared by the European Commission (source: https://ec.europa.eu/energy/sites/ener/files/documents/20160713%20draft_publication_REF2016_v13.pdf)</t>
  </si>
  <si>
    <t xml:space="preserve">
man-days/year</t>
  </si>
  <si>
    <t>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 – Utena section from 21.50 to 52.18 km (2 sections) per year in the 30.68 km section: (6481 * 17.70 * 1 , 69 * 365) + (5851 * 12.98 * 1.72 * 365) = 118440032. 
The target value of the indicator in 2029 has been determined taking into account the growth (change) of the passenger traffic of the road to be reconstructed per year in the 30.68 km section: (6843 * 17.70 * 1.69 * 365) + (6176 * 12.98 * 1.72 * 365) = 125040811. 
The traffic flow forecast is based on forecasts prepared by the European Commission (source: https://ec.europa.eu/energy/sites/ener/files/documents/20160713%20draft_publication_REF2016_v13.pdf).</t>
  </si>
  <si>
    <t>The target value is calculated using the methodology proposed by Jaspers on 16/10/2020: [Saved Passenger-hours / year] =Σ nj=1 ( [Lengthj b / Speedj b] – [Lengthj f/a / Speedj f/a)] )* Occupancy * AADTj f/a * DAYS. 
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
The target value of the indicator in 2029 has been determined taking into account the change in the average speed of the road traffic planned to be reconstructed in the current and planned situation, the growth (change) of passenger traffic per year in the 30.68 km section: ((17.70 / 85.0-17.70 / 90.0) * 1.69 * 6843 * 365 + (12.98 / 85.0-12.98 / 90.0) * 1.72 * 6176 * 365) / 7.76 = 10532.
 The calculations estimate 2019. average working week in Lithuania - 38.8 hours =&gt; Day 1: 7.76 hours (source: https://stats.oecd.org/Index.aspx?DataSetCode=AVE_HRS)</t>
  </si>
  <si>
    <t>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t>
  </si>
  <si>
    <t xml:space="preserve"> Freight transport on intermodal connections (Krovinių vežimo intermodalinėmis jungtimis apimtys )</t>
  </si>
  <si>
    <t>According to  the assumptions of the modernized infrastructure  calculated in the LTG terminal development strategy 2019-2030,  freight transport will be 299 225  tonnes/year in 2029 after  modernization  of intermodal connection. The baseline value  in 2020 is determined from the annual reporting by infrastructure manager/operator  - 4802,25 tonnes / year.</t>
  </si>
  <si>
    <t xml:space="preserve"> Freight transport on intermodal connections (Krovinių vežimo intermodalinėmis jungtimis apimtys)</t>
  </si>
  <si>
    <t>Traffic control systems installed on roads (Įdiegtos eismo kontrolės sistemos keliuose)</t>
  </si>
  <si>
    <t>Policy objective - 3. A more connected Europe by enhancing mobility</t>
  </si>
  <si>
    <t>Infrastructure manager’s report</t>
  </si>
  <si>
    <t xml:space="preserve">3.1.2. Improve and develop the TEN-T road network (Tobulinti ir plėtoti TEN-T kelių tinklą) </t>
  </si>
  <si>
    <t>Installed or modernised digital
systems in railways (Įdiegtos ar modernizuotos skaitmeninės sistemos geležinkeliuose)</t>
  </si>
  <si>
    <t>Part of platforms adapted for people with individual needs (Peronų, pritaikytų  asmenims  turintiems individualių poreikių, dalis )</t>
  </si>
  <si>
    <t>3</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</si>
  <si>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29.35 km section: (15.67 / 82.91-15.67 / 106.04) * 1.85 * 11957 * 365 + (6.50 / 82.87-6.50 / 104.84) ​​* 1.74 * 10884 * 365 + (6.00 / 82.87-6, 00 / 104.84) ​​* 1.74 * 10884 * 365 + (1.18 / 86.0-1.18 / 108.0) * 1.69 * 25069 * 365) / 7.76 = 76620.
The calculations estimate the average working week in Lithuania in 2019 - 38.8 hours =&gt; 1 day: 7.76 hours (source: https://stats.oecd.org/Index.aspx?DataSetCode=AVE_HRS).</t>
  </si>
  <si>
    <t xml:space="preserve">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</si>
  <si>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 xml:space="preserve">
The value of the indicator has been determined taking into account the currently existing intermodal connection that would be upgraded during the project implementation. It is planned to modernize 1 intermodal connection in Kaunas terminal by installing the equipment and infrastructure required for combined cargo transportation. The required investments is 3 318 969,00  Eur - trailer park (~1 400 392 Eur,the price is determined in technical project prepared by "Kelprojektas" (2021)  equipment (loader - 500 000, saddle tractors 2*170 000 and crane 1 078 577) ~1 1 918 577 Eur. The equipment  investments (1 918 577 Eur) are determined after market survey  (2019) from comercial offers for purchase of terminal tractors, reach stackes and terminal cranes and indexed by estimating the price change until the planned purchase of equipment (in 2024). The change was based on the actual values ​​and forecasts of the harmonized price index published on the website of the Ministry of Finance (source: https://finmin.lrv.lt/lt/aktualus-valstybes-finansu-duomenys/ekonomines-raidos-scenarijus).
In order to ensure the implementation of whole project, in addition to the planned investments of the program (~2 733 268,24 Eur),  is planned  addition private contribution (~585 700,76 Eur).
The milestone for 2024 is not calculated because, the activities will be finished after 2024. </t>
  </si>
  <si>
    <t>Specific output</t>
  </si>
  <si>
    <t>Specific result</t>
  </si>
  <si>
    <t>The target value is calculated using the methodology proposed by Jaspers on 16/10/2020: [Saved Passenger-hours / year] =Σ nj=1 ( [Lengthj b / Speedj b] – [Lengthj f/a / Speedj f/a)] )* Occupancy * AADTj f/a * DAYS. 
The target value of the indicator  in 2029 is determined taking into account the change in the average speed of the road traffic planned for the newly built and partially reconstructed road in the current and planned situation, the growth (change) of passenger traffic per year in the 12.06 km section: ((8.10 / 76.60-8, 10 / 104.50) * 1.74 * 9146 * 365 + (3.96 / 75.83-3.96 / 84.53) * 1.75 * 10744 * 365) / 7.76 = 25886. The calculations estimate the average working week in Lithuania - 38.8 hours =&gt; 1 day: 7.76 hours (source: https://stats.oecd.org/Index.aspx?DataSetCode=AVE_HRS).</t>
  </si>
  <si>
    <t>Installed or modernised digital systems in railways (Įdiegtos ar modernizuotos skaitmeninės sistemos geležinkeliuose)</t>
  </si>
  <si>
    <t xml:space="preserve">Installed or modernised digital systems in railways means systems for monitoring equipment, controlling rolling stock, informing passengers, ensuring travel comfort, ensuring the safety of passengers and the needs of all target groups information to passengers, ensuring travel convenience, passenger safety and ensuring the needs of all target groups. </t>
  </si>
  <si>
    <t>Projects data</t>
  </si>
  <si>
    <t>Railway station - a complex of railway tracks, buildings, structures and equipment occupying a certain plot of land and intended for receiving, distributing, forming, passing and releasing trains, serving passengers, senders (recipients) of luggage and / or cargo.
A platform - a specially equipped area at a railway station next to a road for passengers to wait for an arriving train, to go to a wagon, to get in and out of a wagon.
Universal design - the creation of such an environment and products that they can be used by all people on the widest possible scale, without special application.</t>
  </si>
  <si>
    <t>A platform - a specially equipped area at a railway station next to a road for passengers to wait for an arriving train, to go to a wagon, to get in and out of a wagon.</t>
  </si>
  <si>
    <t xml:space="preserve">The indicator calculates the percentage of existing platforms that are adapted to people with individual needs.The achieved value is to be estimated upon after the completion of the intervention. The baseline value is determined from the annual reporting by infrastructure manager/operator. </t>
  </si>
  <si>
    <r>
      <t>The target value of the indicator in 2029 is 12.06 km, calculated as the length of the planned to reconstruct section of the Via Baltica road A5 Kaunas – Marijampolė – Suvalkai from 85.00 to 97.06 km (Section IV). Project activities will include new construction of infrastructure - 8.10 km and reconstruction of existing infrastructure - 3.96 km. The required investments for the construction and reconstruction (</t>
    </r>
    <r>
      <rPr>
        <sz val="11"/>
        <rFont val="Calibri"/>
        <family val="2"/>
      </rPr>
      <t>~</t>
    </r>
    <r>
      <rPr>
        <sz val="11"/>
        <rFont val="Calibri"/>
        <family val="2"/>
        <scheme val="minor"/>
      </rPr>
      <t xml:space="preserve">79 576 000 Eur) of this section  are determined according to the tariff of 1 km  (~ 5 512 301 Eur Eur, in 2015  prices) set in technical project ofReconstruction of the A5 Kaunas – Marijampolė – Suwałki section from 35.40 to 45.15 km into the AM road category.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of 1 km is  </t>
    </r>
    <r>
      <rPr>
        <sz val="11"/>
        <rFont val="Calibri"/>
        <family val="2"/>
      </rPr>
      <t>~</t>
    </r>
    <r>
      <rPr>
        <sz val="11"/>
        <rFont val="Calibri"/>
        <family val="2"/>
        <scheme val="minor"/>
      </rPr>
      <t xml:space="preserve">6 598 342 Eur.  The required  investments are calculated 6598342 *12,06≈79576000 Eur.
 In order to ensure the construction and reconstruction of the integrated section, in addition to the planned investments of the program (~48 053 340 Eur),  is planned  additional national budget  funds contribution (~31 522 660 Eur). 
The target value for 2029 of the indicator is determined taking into account all the investments necessary for the implementation of the projects (79576000/6598342=12,06).  It is  planned to complete the construction works in 2024, therefore he milestone value in 2024 will be 100 percent.
</t>
    </r>
  </si>
  <si>
    <r>
      <t xml:space="preserve">The target value of the indicator in 2029 is 30.68 km calculated as the length of the section of the road A14 Vilnius – Utena planned to be reconstructed from 21.50 to 52.18 km (2 sections). Project activities will include reconstruction (17.70 + 12.98 = 30.68 km). The required investments for the  reconstruction (~101 000 000 Eur) of this section are determined according to the tariff of 1 km  (~ 2 648 965 Eur, in 2014  prices) set in feasibility Study of  Development of the trans-European network road E67 (VIA BALTICA). 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t>
    </r>
    <r>
      <rPr>
        <sz val="11"/>
        <rFont val="Calibri"/>
        <family val="2"/>
      </rPr>
      <t>~</t>
    </r>
    <r>
      <rPr>
        <sz val="11"/>
        <rFont val="Calibri"/>
        <family val="2"/>
        <scheme val="minor"/>
      </rPr>
      <t xml:space="preserve">3 292 047 Eur. The required  investments are calculated 3292047 *30.68≈101000000 Eur.
 In order to ensure the reconstruction of the integrated sections, in addition to the planned investments of the program (~62 831 440 Eur),  is planned  additional national budget  funds contribution (~38 168 560 Eur). 
The target value for 2029 of the indicator is determined taking into account all the investments necessary for the implementation of the projects (101000000/3292047=30.68). The milestone value for  2024 will be 100 percent.
 </t>
    </r>
  </si>
  <si>
    <r>
      <t xml:space="preserve">
</t>
    </r>
    <r>
      <rPr>
        <sz val="11"/>
        <rFont val="Calibri"/>
        <family val="2"/>
        <scheme val="minor"/>
      </rPr>
      <t>man-days/year</t>
    </r>
  </si>
  <si>
    <r>
      <rPr>
        <b/>
        <sz val="11"/>
        <rFont val="Calibri"/>
        <family val="2"/>
        <scheme val="minor"/>
      </rPr>
      <t xml:space="preserve">101 </t>
    </r>
    <r>
      <rPr>
        <sz val="11"/>
        <rFont val="Calibri"/>
        <family val="2"/>
        <scheme val="minor"/>
      </rPr>
      <t>Reconstructed or modernised railways - TEN-T comprehensive network (Rekonstruoti ar modernizuoti geležinkeliai – TEN-T visuotinis tinklas)</t>
    </r>
  </si>
  <si>
    <r>
      <t>Currently AB "LTG Infra" have 134  stations on the rail network (55 - in TEN-T core network, 79 - in TEN-T comprehensive network) of Republic of Lithuania. According to evaluation of 2020, 17 (</t>
    </r>
    <r>
      <rPr>
        <u/>
        <sz val="11"/>
        <rFont val="Calibri"/>
        <family val="2"/>
        <scheme val="minor"/>
      </rPr>
      <t>10 - in TEN-T core network</t>
    </r>
    <r>
      <rPr>
        <sz val="11"/>
        <rFont val="Calibri"/>
        <family val="2"/>
        <scheme val="minor"/>
      </rPr>
      <t>, 7 - in TEN-T comprehensive network) stations of these stations have the access to the platforms and trains for people with special needs and disabilities. During implementation of  projects, additional in 2</t>
    </r>
    <r>
      <rPr>
        <u/>
        <sz val="11"/>
        <rFont val="Calibri"/>
        <family val="2"/>
        <scheme val="minor"/>
      </rPr>
      <t>6  stations (in TEN-T core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(10+26)*100/134≈26,9. The baseline value in 2020 is calculated 10*100/134≈7,5.</t>
    </r>
  </si>
  <si>
    <t xml:space="preserve">
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</si>
  <si>
    <r>
      <t xml:space="preserve"> It is planned  to reconstruct platforms in 44 TEN-T ( 26- in TEN-T core network, </t>
    </r>
    <r>
      <rPr>
        <u/>
        <sz val="11"/>
        <rFont val="Calibri"/>
        <family val="2"/>
        <scheme val="minor"/>
      </rPr>
      <t>18 - in TEN-T comprehensive network</t>
    </r>
    <r>
      <rPr>
        <sz val="11"/>
        <rFont val="Calibri"/>
        <family val="2"/>
        <scheme val="minor"/>
      </rPr>
      <t xml:space="preserve">) Lithuanian railway stations serving the largest passenger flows according to the principles of universal design. The required investments for the reconstruction of platforms ( </t>
    </r>
    <r>
      <rPr>
        <sz val="11"/>
        <rFont val="Calibri"/>
        <family val="2"/>
      </rPr>
      <t>17 590 000</t>
    </r>
    <r>
      <rPr>
        <sz val="11"/>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18*977272≈17 590 000 Eur. In order to ensure the of reconstruction paltforms in railway stations serving the largest passenger flows, in addition to the planned investments of the program (~17 194 073  Eur), it is planned  addition private contribution (~395 927 Eur). The milestone value is not calculated because the project is planned to start after 2024.</t>
    </r>
  </si>
  <si>
    <r>
      <t xml:space="preserve">Currently AB "LTG Infra" have 134  stations on the rail network (55 - in TEN-T core network, 79 - in TEN-T comprehensive network) of Republic of Lithuania. According to evaluation of 2020, 17 (10 - in TEN-T core network, </t>
    </r>
    <r>
      <rPr>
        <u/>
        <sz val="11"/>
        <rFont val="Calibri"/>
        <family val="2"/>
        <scheme val="minor"/>
      </rPr>
      <t>7 - in TEN-T comprehensive network</t>
    </r>
    <r>
      <rPr>
        <b/>
        <sz val="11"/>
        <rFont val="Calibri"/>
        <family val="2"/>
        <scheme val="minor"/>
      </rPr>
      <t>)</t>
    </r>
    <r>
      <rPr>
        <sz val="11"/>
        <rFont val="Calibri"/>
        <family val="2"/>
        <scheme val="minor"/>
      </rPr>
      <t xml:space="preserve"> stations of these stations have the access to the platforms and trains for people with special needs and disabilities. During implementation of  projects, additional in </t>
    </r>
    <r>
      <rPr>
        <u/>
        <sz val="11"/>
        <rFont val="Calibri"/>
        <family val="2"/>
        <scheme val="minor"/>
      </rPr>
      <t>18  stations (in TEN-T comprehensive network)</t>
    </r>
    <r>
      <rPr>
        <sz val="11"/>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(7+18)*100/134≈18,7. The baseline value in 2020 is calculated 7*100/134≈5,2.</t>
    </r>
  </si>
  <si>
    <t>Railway stations with reconstructed platforms using universal design principles (Geležinkelių stotys, kuriose peronai rekosntruoti taikant universalaus dizaino principus)</t>
  </si>
  <si>
    <t xml:space="preserve">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
</t>
  </si>
  <si>
    <r>
      <t xml:space="preserve">20,14 percent (~24 742 692 Eur) of intervension investments is allocated to this indicator. It is planned  to reconstruct platforms in 44 TEN-T ( </t>
    </r>
    <r>
      <rPr>
        <u/>
        <sz val="11"/>
        <rFont val="Calibri"/>
        <family val="2"/>
        <charset val="186"/>
        <scheme val="minor"/>
      </rPr>
      <t>26- in TEN-T core network</t>
    </r>
    <r>
      <rPr>
        <sz val="11"/>
        <rFont val="Calibri"/>
        <family val="2"/>
        <scheme val="minor"/>
      </rPr>
      <t>, 18 - in TEN-T comprehensive network) Lithuanian railway stations serving the largest passenger flows according to the principles of universal design. The required investments for the reconstruction of platforms ( 43 000 000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26*977 272≈25 410 000 Eur. In order to ensure the of reconstruction paltforms in railway stations serving the largest passenger flows, in addition to the planned investments of the program (~24 742 692 Eur), it is planned  addition private contribution (~667 308 Eur). The milestone value is not calculated because the project is planned to start after 2024.</t>
    </r>
  </si>
  <si>
    <t>Specific objective- 3.1 Developing a climate resilient, intelligent, secure, sustainable and intermodal TEN-T (Plėtoti klimato kaitai atsparų, pažangų, saugų, tvarų ir įvairiarūšį TEN-T)</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</si>
  <si>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It should be noted that the company aims for "0 deaths "by implementing various safety measures on the railway infrastructure.
Due to technical limitations, the target value  is 0,01 in system SFC2021. ​​</t>
  </si>
  <si>
    <t>3 installed or modernized digital systems wil ensure safety of the trafic, efective avaoidance of railway incidents and preventative control. The risk to society from rail transport is calculated as the number of deaths and serious injuries (4 deaths and 2 serious injuries in 2020 (estimated at 0.1)) and the number of kilometers traveled by trains (15.8176 million km in 2020). ratio, the estimate of which is compiled annually by AB LTG Infra.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</si>
  <si>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The walue of emissions is valued at 0 for tracks, that wil be modernized, considering, that al the traction power, curently in use, comes from renevable energy sources.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fully electric LTG Cargo and LTG LINK trains will run on the electrified section. From year 2020 AB „LTG Infra“ is purchasing electric energy for al company uses on the open market according to laws and regulation of Republic of Lithuania. During purchase procedure for electrical energy, conditions of tender stated, that no less than 10 percent of electrical energy should be produced from renewable sources.  In winning proposition 93 890 845 kWh of electrical energy, comprising al the electrical energy needs of AB “LTG Infra” and including electrical energy for all electrified rail traction is produced from renewable energy sources.
AB “LTG Infra” main priority is greening of transport system by promoting use of train transport as low emissions alternative and purchase of electrical energy, produced from renewable sources, is a way to achieve long term goals of green transport.
Considering these factors, after modernization greenhouse emisions wil be at 0. 
Due to technical limitations, the target value  is 0,01 in system SFC2021.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</si>
</sst>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000"/>
    <numFmt numFmtId="166" formatCode="#,##0.0000"/>
    <numFmt numFmtId="167" formatCode="#,##0.0000000"/>
    <numFmt numFmtId="168" formatCode="#,##0.00000"/>
    <numFmt numFmtId="169" formatCode="#,##0.000"/>
    <numFmt numFmtId="170" formatCode="0.0"/>
  </numFmts>
  <fonts count="75">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b/>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Calibri"/>
      <family val="2"/>
      <charset val="186"/>
      <scheme val="minor"/>
    </font>
    <font>
      <sz val="10"/>
      <color rgb="FF000000"/>
      <name val="Calibri"/>
      <family val="2"/>
      <charset val="186"/>
      <scheme val="minor"/>
    </font>
    <font>
      <sz val="10"/>
      <color theme="1"/>
      <name val="Calibri"/>
      <family val="2"/>
      <charset val="186"/>
      <scheme val="minor"/>
    </font>
    <font>
      <b/>
      <sz val="10"/>
      <color theme="1"/>
      <name val="Calibri"/>
      <family val="2"/>
      <charset val="186"/>
      <scheme val="minor"/>
    </font>
    <font>
      <strike/>
      <sz val="11"/>
      <name val="Calibri"/>
      <family val="2"/>
      <scheme val="minor"/>
    </font>
    <font>
      <u/>
      <sz val="11"/>
      <name val="Calibri"/>
      <family val="2"/>
      <scheme val="minor"/>
    </font>
    <font>
      <u/>
      <sz val="11"/>
      <name val="Calibri"/>
      <family val="2"/>
      <charset val="186"/>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s>
  <cellStyleXfs count="1">
    <xf numFmtId="0" fontId="0" fillId="0" borderId="0"/>
  </cellStyleXfs>
  <cellXfs count="1103">
    <xf numFmtId="0" fontId="0" fillId="0" borderId="0" xfId="0"/>
    <xf numFmtId="0" fontId="15" fillId="0" borderId="2" xfId="0" applyFont="1" applyBorder="1" applyAlignment="1">
      <alignment vertical="top" wrapText="1"/>
    </xf>
    <xf numFmtId="0" fontId="15" fillId="0" borderId="2" xfId="0" applyFont="1" applyBorder="1" applyAlignment="1">
      <alignment vertical="top"/>
    </xf>
    <xf numFmtId="0" fontId="0" fillId="0" borderId="1" xfId="0" applyBorder="1"/>
    <xf numFmtId="4" fontId="0" fillId="0" borderId="1" xfId="0" applyNumberFormat="1" applyBorder="1"/>
    <xf numFmtId="0" fontId="16" fillId="0" borderId="14" xfId="0" applyFont="1" applyBorder="1" applyAlignment="1">
      <alignment vertical="top" wrapText="1"/>
    </xf>
    <xf numFmtId="0" fontId="15" fillId="0" borderId="14" xfId="0" applyFont="1" applyBorder="1" applyAlignment="1">
      <alignment vertical="top" wrapText="1"/>
    </xf>
    <xf numFmtId="0" fontId="15" fillId="0" borderId="2" xfId="0" applyFont="1" applyBorder="1" applyAlignment="1">
      <alignment horizontal="center" vertical="center"/>
    </xf>
    <xf numFmtId="0" fontId="18" fillId="0" borderId="1" xfId="0" applyFont="1" applyBorder="1" applyAlignment="1">
      <alignment horizontal="center" vertical="center"/>
    </xf>
    <xf numFmtId="0" fontId="22" fillId="0" borderId="1" xfId="0" applyFont="1" applyBorder="1" applyAlignment="1">
      <alignment horizontal="center" vertical="center" wrapText="1"/>
    </xf>
    <xf numFmtId="0" fontId="15" fillId="0" borderId="0" xfId="0" applyFont="1"/>
    <xf numFmtId="49" fontId="0" fillId="0" borderId="0" xfId="0" applyNumberFormat="1"/>
    <xf numFmtId="0" fontId="0" fillId="0" borderId="1" xfId="0" applyFont="1" applyBorder="1" applyAlignment="1">
      <alignment vertical="top" wrapText="1"/>
    </xf>
    <xf numFmtId="0" fontId="0" fillId="0" borderId="1" xfId="0" applyFont="1" applyBorder="1" applyAlignment="1">
      <alignment wrapText="1"/>
    </xf>
    <xf numFmtId="0" fontId="0" fillId="0" borderId="0" xfId="0" applyFont="1"/>
    <xf numFmtId="0" fontId="0" fillId="0" borderId="1" xfId="0" applyFont="1" applyBorder="1" applyAlignment="1">
      <alignment horizontal="center" vertical="center"/>
    </xf>
    <xf numFmtId="0" fontId="15" fillId="0" borderId="2" xfId="0" applyFont="1" applyBorder="1" applyAlignment="1">
      <alignment horizontal="center" vertical="center" wrapText="1"/>
    </xf>
    <xf numFmtId="0" fontId="0" fillId="0" borderId="0" xfId="0" applyFont="1" applyBorder="1"/>
    <xf numFmtId="0" fontId="0"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13" xfId="0" applyFont="1" applyBorder="1" applyAlignment="1">
      <alignment horizontal="center" vertical="center"/>
    </xf>
    <xf numFmtId="0" fontId="0" fillId="0" borderId="2" xfId="0" applyFont="1" applyBorder="1" applyAlignment="1">
      <alignment horizontal="center" vertical="center"/>
    </xf>
    <xf numFmtId="0" fontId="0" fillId="0" borderId="13" xfId="0" applyFont="1" applyBorder="1" applyAlignment="1">
      <alignment horizontal="center" vertical="center"/>
    </xf>
    <xf numFmtId="4" fontId="0" fillId="0" borderId="13" xfId="0" applyNumberFormat="1" applyFont="1" applyBorder="1" applyAlignment="1">
      <alignment horizontal="center" vertical="center" wrapText="1"/>
    </xf>
    <xf numFmtId="0" fontId="0" fillId="0" borderId="9" xfId="0" applyFont="1" applyBorder="1" applyAlignment="1">
      <alignment horizontal="center" vertical="center"/>
    </xf>
    <xf numFmtId="0" fontId="14"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164" fontId="15" fillId="0" borderId="2" xfId="0" applyNumberFormat="1" applyFont="1" applyBorder="1" applyAlignment="1">
      <alignment horizontal="center" vertical="center" wrapText="1"/>
    </xf>
    <xf numFmtId="0" fontId="29" fillId="0" borderId="7" xfId="0" applyFont="1" applyBorder="1" applyAlignment="1">
      <alignment horizontal="center" vertical="center" wrapText="1"/>
    </xf>
    <xf numFmtId="0" fontId="29" fillId="0" borderId="7"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9"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8" fillId="0" borderId="13" xfId="0" applyFont="1" applyBorder="1" applyAlignment="1">
      <alignment horizontal="center" vertical="center" wrapText="1"/>
    </xf>
    <xf numFmtId="0" fontId="23" fillId="0" borderId="2" xfId="0" applyFont="1" applyBorder="1" applyAlignment="1">
      <alignment horizontal="center" vertical="center" wrapText="1"/>
    </xf>
    <xf numFmtId="0" fontId="31" fillId="0" borderId="7" xfId="0" applyFont="1" applyBorder="1" applyAlignment="1">
      <alignment horizontal="center" vertical="center"/>
    </xf>
    <xf numFmtId="0" fontId="32" fillId="0" borderId="1" xfId="0" applyFont="1" applyBorder="1" applyAlignment="1">
      <alignment horizontal="center" vertical="center"/>
    </xf>
    <xf numFmtId="0" fontId="27" fillId="0" borderId="1"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xf>
    <xf numFmtId="0" fontId="27" fillId="0" borderId="2" xfId="0" applyFont="1" applyFill="1" applyBorder="1" applyAlignment="1">
      <alignment horizontal="center" vertical="center"/>
    </xf>
    <xf numFmtId="0" fontId="27" fillId="0" borderId="17" xfId="0" applyFont="1" applyFill="1" applyBorder="1"/>
    <xf numFmtId="0" fontId="22" fillId="0" borderId="1" xfId="0" applyFont="1" applyBorder="1" applyAlignment="1">
      <alignment horizontal="center" vertical="center"/>
    </xf>
    <xf numFmtId="0" fontId="34" fillId="0" borderId="1" xfId="0" applyFont="1" applyBorder="1" applyAlignment="1">
      <alignment horizontal="center" vertical="center" wrapText="1"/>
    </xf>
    <xf numFmtId="0" fontId="22" fillId="0" borderId="12" xfId="0" applyFont="1" applyBorder="1" applyAlignment="1">
      <alignment horizontal="center" vertical="center"/>
    </xf>
    <xf numFmtId="0" fontId="25" fillId="0" borderId="12"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22" fillId="0" borderId="18" xfId="0" applyFont="1" applyBorder="1"/>
    <xf numFmtId="0" fontId="29" fillId="0" borderId="0" xfId="0" applyFont="1" applyBorder="1" applyAlignment="1">
      <alignment horizontal="center" vertical="center" wrapText="1"/>
    </xf>
    <xf numFmtId="0" fontId="29" fillId="0" borderId="0" xfId="0" applyFont="1" applyBorder="1" applyAlignment="1">
      <alignment wrapText="1"/>
    </xf>
    <xf numFmtId="0" fontId="36" fillId="3" borderId="1" xfId="0" applyFont="1" applyFill="1" applyBorder="1" applyAlignment="1">
      <alignment horizontal="center" vertical="center" wrapText="1"/>
    </xf>
    <xf numFmtId="0" fontId="36"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164" fontId="14" fillId="0" borderId="2" xfId="0" applyNumberFormat="1" applyFont="1" applyBorder="1" applyAlignment="1">
      <alignment horizontal="center" vertical="center" wrapText="1"/>
    </xf>
    <xf numFmtId="0" fontId="36" fillId="0" borderId="2" xfId="0" applyFont="1" applyBorder="1" applyAlignment="1">
      <alignment horizontal="center" vertical="center" wrapText="1"/>
    </xf>
    <xf numFmtId="0" fontId="36" fillId="0" borderId="2" xfId="0" applyFont="1" applyBorder="1" applyAlignment="1">
      <alignment horizontal="center" vertical="center"/>
    </xf>
    <xf numFmtId="164"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1" xfId="0" applyFont="1" applyBorder="1" applyAlignment="1">
      <alignment wrapText="1"/>
    </xf>
    <xf numFmtId="0" fontId="0" fillId="0" borderId="0" xfId="0" applyFont="1" applyAlignment="1">
      <alignment horizontal="center" vertical="center"/>
    </xf>
    <xf numFmtId="164" fontId="0" fillId="0" borderId="0" xfId="0" applyNumberFormat="1" applyFont="1"/>
    <xf numFmtId="0" fontId="0" fillId="0" borderId="16" xfId="0" applyFont="1" applyBorder="1"/>
    <xf numFmtId="0" fontId="0" fillId="0" borderId="17" xfId="0" applyFont="1" applyBorder="1"/>
    <xf numFmtId="4" fontId="0" fillId="0" borderId="2" xfId="0" applyNumberFormat="1" applyFont="1" applyBorder="1" applyAlignment="1">
      <alignment horizontal="center" vertical="center" wrapText="1"/>
    </xf>
    <xf numFmtId="0" fontId="0" fillId="0" borderId="7" xfId="0" applyFont="1" applyBorder="1" applyAlignment="1">
      <alignment horizontal="center" vertical="center"/>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7" xfId="0" applyFont="1" applyFill="1" applyBorder="1"/>
    <xf numFmtId="0" fontId="0" fillId="0" borderId="12" xfId="0" applyFont="1" applyBorder="1" applyAlignment="1">
      <alignment horizontal="center" vertical="center"/>
    </xf>
    <xf numFmtId="0" fontId="0" fillId="0" borderId="18" xfId="0" applyFont="1" applyBorder="1"/>
    <xf numFmtId="0" fontId="0" fillId="0" borderId="32" xfId="0" applyFont="1" applyBorder="1"/>
    <xf numFmtId="4" fontId="0" fillId="0" borderId="12" xfId="0" applyNumberFormat="1" applyFont="1" applyBorder="1" applyAlignment="1">
      <alignment horizontal="center" vertical="center" wrapText="1"/>
    </xf>
    <xf numFmtId="0" fontId="0" fillId="0" borderId="20" xfId="0" applyFont="1" applyBorder="1"/>
    <xf numFmtId="0" fontId="0" fillId="3" borderId="0" xfId="0" applyFont="1" applyFill="1" applyBorder="1" applyAlignment="1">
      <alignment horizontal="center" vertical="center" wrapText="1"/>
    </xf>
    <xf numFmtId="0" fontId="0" fillId="0" borderId="0" xfId="0" applyFont="1" applyBorder="1" applyAlignment="1">
      <alignment horizontal="center" vertical="top" wrapText="1"/>
    </xf>
    <xf numFmtId="4"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0" borderId="10" xfId="0" applyFont="1" applyFill="1" applyBorder="1"/>
    <xf numFmtId="164" fontId="0" fillId="0" borderId="0" xfId="0" applyNumberFormat="1" applyFont="1" applyBorder="1"/>
    <xf numFmtId="0" fontId="0" fillId="0" borderId="0" xfId="0" applyFont="1" applyBorder="1" applyAlignment="1">
      <alignment horizontal="left" vertical="center" wrapText="1"/>
    </xf>
    <xf numFmtId="0" fontId="0" fillId="0" borderId="0" xfId="0" applyFont="1" applyBorder="1" applyAlignment="1">
      <alignment vertical="center" wrapText="1"/>
    </xf>
    <xf numFmtId="164" fontId="0" fillId="0" borderId="0" xfId="0" applyNumberFormat="1" applyFont="1" applyBorder="1" applyAlignment="1">
      <alignment vertical="center" wrapText="1"/>
    </xf>
    <xf numFmtId="0" fontId="0" fillId="0" borderId="0" xfId="0" applyFont="1" applyBorder="1" applyAlignment="1">
      <alignment wrapText="1"/>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4" fillId="0" borderId="15" xfId="0" applyFont="1" applyBorder="1" applyAlignment="1">
      <alignment horizontal="center" vertical="center" wrapText="1"/>
    </xf>
    <xf numFmtId="0" fontId="17" fillId="0" borderId="13" xfId="0" applyFont="1" applyBorder="1" applyAlignment="1">
      <alignment horizontal="center" vertical="center" wrapText="1"/>
    </xf>
    <xf numFmtId="0" fontId="31" fillId="0" borderId="1" xfId="0" applyFont="1" applyBorder="1" applyAlignment="1">
      <alignment horizontal="center" vertical="center"/>
    </xf>
    <xf numFmtId="0" fontId="18" fillId="0" borderId="7"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6" xfId="0" applyFont="1" applyBorder="1" applyAlignment="1">
      <alignment horizontal="center" vertical="center"/>
    </xf>
    <xf numFmtId="0" fontId="14" fillId="0" borderId="11" xfId="0" applyFont="1" applyBorder="1" applyAlignment="1">
      <alignment horizontal="center" vertical="center" wrapText="1"/>
    </xf>
    <xf numFmtId="0" fontId="27" fillId="0" borderId="9" xfId="0" applyFont="1" applyBorder="1" applyAlignment="1">
      <alignment horizontal="center" vertical="center"/>
    </xf>
    <xf numFmtId="0" fontId="27" fillId="0" borderId="15" xfId="0" applyFont="1" applyBorder="1" applyAlignment="1">
      <alignment horizontal="center" vertical="center"/>
    </xf>
    <xf numFmtId="0" fontId="27" fillId="0" borderId="6" xfId="0" applyFont="1" applyBorder="1" applyAlignment="1">
      <alignment horizontal="center" vertical="center"/>
    </xf>
    <xf numFmtId="0" fontId="32" fillId="0" borderId="7" xfId="0" applyFont="1" applyBorder="1" applyAlignment="1">
      <alignment horizontal="center" vertical="center" wrapText="1"/>
    </xf>
    <xf numFmtId="0" fontId="22" fillId="0" borderId="17" xfId="0" applyFont="1" applyFill="1" applyBorder="1"/>
    <xf numFmtId="0" fontId="32" fillId="0" borderId="2" xfId="0" applyFont="1" applyFill="1" applyBorder="1" applyAlignment="1">
      <alignment horizontal="center" vertical="center" wrapText="1"/>
    </xf>
    <xf numFmtId="0" fontId="27" fillId="0" borderId="20" xfId="0" applyFont="1" applyFill="1" applyBorder="1"/>
    <xf numFmtId="0" fontId="22" fillId="0" borderId="6" xfId="0" applyFont="1" applyBorder="1" applyAlignment="1">
      <alignment horizontal="center" vertical="center"/>
    </xf>
    <xf numFmtId="0" fontId="25" fillId="0" borderId="7"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22" fillId="0" borderId="7" xfId="0" applyFont="1" applyBorder="1" applyAlignment="1">
      <alignment horizontal="center" vertical="center"/>
    </xf>
    <xf numFmtId="0" fontId="22" fillId="0" borderId="16" xfId="0" applyFont="1" applyBorder="1"/>
    <xf numFmtId="0" fontId="22" fillId="0" borderId="11" xfId="0" applyFont="1" applyBorder="1" applyAlignment="1">
      <alignment horizontal="center" vertical="center"/>
    </xf>
    <xf numFmtId="0" fontId="0" fillId="0" borderId="29" xfId="0" applyFont="1" applyBorder="1" applyAlignment="1">
      <alignment horizontal="center" vertical="center"/>
    </xf>
    <xf numFmtId="0" fontId="0" fillId="0" borderId="4" xfId="0" applyFont="1" applyBorder="1" applyAlignment="1">
      <alignment horizontal="center" vertical="center"/>
    </xf>
    <xf numFmtId="0" fontId="27" fillId="0" borderId="4" xfId="0" applyFont="1" applyBorder="1" applyAlignment="1">
      <alignment horizontal="center" vertical="center"/>
    </xf>
    <xf numFmtId="0" fontId="27" fillId="0" borderId="34" xfId="0" applyFont="1" applyBorder="1" applyAlignment="1">
      <alignment horizontal="center" vertical="center"/>
    </xf>
    <xf numFmtId="0" fontId="27" fillId="0" borderId="29" xfId="0" applyFont="1" applyBorder="1" applyAlignment="1">
      <alignment horizontal="center" vertical="center"/>
    </xf>
    <xf numFmtId="0" fontId="23" fillId="0" borderId="12" xfId="0" applyFont="1" applyFill="1" applyBorder="1" applyAlignment="1">
      <alignment horizontal="center" vertical="center" wrapText="1"/>
    </xf>
    <xf numFmtId="0" fontId="0" fillId="0" borderId="1" xfId="0" applyFont="1" applyBorder="1" applyAlignment="1">
      <alignment horizontal="center" vertical="top" wrapText="1"/>
    </xf>
    <xf numFmtId="0" fontId="24" fillId="0" borderId="0" xfId="0" applyFont="1"/>
    <xf numFmtId="0" fontId="24" fillId="0" borderId="0" xfId="0" applyFont="1" applyAlignment="1">
      <alignment horizontal="center" vertical="center"/>
    </xf>
    <xf numFmtId="0" fontId="24" fillId="0" borderId="0" xfId="0" applyFont="1" applyAlignment="1"/>
    <xf numFmtId="3" fontId="27" fillId="0" borderId="1" xfId="0"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7" xfId="0" applyFont="1" applyFill="1" applyBorder="1" applyAlignment="1">
      <alignment horizontal="center" vertical="center" wrapText="1"/>
    </xf>
    <xf numFmtId="4" fontId="0" fillId="0" borderId="0" xfId="0" applyNumberFormat="1"/>
    <xf numFmtId="3" fontId="27" fillId="0" borderId="1" xfId="0" applyNumberFormat="1" applyFont="1" applyBorder="1" applyAlignment="1">
      <alignment horizontal="center" vertical="center" wrapText="1"/>
    </xf>
    <xf numFmtId="49" fontId="39" fillId="0" borderId="0" xfId="0" applyNumberFormat="1" applyFont="1" applyAlignment="1">
      <alignment wrapText="1"/>
    </xf>
    <xf numFmtId="49" fontId="39" fillId="0" borderId="0" xfId="0" applyNumberFormat="1" applyFont="1"/>
    <xf numFmtId="0" fontId="39" fillId="0" borderId="0" xfId="0" applyFont="1"/>
    <xf numFmtId="49"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wrapText="1"/>
    </xf>
    <xf numFmtId="49" fontId="0" fillId="0" borderId="7" xfId="0" applyNumberFormat="1" applyFont="1" applyBorder="1" applyAlignment="1">
      <alignment horizontal="center" vertical="center"/>
    </xf>
    <xf numFmtId="49" fontId="27" fillId="0" borderId="7" xfId="0" applyNumberFormat="1" applyFont="1" applyBorder="1" applyAlignment="1">
      <alignment horizontal="center" vertical="center" wrapText="1"/>
    </xf>
    <xf numFmtId="4" fontId="23" fillId="0" borderId="0" xfId="0" applyNumberFormat="1" applyFont="1" applyAlignment="1">
      <alignment horizontal="right" vertical="center" readingOrder="1"/>
    </xf>
    <xf numFmtId="0" fontId="11" fillId="0" borderId="1" xfId="0" applyFont="1" applyBorder="1"/>
    <xf numFmtId="4" fontId="15" fillId="0" borderId="1" xfId="0" applyNumberFormat="1" applyFont="1" applyBorder="1"/>
    <xf numFmtId="4" fontId="11" fillId="0" borderId="1" xfId="0" applyNumberFormat="1" applyFont="1" applyBorder="1"/>
    <xf numFmtId="4" fontId="24" fillId="0" borderId="0" xfId="0" applyNumberFormat="1" applyFont="1"/>
    <xf numFmtId="4" fontId="11" fillId="5" borderId="1" xfId="0" applyNumberFormat="1" applyFont="1" applyFill="1" applyBorder="1"/>
    <xf numFmtId="4" fontId="23" fillId="0" borderId="0" xfId="0" applyNumberFormat="1" applyFont="1" applyAlignment="1">
      <alignment horizontal="right" vertical="center" wrapText="1" readingOrder="1"/>
    </xf>
    <xf numFmtId="0" fontId="42" fillId="0" borderId="0" xfId="0" applyFont="1"/>
    <xf numFmtId="0" fontId="42" fillId="0" borderId="0" xfId="0" applyFont="1" applyAlignment="1">
      <alignment vertical="center"/>
    </xf>
    <xf numFmtId="0" fontId="23" fillId="0" borderId="1" xfId="0" applyFont="1" applyBorder="1" applyAlignment="1">
      <alignment horizontal="center" vertical="center" wrapText="1"/>
    </xf>
    <xf numFmtId="0" fontId="0" fillId="0" borderId="0" xfId="0" applyFill="1" applyBorder="1" applyAlignment="1">
      <alignment horizontal="center" vertical="center" wrapText="1"/>
    </xf>
    <xf numFmtId="3" fontId="0" fillId="0" borderId="1" xfId="0" applyNumberFormat="1" applyBorder="1" applyAlignment="1">
      <alignment horizontal="center" vertical="center"/>
    </xf>
    <xf numFmtId="1" fontId="27" fillId="0" borderId="1" xfId="0" applyNumberFormat="1" applyFont="1" applyBorder="1" applyAlignment="1">
      <alignment horizontal="center" vertical="center"/>
    </xf>
    <xf numFmtId="4" fontId="43" fillId="0" borderId="0" xfId="0" applyNumberFormat="1" applyFont="1"/>
    <xf numFmtId="4" fontId="0"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8" fillId="0" borderId="7" xfId="0" applyFont="1" applyBorder="1" applyAlignment="1">
      <alignment horizontal="center" vertical="center" wrapText="1"/>
    </xf>
    <xf numFmtId="4" fontId="0" fillId="0" borderId="7" xfId="0" applyNumberFormat="1" applyFont="1" applyBorder="1" applyAlignment="1">
      <alignment horizontal="center" vertical="center" wrapText="1"/>
    </xf>
    <xf numFmtId="0" fontId="29" fillId="0" borderId="7" xfId="0" applyFont="1" applyBorder="1" applyAlignment="1">
      <alignment horizontal="center" vertical="center" wrapText="1"/>
    </xf>
    <xf numFmtId="0" fontId="0"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2" xfId="0" applyFont="1" applyBorder="1" applyAlignment="1">
      <alignment horizontal="center" vertical="center" wrapText="1"/>
    </xf>
    <xf numFmtId="0" fontId="17" fillId="0" borderId="7" xfId="0" applyFont="1" applyBorder="1" applyAlignment="1">
      <alignment horizontal="center" vertical="center"/>
    </xf>
    <xf numFmtId="49" fontId="18" fillId="0" borderId="12" xfId="0" applyNumberFormat="1" applyFont="1" applyBorder="1" applyAlignment="1">
      <alignment horizontal="center" vertical="center" wrapText="1"/>
    </xf>
    <xf numFmtId="49" fontId="0" fillId="0" borderId="7"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2" xfId="0" applyNumberFormat="1" applyFont="1" applyBorder="1" applyAlignment="1">
      <alignment horizontal="center" vertical="center" wrapText="1"/>
    </xf>
    <xf numFmtId="0" fontId="0" fillId="0" borderId="1" xfId="0" applyFont="1" applyBorder="1" applyAlignment="1">
      <alignment horizontal="center" vertical="center"/>
    </xf>
    <xf numFmtId="49" fontId="0" fillId="0" borderId="0" xfId="0" applyNumberFormat="1" applyAlignment="1">
      <alignment wrapText="1"/>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0" fillId="0" borderId="38" xfId="0" applyFont="1" applyBorder="1" applyAlignment="1">
      <alignment horizontal="center" vertical="center" wrapText="1"/>
    </xf>
    <xf numFmtId="165" fontId="0" fillId="0" borderId="1" xfId="0" applyNumberFormat="1" applyFont="1" applyBorder="1" applyAlignment="1">
      <alignment horizontal="center" vertical="center" wrapText="1"/>
    </xf>
    <xf numFmtId="49" fontId="0" fillId="0" borderId="12" xfId="0" applyNumberFormat="1" applyFont="1" applyFill="1" applyBorder="1" applyAlignment="1">
      <alignment horizontal="center" vertical="center"/>
    </xf>
    <xf numFmtId="49" fontId="0" fillId="0" borderId="12" xfId="0" applyNumberFormat="1" applyFont="1" applyFill="1" applyBorder="1" applyAlignment="1">
      <alignment horizontal="center" vertical="center" wrapText="1"/>
    </xf>
    <xf numFmtId="49" fontId="0" fillId="0" borderId="16" xfId="0" applyNumberFormat="1" applyFont="1" applyBorder="1" applyAlignment="1">
      <alignment vertical="center" wrapText="1"/>
    </xf>
    <xf numFmtId="167" fontId="0" fillId="0" borderId="0" xfId="0" applyNumberFormat="1" applyAlignment="1">
      <alignment wrapText="1"/>
    </xf>
    <xf numFmtId="49" fontId="15" fillId="0" borderId="12" xfId="0" applyNumberFormat="1" applyFont="1" applyBorder="1" applyAlignment="1">
      <alignment horizontal="center" vertical="center" wrapText="1"/>
    </xf>
    <xf numFmtId="4" fontId="15" fillId="0" borderId="12" xfId="0" applyNumberFormat="1" applyFont="1" applyBorder="1" applyAlignment="1">
      <alignment horizontal="center" vertical="center" wrapText="1"/>
    </xf>
    <xf numFmtId="49" fontId="16" fillId="0" borderId="12"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168" fontId="0" fillId="0" borderId="13" xfId="0" applyNumberFormat="1" applyFont="1" applyBorder="1" applyAlignment="1">
      <alignment horizontal="center" vertical="center" wrapText="1"/>
    </xf>
    <xf numFmtId="49" fontId="0" fillId="0" borderId="20" xfId="0" applyNumberFormat="1" applyFont="1" applyBorder="1" applyAlignment="1">
      <alignment wrapText="1"/>
    </xf>
    <xf numFmtId="4" fontId="0" fillId="9" borderId="2" xfId="0" applyNumberFormat="1" applyFont="1" applyFill="1" applyBorder="1" applyAlignment="1">
      <alignment horizontal="center" vertical="center"/>
    </xf>
    <xf numFmtId="49" fontId="0" fillId="9" borderId="2" xfId="0" applyNumberFormat="1" applyFont="1" applyFill="1" applyBorder="1" applyAlignment="1">
      <alignment horizontal="center" vertical="center" wrapText="1"/>
    </xf>
    <xf numFmtId="0" fontId="0" fillId="9" borderId="10" xfId="0" applyFont="1" applyFill="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12" xfId="0" applyNumberFormat="1" applyFont="1" applyFill="1" applyBorder="1" applyAlignment="1">
      <alignment horizontal="center" vertical="center"/>
    </xf>
    <xf numFmtId="49" fontId="0" fillId="9" borderId="12" xfId="0" applyNumberFormat="1" applyFont="1" applyFill="1" applyBorder="1" applyAlignment="1">
      <alignment horizontal="center" vertical="center" wrapText="1"/>
    </xf>
    <xf numFmtId="4" fontId="0" fillId="9" borderId="12" xfId="0" applyNumberFormat="1" applyFont="1" applyFill="1" applyBorder="1" applyAlignment="1">
      <alignment horizontal="center" vertical="center" wrapText="1"/>
    </xf>
    <xf numFmtId="49" fontId="0" fillId="0" borderId="18" xfId="0" applyNumberFormat="1" applyFont="1" applyBorder="1" applyAlignment="1">
      <alignment wrapText="1"/>
    </xf>
    <xf numFmtId="3" fontId="27" fillId="0" borderId="7" xfId="0" applyNumberFormat="1" applyFont="1" applyBorder="1" applyAlignment="1">
      <alignment horizontal="center" vertical="center" wrapText="1"/>
    </xf>
    <xf numFmtId="49" fontId="0" fillId="0" borderId="22" xfId="0" applyNumberFormat="1" applyFont="1" applyBorder="1" applyAlignment="1">
      <alignment horizontal="center" vertical="center"/>
    </xf>
    <xf numFmtId="49" fontId="0" fillId="0" borderId="38" xfId="0" applyNumberFormat="1" applyFont="1" applyBorder="1" applyAlignment="1">
      <alignment horizontal="center" vertical="center"/>
    </xf>
    <xf numFmtId="49" fontId="0" fillId="0" borderId="17" xfId="0" applyNumberFormat="1" applyFont="1" applyBorder="1" applyAlignment="1">
      <alignment horizontal="left" vertical="center" wrapText="1"/>
    </xf>
    <xf numFmtId="4" fontId="0" fillId="3" borderId="0" xfId="0" applyNumberFormat="1" applyFont="1" applyFill="1" applyBorder="1" applyAlignment="1">
      <alignment horizontal="center" vertical="center" wrapText="1"/>
    </xf>
    <xf numFmtId="4" fontId="0" fillId="0" borderId="0" xfId="0" applyNumberFormat="1" applyFont="1"/>
    <xf numFmtId="49" fontId="39" fillId="0" borderId="0" xfId="0" applyNumberFormat="1" applyFont="1" applyBorder="1" applyAlignment="1">
      <alignment horizontal="center" vertical="center"/>
    </xf>
    <xf numFmtId="4" fontId="18" fillId="0" borderId="0"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xf>
    <xf numFmtId="4" fontId="45" fillId="0" borderId="0" xfId="0" applyNumberFormat="1" applyFont="1" applyFill="1" applyBorder="1" applyAlignment="1">
      <alignment horizontal="center" vertical="center"/>
    </xf>
    <xf numFmtId="49" fontId="39" fillId="0" borderId="0" xfId="0" applyNumberFormat="1" applyFont="1" applyFill="1" applyBorder="1" applyAlignment="1">
      <alignment horizontal="center" vertical="center"/>
    </xf>
    <xf numFmtId="49" fontId="39" fillId="0" borderId="0" xfId="0" applyNumberFormat="1" applyFont="1" applyFill="1" applyBorder="1" applyAlignment="1">
      <alignment horizontal="center" vertical="center" wrapText="1"/>
    </xf>
    <xf numFmtId="49" fontId="40" fillId="0" borderId="0" xfId="0" applyNumberFormat="1" applyFont="1" applyFill="1" applyBorder="1" applyAlignment="1">
      <alignment horizontal="center" vertical="center" wrapText="1"/>
    </xf>
    <xf numFmtId="3" fontId="39" fillId="0" borderId="0" xfId="0" applyNumberFormat="1" applyFont="1" applyFill="1" applyBorder="1" applyAlignment="1">
      <alignment horizontal="center" vertical="center" wrapText="1"/>
    </xf>
    <xf numFmtId="0" fontId="11" fillId="0" borderId="13" xfId="0" applyFont="1" applyBorder="1"/>
    <xf numFmtId="4" fontId="0" fillId="0" borderId="0" xfId="0" applyNumberFormat="1" applyFill="1" applyBorder="1" applyAlignment="1">
      <alignment horizontal="center" vertical="center"/>
    </xf>
    <xf numFmtId="49" fontId="44" fillId="0" borderId="0"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xf>
    <xf numFmtId="49" fontId="0" fillId="0" borderId="7" xfId="0" applyNumberFormat="1" applyFont="1" applyFill="1" applyBorder="1" applyAlignment="1">
      <alignment horizontal="center" vertical="center" wrapText="1"/>
    </xf>
    <xf numFmtId="49" fontId="27" fillId="0" borderId="7"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0" borderId="13" xfId="0" applyNumberFormat="1" applyFont="1" applyFill="1" applyBorder="1" applyAlignment="1">
      <alignment horizontal="center" vertical="center"/>
    </xf>
    <xf numFmtId="0" fontId="10" fillId="0" borderId="10" xfId="0" applyFont="1" applyFill="1" applyBorder="1"/>
    <xf numFmtId="49" fontId="46" fillId="0" borderId="0" xfId="0" applyNumberFormat="1" applyFont="1" applyAlignment="1">
      <alignment wrapText="1"/>
    </xf>
    <xf numFmtId="49" fontId="46" fillId="0" borderId="0" xfId="0" applyNumberFormat="1" applyFont="1"/>
    <xf numFmtId="0" fontId="46" fillId="0" borderId="0" xfId="0" applyFont="1"/>
    <xf numFmtId="0" fontId="0" fillId="0" borderId="1" xfId="0" applyBorder="1" applyAlignment="1">
      <alignment horizontal="center" vertical="center"/>
    </xf>
    <xf numFmtId="0" fontId="15" fillId="0" borderId="2" xfId="0" applyFont="1" applyBorder="1" applyAlignment="1">
      <alignment horizontal="center" vertical="center" wrapText="1"/>
    </xf>
    <xf numFmtId="49"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49" fontId="27" fillId="0" borderId="1" xfId="0"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13"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4" fontId="0" fillId="0" borderId="1" xfId="0" applyNumberFormat="1" applyFont="1" applyBorder="1" applyAlignment="1">
      <alignment horizontal="center" vertical="center"/>
    </xf>
    <xf numFmtId="49" fontId="0"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4" fontId="39" fillId="0" borderId="0" xfId="0" applyNumberFormat="1" applyFont="1" applyAlignment="1">
      <alignment wrapText="1"/>
    </xf>
    <xf numFmtId="4" fontId="0" fillId="0" borderId="0" xfId="0" applyNumberFormat="1" applyAlignment="1">
      <alignment wrapText="1"/>
    </xf>
    <xf numFmtId="4" fontId="24" fillId="0" borderId="0" xfId="0" applyNumberFormat="1" applyFont="1" applyAlignment="1"/>
    <xf numFmtId="0" fontId="0" fillId="3" borderId="1" xfId="0" applyFont="1" applyFill="1" applyBorder="1" applyAlignment="1">
      <alignment horizontal="center" vertical="top" wrapText="1"/>
    </xf>
    <xf numFmtId="0" fontId="0" fillId="0" borderId="1" xfId="0" applyFont="1" applyBorder="1"/>
    <xf numFmtId="0" fontId="0" fillId="3" borderId="1" xfId="0" applyFont="1" applyFill="1" applyBorder="1" applyAlignment="1">
      <alignment vertical="top" wrapText="1"/>
    </xf>
    <xf numFmtId="164" fontId="0" fillId="0" borderId="1" xfId="0" applyNumberFormat="1" applyFont="1" applyBorder="1"/>
    <xf numFmtId="0" fontId="0" fillId="0" borderId="1" xfId="0" applyFont="1" applyBorder="1" applyAlignment="1">
      <alignment vertical="center"/>
    </xf>
    <xf numFmtId="3" fontId="0" fillId="0" borderId="1"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0" fillId="0" borderId="1" xfId="0" applyFont="1" applyFill="1" applyBorder="1" applyAlignment="1">
      <alignment horizontal="center" vertic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0" fillId="0" borderId="1" xfId="0" applyNumberFormat="1" applyBorder="1" applyAlignment="1">
      <alignment horizontal="center" vertical="center"/>
    </xf>
    <xf numFmtId="4"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4" fontId="0" fillId="0" borderId="13"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0" fillId="3" borderId="1" xfId="0" applyFont="1" applyFill="1" applyBorder="1" applyAlignment="1">
      <alignment horizontal="center" vertical="center" wrapText="1"/>
    </xf>
    <xf numFmtId="164"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29" fillId="0" borderId="13"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xf>
    <xf numFmtId="0" fontId="0" fillId="0" borderId="13" xfId="0" applyFont="1" applyBorder="1" applyAlignment="1">
      <alignment horizontal="center" vertical="center"/>
    </xf>
    <xf numFmtId="3" fontId="0" fillId="0" borderId="1" xfId="0" applyNumberFormat="1" applyFont="1" applyBorder="1" applyAlignment="1">
      <alignment horizontal="center" vertical="center"/>
    </xf>
    <xf numFmtId="49" fontId="0" fillId="0" borderId="7"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8" xfId="0" applyFont="1" applyBorder="1" applyAlignment="1">
      <alignment horizontal="center" vertical="center"/>
    </xf>
    <xf numFmtId="0" fontId="31" fillId="0" borderId="13" xfId="0" applyFont="1" applyBorder="1" applyAlignment="1">
      <alignment horizontal="center" vertical="center"/>
    </xf>
    <xf numFmtId="4" fontId="36" fillId="0" borderId="1" xfId="0" applyNumberFormat="1" applyFont="1" applyBorder="1" applyAlignment="1">
      <alignment horizontal="center" vertical="center" wrapText="1"/>
    </xf>
    <xf numFmtId="4" fontId="0" fillId="0" borderId="1" xfId="0" applyNumberFormat="1" applyFont="1" applyBorder="1" applyAlignment="1">
      <alignment vertical="top" wrapText="1"/>
    </xf>
    <xf numFmtId="4" fontId="0" fillId="0" borderId="1" xfId="0" applyNumberFormat="1" applyFont="1" applyBorder="1" applyAlignment="1">
      <alignment vertical="center"/>
    </xf>
    <xf numFmtId="4" fontId="0" fillId="0" borderId="1" xfId="0" applyNumberFormat="1" applyFont="1" applyBorder="1"/>
    <xf numFmtId="4" fontId="0" fillId="0" borderId="1" xfId="0" applyNumberFormat="1" applyFont="1" applyBorder="1" applyAlignment="1">
      <alignment wrapText="1"/>
    </xf>
    <xf numFmtId="168" fontId="0" fillId="0" borderId="1" xfId="0" applyNumberFormat="1" applyFont="1" applyBorder="1" applyAlignment="1">
      <alignment horizontal="center" vertical="center"/>
    </xf>
    <xf numFmtId="2" fontId="39" fillId="0" borderId="0" xfId="0" applyNumberFormat="1" applyFont="1" applyAlignment="1">
      <alignment wrapText="1"/>
    </xf>
    <xf numFmtId="49" fontId="27" fillId="0" borderId="5"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166" fontId="27" fillId="0" borderId="7" xfId="0" applyNumberFormat="1" applyFont="1" applyBorder="1" applyAlignment="1">
      <alignment horizontal="center" vertical="center" wrapText="1"/>
    </xf>
    <xf numFmtId="49" fontId="27" fillId="4" borderId="1" xfId="0" applyNumberFormat="1" applyFont="1" applyFill="1" applyBorder="1" applyAlignment="1">
      <alignment horizontal="center" vertical="center" wrapText="1"/>
    </xf>
    <xf numFmtId="49" fontId="27" fillId="8" borderId="10" xfId="0" applyNumberFormat="1" applyFont="1" applyFill="1" applyBorder="1" applyAlignment="1">
      <alignment horizontal="center" vertical="center" wrapText="1"/>
    </xf>
    <xf numFmtId="49" fontId="27" fillId="8" borderId="13" xfId="0" applyNumberFormat="1" applyFont="1" applyFill="1" applyBorder="1" applyAlignment="1">
      <alignment horizontal="center" vertical="center" wrapText="1"/>
    </xf>
    <xf numFmtId="49" fontId="27" fillId="4" borderId="10" xfId="0" applyNumberFormat="1" applyFont="1" applyFill="1" applyBorder="1" applyAlignment="1">
      <alignment horizontal="center" vertical="center" wrapText="1"/>
    </xf>
    <xf numFmtId="49" fontId="0" fillId="4" borderId="7"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3" fontId="0" fillId="0" borderId="0" xfId="0" applyNumberFormat="1"/>
    <xf numFmtId="49" fontId="0" fillId="8" borderId="1" xfId="0" applyNumberFormat="1" applyFont="1" applyFill="1" applyBorder="1" applyAlignment="1">
      <alignment horizontal="center" vertical="center"/>
    </xf>
    <xf numFmtId="49" fontId="0" fillId="8" borderId="1" xfId="0" applyNumberFormat="1" applyFont="1" applyFill="1" applyBorder="1" applyAlignment="1">
      <alignment horizontal="center" vertical="center" wrapText="1"/>
    </xf>
    <xf numFmtId="49" fontId="0" fillId="8" borderId="13" xfId="0" applyNumberFormat="1" applyFont="1" applyFill="1" applyBorder="1" applyAlignment="1">
      <alignment horizontal="center" vertical="center" wrapText="1"/>
    </xf>
    <xf numFmtId="49" fontId="0" fillId="8" borderId="12"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49" fontId="0" fillId="8" borderId="13" xfId="0" applyNumberFormat="1" applyFont="1" applyFill="1" applyBorder="1" applyAlignment="1">
      <alignment horizontal="center" vertical="center"/>
    </xf>
    <xf numFmtId="49" fontId="0" fillId="8" borderId="17" xfId="0" applyNumberFormat="1" applyFont="1" applyFill="1" applyBorder="1" applyAlignment="1">
      <alignment vertical="center" wrapText="1"/>
    </xf>
    <xf numFmtId="49" fontId="0" fillId="8" borderId="20" xfId="0" applyNumberFormat="1" applyFont="1" applyFill="1" applyBorder="1" applyAlignment="1">
      <alignment vertical="center" wrapText="1"/>
    </xf>
    <xf numFmtId="49" fontId="27" fillId="0" borderId="1" xfId="0" applyNumberFormat="1" applyFont="1" applyBorder="1" applyAlignment="1">
      <alignment horizontal="center" vertical="center"/>
    </xf>
    <xf numFmtId="49" fontId="0" fillId="8" borderId="10"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49" fontId="0" fillId="4" borderId="13" xfId="0" applyNumberFormat="1" applyFont="1" applyFill="1" applyBorder="1" applyAlignment="1">
      <alignment horizontal="center" vertical="center" wrapText="1"/>
    </xf>
    <xf numFmtId="3" fontId="0" fillId="4" borderId="1" xfId="0" applyNumberFormat="1" applyFont="1" applyFill="1" applyBorder="1" applyAlignment="1">
      <alignment horizontal="center" vertical="center" wrapText="1"/>
    </xf>
    <xf numFmtId="49" fontId="0" fillId="4" borderId="17" xfId="0" applyNumberFormat="1" applyFont="1" applyFill="1" applyBorder="1" applyAlignment="1">
      <alignment vertical="center" wrapText="1"/>
    </xf>
    <xf numFmtId="49" fontId="0" fillId="4" borderId="8" xfId="0" applyNumberFormat="1" applyFont="1" applyFill="1" applyBorder="1" applyAlignment="1">
      <alignment horizontal="center" vertical="center"/>
    </xf>
    <xf numFmtId="49" fontId="0" fillId="4" borderId="13" xfId="0" applyNumberFormat="1" applyFont="1" applyFill="1" applyBorder="1" applyAlignment="1">
      <alignment horizontal="center" vertical="center"/>
    </xf>
    <xf numFmtId="49" fontId="27" fillId="4" borderId="7" xfId="0" applyNumberFormat="1" applyFont="1" applyFill="1" applyBorder="1" applyAlignment="1">
      <alignment horizontal="center" vertical="center" wrapText="1"/>
    </xf>
    <xf numFmtId="3" fontId="0" fillId="4" borderId="7" xfId="0" applyNumberFormat="1" applyFont="1" applyFill="1" applyBorder="1" applyAlignment="1">
      <alignment horizontal="center" vertical="center" wrapText="1"/>
    </xf>
    <xf numFmtId="49" fontId="27" fillId="4" borderId="13" xfId="0" applyNumberFormat="1" applyFont="1" applyFill="1" applyBorder="1" applyAlignment="1">
      <alignment horizontal="center" vertical="center" wrapText="1"/>
    </xf>
    <xf numFmtId="3" fontId="0" fillId="4" borderId="13" xfId="0" applyNumberFormat="1" applyFont="1" applyFill="1" applyBorder="1" applyAlignment="1">
      <alignment horizontal="center" vertical="center" wrapText="1"/>
    </xf>
    <xf numFmtId="3" fontId="27" fillId="4" borderId="13" xfId="0" applyNumberFormat="1" applyFont="1" applyFill="1" applyBorder="1" applyAlignment="1">
      <alignment horizontal="center" vertical="center" wrapText="1"/>
    </xf>
    <xf numFmtId="49" fontId="0" fillId="4" borderId="10" xfId="0" applyNumberFormat="1" applyFont="1" applyFill="1" applyBorder="1" applyAlignment="1">
      <alignment horizontal="center" vertical="center" wrapText="1"/>
    </xf>
    <xf numFmtId="3" fontId="27" fillId="4" borderId="10"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0" fillId="8" borderId="12" xfId="0" applyNumberFormat="1" applyFont="1" applyFill="1" applyBorder="1" applyAlignment="1">
      <alignment horizontal="center" vertical="center"/>
    </xf>
    <xf numFmtId="49" fontId="27" fillId="8" borderId="12" xfId="0" applyNumberFormat="1" applyFont="1" applyFill="1" applyBorder="1" applyAlignment="1">
      <alignment horizontal="center" vertical="center" wrapText="1"/>
    </xf>
    <xf numFmtId="3" fontId="0" fillId="8" borderId="12" xfId="0" applyNumberFormat="1" applyFont="1" applyFill="1" applyBorder="1" applyAlignment="1">
      <alignment horizontal="center" vertical="center" wrapText="1"/>
    </xf>
    <xf numFmtId="4" fontId="51" fillId="0" borderId="0" xfId="0" applyNumberFormat="1" applyFont="1" applyFill="1" applyBorder="1" applyAlignment="1">
      <alignment horizontal="center" vertical="center" wrapText="1"/>
    </xf>
    <xf numFmtId="49" fontId="0" fillId="8" borderId="18" xfId="0" applyNumberFormat="1" applyFont="1" applyFill="1" applyBorder="1" applyAlignment="1">
      <alignment vertical="center" wrapText="1"/>
    </xf>
    <xf numFmtId="3" fontId="0" fillId="0" borderId="2" xfId="0" applyNumberFormat="1" applyFont="1" applyFill="1" applyBorder="1" applyAlignment="1">
      <alignment horizontal="center" vertical="center" wrapText="1"/>
    </xf>
    <xf numFmtId="49" fontId="24" fillId="0" borderId="20" xfId="0" applyNumberFormat="1" applyFont="1" applyBorder="1" applyAlignment="1">
      <alignment vertical="center" wrapText="1"/>
    </xf>
    <xf numFmtId="168" fontId="0" fillId="0" borderId="7" xfId="0" applyNumberFormat="1" applyFont="1" applyBorder="1" applyAlignment="1">
      <alignment horizontal="center" vertical="center" wrapText="1"/>
    </xf>
    <xf numFmtId="4" fontId="0" fillId="0" borderId="7"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4" fontId="0" fillId="0" borderId="12" xfId="0" applyNumberFormat="1" applyFont="1" applyBorder="1" applyAlignment="1">
      <alignment horizontal="center" vertical="center" wrapText="1"/>
    </xf>
    <xf numFmtId="0" fontId="23" fillId="0" borderId="7" xfId="0" applyFont="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2" fontId="27" fillId="0" borderId="1" xfId="0" applyNumberFormat="1" applyFont="1" applyBorder="1" applyAlignment="1">
      <alignment horizontal="center" vertical="center" wrapText="1"/>
    </xf>
    <xf numFmtId="166" fontId="0" fillId="0" borderId="12" xfId="0" applyNumberFormat="1" applyFont="1" applyFill="1" applyBorder="1" applyAlignment="1">
      <alignment horizontal="center" vertical="center" wrapText="1"/>
    </xf>
    <xf numFmtId="169" fontId="0" fillId="0" borderId="0" xfId="0" applyNumberFormat="1" applyAlignment="1">
      <alignment wrapText="1"/>
    </xf>
    <xf numFmtId="168" fontId="0" fillId="0" borderId="1" xfId="0" applyNumberFormat="1" applyFont="1" applyBorder="1" applyAlignment="1">
      <alignment horizontal="center" vertical="center" wrapText="1"/>
    </xf>
    <xf numFmtId="4" fontId="44" fillId="0" borderId="0" xfId="0" applyNumberFormat="1" applyFont="1" applyFill="1" applyBorder="1" applyAlignment="1">
      <alignment horizontal="center" vertical="center" wrapText="1"/>
    </xf>
    <xf numFmtId="3" fontId="18" fillId="0" borderId="12" xfId="0" applyNumberFormat="1" applyFont="1" applyFill="1" applyBorder="1" applyAlignment="1">
      <alignment horizontal="center" vertical="center" wrapText="1"/>
    </xf>
    <xf numFmtId="49" fontId="18" fillId="0" borderId="7" xfId="0" applyNumberFormat="1" applyFont="1" applyBorder="1" applyAlignment="1">
      <alignment horizontal="center" vertical="center" wrapText="1"/>
    </xf>
    <xf numFmtId="0" fontId="52" fillId="0" borderId="0" xfId="0" applyFont="1" applyAlignment="1">
      <alignment wrapText="1"/>
    </xf>
    <xf numFmtId="0" fontId="53" fillId="0" borderId="0" xfId="0" applyFont="1" applyAlignment="1">
      <alignment horizontal="center" vertical="center"/>
    </xf>
    <xf numFmtId="49" fontId="53" fillId="0" borderId="0" xfId="0" applyNumberFormat="1" applyFont="1" applyAlignment="1">
      <alignment horizontal="center" vertical="center"/>
    </xf>
    <xf numFmtId="0" fontId="53" fillId="0" borderId="0" xfId="0" applyFont="1" applyAlignment="1">
      <alignment horizontal="center" vertical="center" wrapText="1"/>
    </xf>
    <xf numFmtId="0" fontId="53" fillId="0" borderId="1" xfId="0" applyFont="1" applyBorder="1" applyAlignment="1">
      <alignment horizontal="center" vertical="center"/>
    </xf>
    <xf numFmtId="49" fontId="53" fillId="0" borderId="1" xfId="0" applyNumberFormat="1" applyFont="1" applyBorder="1" applyAlignment="1">
      <alignment horizontal="center" vertical="center"/>
    </xf>
    <xf numFmtId="0" fontId="53" fillId="0" borderId="1" xfId="0" applyFont="1" applyBorder="1" applyAlignment="1">
      <alignment horizontal="center" vertical="center" wrapText="1"/>
    </xf>
    <xf numFmtId="0" fontId="54" fillId="0" borderId="0" xfId="0" applyFont="1" applyAlignment="1">
      <alignment horizontal="center" vertical="center" wrapText="1"/>
    </xf>
    <xf numFmtId="0" fontId="54" fillId="0" borderId="1" xfId="0" applyFont="1" applyBorder="1" applyAlignment="1">
      <alignment horizontal="center" vertical="center" wrapText="1"/>
    </xf>
    <xf numFmtId="49" fontId="54" fillId="0" borderId="1" xfId="0" applyNumberFormat="1" applyFont="1" applyBorder="1" applyAlignment="1">
      <alignment horizontal="center" vertical="center" wrapText="1"/>
    </xf>
    <xf numFmtId="0" fontId="0" fillId="0" borderId="0" xfId="0" applyAlignment="1">
      <alignment horizontal="left" vertical="center" wrapText="1"/>
    </xf>
    <xf numFmtId="4" fontId="55" fillId="0" borderId="0" xfId="0" applyNumberFormat="1" applyFont="1" applyAlignment="1">
      <alignment wrapText="1"/>
    </xf>
    <xf numFmtId="0" fontId="0" fillId="0" borderId="0" xfId="0" applyAlignment="1">
      <alignment horizontal="left" vertical="center"/>
    </xf>
    <xf numFmtId="3" fontId="56" fillId="0" borderId="0" xfId="0" applyNumberFormat="1" applyFont="1" applyAlignment="1">
      <alignment horizontal="center" vertical="center"/>
    </xf>
    <xf numFmtId="3" fontId="56" fillId="0" borderId="18" xfId="0" applyNumberFormat="1" applyFont="1" applyBorder="1" applyAlignment="1">
      <alignment horizontal="center" vertical="center"/>
    </xf>
    <xf numFmtId="49" fontId="53" fillId="0" borderId="11" xfId="0" applyNumberFormat="1" applyFont="1" applyBorder="1" applyAlignment="1">
      <alignment horizontal="center" vertical="center"/>
    </xf>
    <xf numFmtId="3" fontId="56" fillId="0" borderId="17" xfId="0" applyNumberFormat="1" applyFont="1" applyBorder="1" applyAlignment="1">
      <alignment horizontal="center" vertical="center"/>
    </xf>
    <xf numFmtId="49" fontId="53" fillId="0" borderId="9" xfId="0" applyNumberFormat="1" applyFont="1" applyBorder="1" applyAlignment="1">
      <alignment horizontal="center" vertical="center"/>
    </xf>
    <xf numFmtId="3" fontId="56" fillId="0" borderId="16" xfId="0" applyNumberFormat="1" applyFont="1" applyBorder="1" applyAlignment="1">
      <alignment horizontal="center" vertical="center"/>
    </xf>
    <xf numFmtId="49" fontId="53" fillId="0" borderId="6" xfId="0" applyNumberFormat="1" applyFont="1" applyBorder="1" applyAlignment="1">
      <alignment horizontal="center" vertical="center"/>
    </xf>
    <xf numFmtId="4" fontId="57" fillId="0" borderId="0" xfId="0" applyNumberFormat="1" applyFont="1" applyAlignment="1">
      <alignment horizontal="left" vertical="center" wrapText="1"/>
    </xf>
    <xf numFmtId="3" fontId="53" fillId="10" borderId="40" xfId="0" applyNumberFormat="1" applyFont="1" applyFill="1" applyBorder="1" applyAlignment="1">
      <alignment horizontal="center" vertical="center"/>
    </xf>
    <xf numFmtId="3" fontId="53" fillId="10" borderId="18" xfId="0" applyNumberFormat="1" applyFont="1" applyFill="1" applyBorder="1" applyAlignment="1">
      <alignment horizontal="center" vertical="center"/>
    </xf>
    <xf numFmtId="49" fontId="53" fillId="10" borderId="12" xfId="0" applyNumberFormat="1" applyFont="1" applyFill="1" applyBorder="1" applyAlignment="1">
      <alignment horizontal="center" vertical="center"/>
    </xf>
    <xf numFmtId="0" fontId="53" fillId="10" borderId="12" xfId="0" applyFont="1" applyFill="1" applyBorder="1" applyAlignment="1">
      <alignment horizontal="center" vertical="center"/>
    </xf>
    <xf numFmtId="0" fontId="53" fillId="10" borderId="12" xfId="0" applyFont="1" applyFill="1" applyBorder="1" applyAlignment="1">
      <alignment horizontal="center" vertical="center" wrapText="1"/>
    </xf>
    <xf numFmtId="0" fontId="53" fillId="10" borderId="11" xfId="0" applyFont="1" applyFill="1" applyBorder="1" applyAlignment="1">
      <alignment horizontal="center" vertical="center"/>
    </xf>
    <xf numFmtId="3" fontId="53" fillId="10" borderId="41" xfId="0" applyNumberFormat="1" applyFont="1" applyFill="1" applyBorder="1" applyAlignment="1">
      <alignment horizontal="center" vertical="center"/>
    </xf>
    <xf numFmtId="3" fontId="53" fillId="10" borderId="17" xfId="0" applyNumberFormat="1" applyFont="1" applyFill="1" applyBorder="1" applyAlignment="1">
      <alignment horizontal="center" vertical="center"/>
    </xf>
    <xf numFmtId="49" fontId="53" fillId="10" borderId="1" xfId="0" applyNumberFormat="1" applyFont="1" applyFill="1" applyBorder="1" applyAlignment="1">
      <alignment horizontal="center" vertical="center"/>
    </xf>
    <xf numFmtId="0" fontId="53" fillId="10" borderId="1" xfId="0" applyFont="1" applyFill="1" applyBorder="1" applyAlignment="1">
      <alignment horizontal="center" vertical="center"/>
    </xf>
    <xf numFmtId="0" fontId="53" fillId="10" borderId="1" xfId="0" applyFont="1" applyFill="1" applyBorder="1" applyAlignment="1">
      <alignment horizontal="center" vertical="center" wrapText="1"/>
    </xf>
    <xf numFmtId="0" fontId="53" fillId="10" borderId="9" xfId="0" applyFont="1" applyFill="1" applyBorder="1" applyAlignment="1">
      <alignment horizontal="center" vertical="center"/>
    </xf>
    <xf numFmtId="3" fontId="53" fillId="11" borderId="41" xfId="0" applyNumberFormat="1" applyFont="1" applyFill="1" applyBorder="1" applyAlignment="1">
      <alignment horizontal="center" vertical="center"/>
    </xf>
    <xf numFmtId="3" fontId="53" fillId="11" borderId="17" xfId="0" applyNumberFormat="1" applyFont="1" applyFill="1" applyBorder="1" applyAlignment="1">
      <alignment horizontal="center" vertical="center"/>
    </xf>
    <xf numFmtId="49" fontId="53" fillId="11" borderId="1" xfId="0" applyNumberFormat="1" applyFont="1" applyFill="1" applyBorder="1" applyAlignment="1">
      <alignment horizontal="center" vertical="center"/>
    </xf>
    <xf numFmtId="0" fontId="53" fillId="11" borderId="1" xfId="0" applyFont="1" applyFill="1" applyBorder="1" applyAlignment="1">
      <alignment horizontal="center" vertical="center"/>
    </xf>
    <xf numFmtId="0" fontId="53" fillId="11" borderId="1" xfId="0" applyFont="1" applyFill="1" applyBorder="1" applyAlignment="1">
      <alignment horizontal="center" vertical="center" wrapText="1"/>
    </xf>
    <xf numFmtId="0" fontId="53" fillId="11" borderId="9" xfId="0" applyFont="1" applyFill="1" applyBorder="1" applyAlignment="1">
      <alignment horizontal="center" vertical="center"/>
    </xf>
    <xf numFmtId="4" fontId="55" fillId="0" borderId="0" xfId="0" applyNumberFormat="1" applyFont="1" applyAlignment="1">
      <alignment horizontal="left" vertical="center" wrapText="1"/>
    </xf>
    <xf numFmtId="3" fontId="53" fillId="12" borderId="44" xfId="0" applyNumberFormat="1" applyFont="1" applyFill="1" applyBorder="1" applyAlignment="1">
      <alignment horizontal="center" vertical="center"/>
    </xf>
    <xf numFmtId="3" fontId="53" fillId="12" borderId="16" xfId="0" applyNumberFormat="1" applyFont="1" applyFill="1" applyBorder="1" applyAlignment="1">
      <alignment horizontal="center" vertical="center"/>
    </xf>
    <xf numFmtId="49" fontId="53" fillId="12" borderId="7" xfId="0" applyNumberFormat="1" applyFont="1" applyFill="1" applyBorder="1" applyAlignment="1">
      <alignment horizontal="center" vertical="center"/>
    </xf>
    <xf numFmtId="0" fontId="53" fillId="12" borderId="7" xfId="0" applyFont="1" applyFill="1" applyBorder="1" applyAlignment="1">
      <alignment horizontal="center" vertical="center"/>
    </xf>
    <xf numFmtId="0" fontId="53" fillId="12" borderId="7" xfId="0" applyFont="1" applyFill="1" applyBorder="1" applyAlignment="1">
      <alignment horizontal="center" vertical="center" wrapText="1"/>
    </xf>
    <xf numFmtId="0" fontId="53" fillId="12" borderId="6" xfId="0" applyFont="1" applyFill="1" applyBorder="1" applyAlignment="1">
      <alignment horizontal="center" vertical="center"/>
    </xf>
    <xf numFmtId="0" fontId="53" fillId="13" borderId="0" xfId="0" applyFont="1" applyFill="1" applyAlignment="1">
      <alignment horizontal="center" vertical="center"/>
    </xf>
    <xf numFmtId="3" fontId="53" fillId="13" borderId="40" xfId="0" applyNumberFormat="1" applyFont="1" applyFill="1" applyBorder="1" applyAlignment="1">
      <alignment horizontal="center" vertical="center"/>
    </xf>
    <xf numFmtId="3" fontId="53" fillId="8" borderId="41" xfId="0" applyNumberFormat="1" applyFont="1" applyFill="1" applyBorder="1" applyAlignment="1">
      <alignment horizontal="center" vertical="center"/>
    </xf>
    <xf numFmtId="3" fontId="53" fillId="8" borderId="17" xfId="0" applyNumberFormat="1" applyFont="1" applyFill="1" applyBorder="1" applyAlignment="1">
      <alignment horizontal="center" vertical="center"/>
    </xf>
    <xf numFmtId="49" fontId="53" fillId="8" borderId="1" xfId="0" applyNumberFormat="1" applyFont="1" applyFill="1" applyBorder="1" applyAlignment="1">
      <alignment horizontal="center" vertical="center"/>
    </xf>
    <xf numFmtId="0" fontId="53" fillId="8" borderId="1" xfId="0" applyFont="1" applyFill="1" applyBorder="1" applyAlignment="1">
      <alignment horizontal="center" vertical="center"/>
    </xf>
    <xf numFmtId="0" fontId="53" fillId="8" borderId="1" xfId="0" applyFont="1" applyFill="1" applyBorder="1" applyAlignment="1">
      <alignment horizontal="center" vertical="center" wrapText="1"/>
    </xf>
    <xf numFmtId="0" fontId="53" fillId="8" borderId="9" xfId="0" applyFont="1" applyFill="1" applyBorder="1" applyAlignment="1">
      <alignment horizontal="center" vertical="center"/>
    </xf>
    <xf numFmtId="3" fontId="53" fillId="8" borderId="44" xfId="0" applyNumberFormat="1" applyFont="1" applyFill="1" applyBorder="1" applyAlignment="1">
      <alignment horizontal="center" vertical="center"/>
    </xf>
    <xf numFmtId="3" fontId="53" fillId="8" borderId="16" xfId="0" applyNumberFormat="1" applyFont="1" applyFill="1" applyBorder="1" applyAlignment="1">
      <alignment horizontal="center" vertical="center"/>
    </xf>
    <xf numFmtId="49" fontId="53" fillId="8" borderId="7" xfId="0" applyNumberFormat="1" applyFont="1" applyFill="1" applyBorder="1" applyAlignment="1">
      <alignment horizontal="center" vertical="center"/>
    </xf>
    <xf numFmtId="0" fontId="53" fillId="8" borderId="7" xfId="0" applyFont="1" applyFill="1" applyBorder="1" applyAlignment="1">
      <alignment horizontal="center" vertical="center"/>
    </xf>
    <xf numFmtId="0" fontId="53" fillId="8" borderId="7" xfId="0" applyFont="1" applyFill="1" applyBorder="1" applyAlignment="1">
      <alignment horizontal="center" vertical="center" wrapText="1"/>
    </xf>
    <xf numFmtId="0" fontId="53" fillId="8" borderId="6" xfId="0" applyFont="1" applyFill="1" applyBorder="1" applyAlignment="1">
      <alignment horizontal="center" vertical="center"/>
    </xf>
    <xf numFmtId="0" fontId="54" fillId="0" borderId="2" xfId="0" applyFont="1" applyBorder="1" applyAlignment="1">
      <alignment horizontal="center" vertical="center" wrapText="1"/>
    </xf>
    <xf numFmtId="49" fontId="54" fillId="0" borderId="2" xfId="0" applyNumberFormat="1" applyFont="1" applyBorder="1" applyAlignment="1">
      <alignment horizontal="center" vertical="center" wrapText="1"/>
    </xf>
    <xf numFmtId="0" fontId="59" fillId="0" borderId="0" xfId="0" applyFont="1" applyAlignment="1">
      <alignment horizontal="center" vertical="center" wrapText="1"/>
    </xf>
    <xf numFmtId="0" fontId="0" fillId="0" borderId="0" xfId="0" applyAlignment="1">
      <alignment horizontal="center" vertical="center"/>
    </xf>
    <xf numFmtId="0" fontId="52" fillId="0" borderId="0" xfId="0" applyFont="1" applyAlignment="1">
      <alignment horizontal="left" vertical="center" wrapText="1"/>
    </xf>
    <xf numFmtId="3" fontId="56" fillId="13" borderId="14" xfId="0" applyNumberFormat="1" applyFont="1" applyFill="1" applyBorder="1" applyAlignment="1">
      <alignment horizontal="center" vertical="center"/>
    </xf>
    <xf numFmtId="3" fontId="56" fillId="13" borderId="46" xfId="0" applyNumberFormat="1" applyFont="1" applyFill="1" applyBorder="1" applyAlignment="1">
      <alignment horizontal="center" vertical="center"/>
    </xf>
    <xf numFmtId="49" fontId="53" fillId="13" borderId="12" xfId="0" applyNumberFormat="1" applyFont="1" applyFill="1" applyBorder="1" applyAlignment="1">
      <alignment horizontal="center" vertical="center"/>
    </xf>
    <xf numFmtId="0" fontId="53" fillId="13" borderId="12" xfId="0" applyFont="1" applyFill="1" applyBorder="1" applyAlignment="1">
      <alignment horizontal="center" vertical="center"/>
    </xf>
    <xf numFmtId="0" fontId="53" fillId="13" borderId="12" xfId="0" applyFont="1" applyFill="1" applyBorder="1" applyAlignment="1">
      <alignment horizontal="center" vertical="center" wrapText="1"/>
    </xf>
    <xf numFmtId="0" fontId="53" fillId="13" borderId="11" xfId="0" applyFont="1" applyFill="1" applyBorder="1" applyAlignment="1">
      <alignment horizontal="center" vertical="center"/>
    </xf>
    <xf numFmtId="3" fontId="53" fillId="13" borderId="3" xfId="0" applyNumberFormat="1" applyFont="1" applyFill="1" applyBorder="1" applyAlignment="1">
      <alignment horizontal="center" vertical="center"/>
    </xf>
    <xf numFmtId="49" fontId="53" fillId="13" borderId="1" xfId="0" applyNumberFormat="1" applyFont="1" applyFill="1" applyBorder="1" applyAlignment="1">
      <alignment horizontal="center" vertical="center"/>
    </xf>
    <xf numFmtId="0" fontId="53" fillId="13" borderId="1" xfId="0" applyFont="1" applyFill="1" applyBorder="1" applyAlignment="1">
      <alignment horizontal="center" vertical="center"/>
    </xf>
    <xf numFmtId="0" fontId="53" fillId="13" borderId="1" xfId="0" applyFont="1" applyFill="1" applyBorder="1" applyAlignment="1">
      <alignment horizontal="center" vertical="center" wrapText="1"/>
    </xf>
    <xf numFmtId="0" fontId="53" fillId="13" borderId="9" xfId="0" applyFont="1" applyFill="1" applyBorder="1" applyAlignment="1">
      <alignment horizontal="center" vertical="center"/>
    </xf>
    <xf numFmtId="0" fontId="52" fillId="0" borderId="41" xfId="0" applyFont="1" applyBorder="1" applyAlignment="1">
      <alignment horizontal="left" vertical="center" wrapText="1"/>
    </xf>
    <xf numFmtId="49" fontId="53" fillId="14" borderId="13" xfId="0" applyNumberFormat="1" applyFont="1" applyFill="1" applyBorder="1" applyAlignment="1">
      <alignment horizontal="center" vertical="center"/>
    </xf>
    <xf numFmtId="0" fontId="53" fillId="14" borderId="13" xfId="0" applyFont="1" applyFill="1" applyBorder="1" applyAlignment="1">
      <alignment horizontal="center" vertical="center"/>
    </xf>
    <xf numFmtId="0" fontId="53" fillId="14" borderId="13" xfId="0" applyFont="1" applyFill="1" applyBorder="1" applyAlignment="1">
      <alignment horizontal="center" vertical="center" wrapText="1"/>
    </xf>
    <xf numFmtId="0" fontId="53" fillId="14" borderId="26" xfId="0" applyFont="1" applyFill="1" applyBorder="1" applyAlignment="1">
      <alignment horizontal="center" vertical="center"/>
    </xf>
    <xf numFmtId="0" fontId="0" fillId="14" borderId="10" xfId="0" applyFill="1" applyBorder="1" applyAlignment="1">
      <alignment horizontal="center" vertical="center"/>
    </xf>
    <xf numFmtId="0" fontId="52" fillId="0" borderId="40" xfId="0" applyFont="1" applyBorder="1" applyAlignment="1">
      <alignment horizontal="left" vertical="center" wrapText="1"/>
    </xf>
    <xf numFmtId="49" fontId="53" fillId="15" borderId="1" xfId="0" applyNumberFormat="1" applyFont="1" applyFill="1" applyBorder="1" applyAlignment="1">
      <alignment horizontal="center" vertical="center"/>
    </xf>
    <xf numFmtId="0" fontId="53" fillId="15" borderId="1" xfId="0" applyFont="1" applyFill="1" applyBorder="1" applyAlignment="1">
      <alignment horizontal="center" vertical="center"/>
    </xf>
    <xf numFmtId="0" fontId="53" fillId="15" borderId="1" xfId="0" applyFont="1" applyFill="1" applyBorder="1" applyAlignment="1">
      <alignment horizontal="center" vertical="center" wrapText="1"/>
    </xf>
    <xf numFmtId="0" fontId="53" fillId="15" borderId="9" xfId="0" applyFont="1" applyFill="1" applyBorder="1" applyAlignment="1">
      <alignment horizontal="center" vertical="center"/>
    </xf>
    <xf numFmtId="0" fontId="18" fillId="0" borderId="0" xfId="0" applyFont="1" applyAlignment="1">
      <alignment vertical="center"/>
    </xf>
    <xf numFmtId="3" fontId="53" fillId="12" borderId="1" xfId="0" applyNumberFormat="1" applyFont="1" applyFill="1" applyBorder="1" applyAlignment="1">
      <alignment horizontal="center" vertical="center"/>
    </xf>
    <xf numFmtId="0" fontId="53" fillId="12" borderId="1" xfId="0" applyFont="1" applyFill="1" applyBorder="1" applyAlignment="1">
      <alignment horizontal="center" vertical="center" wrapText="1"/>
    </xf>
    <xf numFmtId="0" fontId="0" fillId="16" borderId="0" xfId="0" applyFill="1"/>
    <xf numFmtId="0" fontId="52" fillId="0" borderId="41" xfId="0" applyFont="1" applyBorder="1" applyAlignment="1">
      <alignment wrapText="1"/>
    </xf>
    <xf numFmtId="0" fontId="53" fillId="0" borderId="0" xfId="0" applyFont="1" applyAlignment="1">
      <alignment wrapText="1"/>
    </xf>
    <xf numFmtId="49" fontId="53" fillId="12" borderId="1" xfId="0" applyNumberFormat="1" applyFont="1" applyFill="1" applyBorder="1" applyAlignment="1">
      <alignment horizontal="center" vertical="center"/>
    </xf>
    <xf numFmtId="49" fontId="53" fillId="12" borderId="8" xfId="0" applyNumberFormat="1" applyFont="1" applyFill="1" applyBorder="1" applyAlignment="1">
      <alignment horizontal="center" vertical="center"/>
    </xf>
    <xf numFmtId="0" fontId="53" fillId="12" borderId="8" xfId="0" applyFont="1" applyFill="1" applyBorder="1" applyAlignment="1">
      <alignment horizontal="center" vertical="center"/>
    </xf>
    <xf numFmtId="3" fontId="18" fillId="0" borderId="0" xfId="0" applyNumberFormat="1" applyFont="1" applyAlignment="1">
      <alignment vertical="center"/>
    </xf>
    <xf numFmtId="3" fontId="53" fillId="16" borderId="3" xfId="0" applyNumberFormat="1" applyFont="1" applyFill="1" applyBorder="1" applyAlignment="1">
      <alignment horizontal="center" vertical="center"/>
    </xf>
    <xf numFmtId="49" fontId="53" fillId="16" borderId="1" xfId="0" applyNumberFormat="1" applyFont="1" applyFill="1" applyBorder="1" applyAlignment="1">
      <alignment horizontal="center" vertical="center"/>
    </xf>
    <xf numFmtId="0" fontId="53" fillId="16" borderId="1" xfId="0" applyFont="1" applyFill="1" applyBorder="1" applyAlignment="1">
      <alignment horizontal="center" vertical="center"/>
    </xf>
    <xf numFmtId="0" fontId="53" fillId="16" borderId="1" xfId="0" applyFont="1" applyFill="1" applyBorder="1" applyAlignment="1">
      <alignment horizontal="center" vertical="center" wrapText="1"/>
    </xf>
    <xf numFmtId="49" fontId="53" fillId="17" borderId="12" xfId="0" applyNumberFormat="1" applyFont="1" applyFill="1" applyBorder="1" applyAlignment="1">
      <alignment horizontal="center" vertical="center"/>
    </xf>
    <xf numFmtId="0" fontId="53" fillId="17" borderId="12" xfId="0" applyFont="1" applyFill="1" applyBorder="1" applyAlignment="1">
      <alignment horizontal="center" vertical="center"/>
    </xf>
    <xf numFmtId="0" fontId="53" fillId="17" borderId="12" xfId="0" applyFont="1" applyFill="1" applyBorder="1" applyAlignment="1">
      <alignment horizontal="center" vertical="center" wrapText="1"/>
    </xf>
    <xf numFmtId="49" fontId="53" fillId="17" borderId="7" xfId="0" applyNumberFormat="1" applyFont="1" applyFill="1" applyBorder="1" applyAlignment="1">
      <alignment horizontal="center" vertical="center"/>
    </xf>
    <xf numFmtId="0" fontId="53" fillId="17" borderId="7" xfId="0" applyFont="1" applyFill="1" applyBorder="1" applyAlignment="1">
      <alignment horizontal="center" vertical="center"/>
    </xf>
    <xf numFmtId="0" fontId="53" fillId="17" borderId="7" xfId="0" applyFont="1" applyFill="1" applyBorder="1" applyAlignment="1">
      <alignment horizontal="center" vertical="center" wrapText="1"/>
    </xf>
    <xf numFmtId="0" fontId="63" fillId="0" borderId="0" xfId="0" applyFont="1" applyAlignment="1">
      <alignment horizontal="center" vertical="center" wrapText="1"/>
    </xf>
    <xf numFmtId="3" fontId="53" fillId="17" borderId="49" xfId="0" applyNumberFormat="1" applyFont="1" applyFill="1" applyBorder="1" applyAlignment="1">
      <alignment horizontal="center" vertical="center"/>
    </xf>
    <xf numFmtId="3" fontId="53" fillId="17" borderId="46" xfId="0" applyNumberFormat="1" applyFont="1" applyFill="1" applyBorder="1" applyAlignment="1">
      <alignment horizontal="center" vertical="center"/>
    </xf>
    <xf numFmtId="3" fontId="53" fillId="12" borderId="3" xfId="0" applyNumberFormat="1" applyFont="1" applyFill="1" applyBorder="1" applyAlignment="1">
      <alignment horizontal="center" vertical="center"/>
    </xf>
    <xf numFmtId="3" fontId="53" fillId="11" borderId="3" xfId="0" applyNumberFormat="1" applyFont="1" applyFill="1" applyBorder="1" applyAlignment="1">
      <alignment horizontal="center" vertical="center"/>
    </xf>
    <xf numFmtId="3" fontId="53" fillId="15" borderId="3" xfId="0" applyNumberFormat="1" applyFont="1" applyFill="1" applyBorder="1" applyAlignment="1">
      <alignment horizontal="center" vertical="center"/>
    </xf>
    <xf numFmtId="3" fontId="53" fillId="10" borderId="46" xfId="0" applyNumberFormat="1" applyFont="1" applyFill="1" applyBorder="1" applyAlignment="1">
      <alignment horizontal="center" vertical="center"/>
    </xf>
    <xf numFmtId="3" fontId="53" fillId="14" borderId="31" xfId="0" applyNumberFormat="1" applyFont="1" applyFill="1" applyBorder="1" applyAlignment="1">
      <alignment horizontal="center" vertical="center"/>
    </xf>
    <xf numFmtId="3" fontId="53" fillId="17" borderId="1" xfId="0" applyNumberFormat="1" applyFont="1" applyFill="1" applyBorder="1" applyAlignment="1">
      <alignment horizontal="center" vertical="center"/>
    </xf>
    <xf numFmtId="3" fontId="53" fillId="13" borderId="1" xfId="0" applyNumberFormat="1" applyFont="1" applyFill="1" applyBorder="1" applyAlignment="1">
      <alignment horizontal="center" vertical="center"/>
    </xf>
    <xf numFmtId="3" fontId="53" fillId="16" borderId="1" xfId="0" applyNumberFormat="1" applyFont="1" applyFill="1" applyBorder="1" applyAlignment="1">
      <alignment horizontal="center" vertical="center"/>
    </xf>
    <xf numFmtId="3" fontId="53" fillId="11" borderId="1" xfId="0" applyNumberFormat="1" applyFont="1" applyFill="1" applyBorder="1" applyAlignment="1">
      <alignment horizontal="center" vertical="center"/>
    </xf>
    <xf numFmtId="3" fontId="53" fillId="15" borderId="1" xfId="0" applyNumberFormat="1" applyFont="1" applyFill="1" applyBorder="1" applyAlignment="1">
      <alignment horizontal="center" vertical="center"/>
    </xf>
    <xf numFmtId="3" fontId="53" fillId="10" borderId="1" xfId="0" applyNumberFormat="1" applyFont="1" applyFill="1" applyBorder="1" applyAlignment="1">
      <alignment horizontal="center" vertical="center"/>
    </xf>
    <xf numFmtId="3" fontId="53" fillId="14" borderId="1" xfId="0" applyNumberFormat="1" applyFont="1" applyFill="1" applyBorder="1" applyAlignment="1">
      <alignment horizontal="center" vertical="center"/>
    </xf>
    <xf numFmtId="3" fontId="56" fillId="13" borderId="1" xfId="0" applyNumberFormat="1" applyFont="1" applyFill="1" applyBorder="1" applyAlignment="1">
      <alignment horizontal="center" vertical="center"/>
    </xf>
    <xf numFmtId="0" fontId="59"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27" fillId="0" borderId="1" xfId="0" applyNumberFormat="1" applyFont="1" applyBorder="1"/>
    <xf numFmtId="0" fontId="53" fillId="11" borderId="7" xfId="0" applyFont="1" applyFill="1" applyBorder="1" applyAlignment="1">
      <alignment horizontal="center" vertical="center"/>
    </xf>
    <xf numFmtId="0" fontId="53" fillId="11" borderId="7" xfId="0" applyFont="1" applyFill="1" applyBorder="1" applyAlignment="1">
      <alignment horizontal="center" vertical="center" wrapText="1"/>
    </xf>
    <xf numFmtId="0" fontId="53" fillId="11" borderId="6" xfId="0" applyFont="1" applyFill="1" applyBorder="1" applyAlignment="1">
      <alignment horizontal="center" vertical="center"/>
    </xf>
    <xf numFmtId="0" fontId="53" fillId="12" borderId="12" xfId="0" applyFont="1" applyFill="1" applyBorder="1" applyAlignment="1">
      <alignment horizontal="center" vertical="center" wrapText="1"/>
    </xf>
    <xf numFmtId="0" fontId="52" fillId="0" borderId="40" xfId="0" applyFont="1" applyBorder="1" applyAlignment="1">
      <alignment vertical="center" wrapText="1"/>
    </xf>
    <xf numFmtId="49" fontId="53" fillId="4" borderId="12" xfId="0" applyNumberFormat="1" applyFont="1" applyFill="1" applyBorder="1" applyAlignment="1">
      <alignment horizontal="center" vertical="center"/>
    </xf>
    <xf numFmtId="0" fontId="53" fillId="4" borderId="12" xfId="0" applyFont="1" applyFill="1" applyBorder="1" applyAlignment="1">
      <alignment horizontal="center" vertical="center"/>
    </xf>
    <xf numFmtId="0" fontId="53" fillId="4" borderId="12" xfId="0" applyFont="1" applyFill="1" applyBorder="1" applyAlignment="1">
      <alignment horizontal="center" vertical="center" wrapText="1"/>
    </xf>
    <xf numFmtId="0" fontId="59"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52" fillId="0" borderId="41" xfId="0" applyFont="1" applyBorder="1" applyAlignment="1">
      <alignment vertical="center" wrapText="1"/>
    </xf>
    <xf numFmtId="3" fontId="0" fillId="0" borderId="1" xfId="0" applyNumberFormat="1" applyBorder="1"/>
    <xf numFmtId="49" fontId="53" fillId="13" borderId="7" xfId="0" applyNumberFormat="1" applyFont="1" applyFill="1" applyBorder="1" applyAlignment="1">
      <alignment horizontal="center" vertical="center"/>
    </xf>
    <xf numFmtId="0" fontId="53" fillId="13" borderId="7" xfId="0" applyFont="1" applyFill="1" applyBorder="1" applyAlignment="1">
      <alignment horizontal="center" vertical="center"/>
    </xf>
    <xf numFmtId="0" fontId="53" fillId="13" borderId="7" xfId="0" applyFont="1" applyFill="1" applyBorder="1" applyAlignment="1">
      <alignment horizontal="center" vertical="center" wrapText="1"/>
    </xf>
    <xf numFmtId="0" fontId="62" fillId="13" borderId="7" xfId="0" applyFont="1" applyFill="1" applyBorder="1" applyAlignment="1">
      <alignment vertical="center" wrapText="1"/>
    </xf>
    <xf numFmtId="0" fontId="0" fillId="13" borderId="6" xfId="0" applyFill="1" applyBorder="1" applyAlignment="1">
      <alignment horizontal="center" vertical="center" wrapText="1"/>
    </xf>
    <xf numFmtId="3" fontId="53" fillId="13" borderId="49" xfId="0" applyNumberFormat="1" applyFont="1" applyFill="1" applyBorder="1" applyAlignment="1">
      <alignment horizontal="center" vertical="center"/>
    </xf>
    <xf numFmtId="3" fontId="53" fillId="4" borderId="46" xfId="0" applyNumberFormat="1" applyFont="1" applyFill="1" applyBorder="1" applyAlignment="1">
      <alignment horizontal="center" vertical="center"/>
    </xf>
    <xf numFmtId="3" fontId="53" fillId="12" borderId="49" xfId="0" applyNumberFormat="1" applyFont="1" applyFill="1" applyBorder="1" applyAlignment="1">
      <alignment horizontal="center" vertical="center"/>
    </xf>
    <xf numFmtId="3" fontId="53" fillId="12" borderId="46" xfId="0" applyNumberFormat="1" applyFont="1" applyFill="1" applyBorder="1" applyAlignment="1">
      <alignment horizontal="center" vertical="center"/>
    </xf>
    <xf numFmtId="3" fontId="53" fillId="11" borderId="49" xfId="0" applyNumberFormat="1" applyFont="1" applyFill="1" applyBorder="1" applyAlignment="1">
      <alignment horizontal="center" vertical="center"/>
    </xf>
    <xf numFmtId="3" fontId="53" fillId="14" borderId="3" xfId="0" applyNumberFormat="1" applyFont="1" applyFill="1" applyBorder="1" applyAlignment="1">
      <alignment horizontal="center" vertical="center"/>
    </xf>
    <xf numFmtId="3" fontId="53" fillId="4" borderId="1" xfId="0" applyNumberFormat="1" applyFont="1" applyFill="1" applyBorder="1" applyAlignment="1">
      <alignment horizontal="center" vertical="center"/>
    </xf>
    <xf numFmtId="0" fontId="53" fillId="12" borderId="13" xfId="0" applyFont="1" applyFill="1" applyBorder="1" applyAlignment="1">
      <alignment horizontal="center" vertical="center" wrapText="1"/>
    </xf>
    <xf numFmtId="49" fontId="53" fillId="12" borderId="10" xfId="0" applyNumberFormat="1" applyFont="1" applyFill="1" applyBorder="1" applyAlignment="1">
      <alignment horizontal="center" vertical="center"/>
    </xf>
    <xf numFmtId="3" fontId="53" fillId="12" borderId="31" xfId="0" applyNumberFormat="1" applyFont="1" applyFill="1" applyBorder="1" applyAlignment="1">
      <alignment horizontal="center" vertical="center"/>
    </xf>
    <xf numFmtId="0" fontId="52" fillId="0" borderId="0" xfId="0" applyFont="1" applyBorder="1" applyAlignment="1">
      <alignment horizontal="left" vertical="center" wrapText="1"/>
    </xf>
    <xf numFmtId="0" fontId="53" fillId="12" borderId="2" xfId="0" applyFont="1" applyFill="1" applyBorder="1" applyAlignment="1">
      <alignment horizontal="center" vertical="center" wrapText="1"/>
    </xf>
    <xf numFmtId="3" fontId="53" fillId="12" borderId="14" xfId="0" applyNumberFormat="1" applyFont="1" applyFill="1" applyBorder="1" applyAlignment="1">
      <alignment horizontal="center" vertical="center"/>
    </xf>
    <xf numFmtId="0" fontId="53" fillId="12" borderId="10" xfId="0" applyFont="1" applyFill="1" applyBorder="1" applyAlignment="1">
      <alignment horizontal="center" vertical="center" wrapText="1"/>
    </xf>
    <xf numFmtId="3" fontId="53" fillId="12" borderId="19" xfId="0" applyNumberFormat="1" applyFont="1" applyFill="1" applyBorder="1" applyAlignment="1">
      <alignment horizontal="center" vertical="center"/>
    </xf>
    <xf numFmtId="49" fontId="53" fillId="11" borderId="13" xfId="0" applyNumberFormat="1" applyFont="1" applyFill="1" applyBorder="1" applyAlignment="1">
      <alignment horizontal="center" vertical="center"/>
    </xf>
    <xf numFmtId="49" fontId="18" fillId="8" borderId="1" xfId="0" applyNumberFormat="1" applyFont="1" applyFill="1" applyBorder="1" applyAlignment="1">
      <alignment horizontal="center" vertical="center" wrapText="1"/>
    </xf>
    <xf numFmtId="49" fontId="18" fillId="4" borderId="7" xfId="0" applyNumberFormat="1" applyFont="1" applyFill="1" applyBorder="1" applyAlignment="1">
      <alignment horizontal="center" vertical="center" wrapText="1"/>
    </xf>
    <xf numFmtId="49" fontId="18" fillId="4" borderId="13" xfId="0" applyNumberFormat="1" applyFont="1" applyFill="1" applyBorder="1" applyAlignment="1">
      <alignment horizontal="center" vertical="center" wrapText="1"/>
    </xf>
    <xf numFmtId="49" fontId="18" fillId="4" borderId="10" xfId="0" applyNumberFormat="1"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49" fontId="18" fillId="8" borderId="12" xfId="0" applyNumberFormat="1" applyFont="1" applyFill="1" applyBorder="1" applyAlignment="1">
      <alignment horizontal="center" vertical="center" wrapText="1"/>
    </xf>
    <xf numFmtId="3" fontId="18" fillId="0" borderId="12" xfId="0" applyNumberFormat="1" applyFont="1" applyBorder="1" applyAlignment="1">
      <alignment horizontal="center" vertical="center" wrapText="1"/>
    </xf>
    <xf numFmtId="49" fontId="27" fillId="0" borderId="49" xfId="0" applyNumberFormat="1" applyFont="1" applyBorder="1" applyAlignment="1">
      <alignment vertical="center" wrapText="1"/>
    </xf>
    <xf numFmtId="49" fontId="27" fillId="0" borderId="3" xfId="0" applyNumberFormat="1"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49" fontId="27" fillId="0" borderId="1" xfId="0" applyNumberFormat="1" applyFont="1" applyBorder="1" applyAlignment="1">
      <alignment horizontal="center" vertical="center" wrapText="1"/>
    </xf>
    <xf numFmtId="4" fontId="15" fillId="0" borderId="12"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xf>
    <xf numFmtId="49" fontId="0" fillId="0" borderId="1" xfId="0" applyNumberFormat="1" applyFont="1" applyBorder="1" applyAlignment="1">
      <alignment horizontal="center" vertical="center" wrapText="1"/>
    </xf>
    <xf numFmtId="0" fontId="27" fillId="2" borderId="33" xfId="0" applyFont="1" applyFill="1" applyBorder="1" applyAlignment="1">
      <alignment vertical="center" wrapText="1"/>
    </xf>
    <xf numFmtId="2" fontId="44" fillId="0" borderId="0" xfId="0" applyNumberFormat="1" applyFont="1" applyAlignment="1">
      <alignment wrapText="1"/>
    </xf>
    <xf numFmtId="2" fontId="39" fillId="0" borderId="0" xfId="0" applyNumberFormat="1" applyFont="1" applyBorder="1" applyAlignment="1">
      <alignment wrapText="1"/>
    </xf>
    <xf numFmtId="49" fontId="18" fillId="0" borderId="7" xfId="0" applyNumberFormat="1" applyFont="1" applyBorder="1" applyAlignment="1">
      <alignment horizontal="center" vertical="center"/>
    </xf>
    <xf numFmtId="3" fontId="18" fillId="0" borderId="7" xfId="0" applyNumberFormat="1" applyFont="1" applyBorder="1" applyAlignment="1">
      <alignment horizontal="center" vertical="center" wrapText="1"/>
    </xf>
    <xf numFmtId="49" fontId="18" fillId="0" borderId="16" xfId="0" applyNumberFormat="1" applyFont="1" applyBorder="1" applyAlignment="1">
      <alignment vertical="center" wrapText="1"/>
    </xf>
    <xf numFmtId="49" fontId="18" fillId="0" borderId="39" xfId="0" applyNumberFormat="1" applyFont="1" applyBorder="1" applyAlignment="1">
      <alignment horizontal="center" vertical="center"/>
    </xf>
    <xf numFmtId="4" fontId="18" fillId="0" borderId="12" xfId="0" applyNumberFormat="1" applyFont="1" applyBorder="1" applyAlignment="1">
      <alignment horizontal="center" vertical="center" wrapText="1"/>
    </xf>
    <xf numFmtId="49" fontId="18" fillId="0" borderId="18" xfId="0" applyNumberFormat="1" applyFont="1" applyBorder="1" applyAlignment="1">
      <alignment vertical="center" wrapText="1"/>
    </xf>
    <xf numFmtId="3" fontId="58" fillId="0" borderId="0" xfId="0" applyNumberFormat="1" applyFont="1" applyAlignment="1">
      <alignment horizontal="center" vertical="center" wrapText="1"/>
    </xf>
    <xf numFmtId="3" fontId="27" fillId="0" borderId="7" xfId="0" applyNumberFormat="1" applyFont="1" applyFill="1" applyBorder="1" applyAlignment="1">
      <alignment horizontal="center" vertical="center" wrapText="1"/>
    </xf>
    <xf numFmtId="168" fontId="27" fillId="0" borderId="1" xfId="0" applyNumberFormat="1" applyFont="1" applyFill="1" applyBorder="1" applyAlignment="1">
      <alignment horizontal="center" vertical="center" wrapText="1"/>
    </xf>
    <xf numFmtId="168" fontId="27" fillId="0" borderId="12" xfId="0" applyNumberFormat="1" applyFont="1" applyFill="1" applyBorder="1" applyAlignment="1">
      <alignment horizontal="center" vertical="center" wrapText="1"/>
    </xf>
    <xf numFmtId="49" fontId="47" fillId="0" borderId="0" xfId="0" applyNumberFormat="1" applyFont="1" applyAlignment="1">
      <alignment vertical="center" wrapText="1"/>
    </xf>
    <xf numFmtId="3" fontId="27" fillId="0" borderId="5" xfId="0" applyNumberFormat="1" applyFont="1" applyBorder="1" applyAlignment="1">
      <alignment horizontal="center" vertical="center" wrapText="1"/>
    </xf>
    <xf numFmtId="1" fontId="27" fillId="0" borderId="5" xfId="0" applyNumberFormat="1" applyFont="1" applyBorder="1" applyAlignment="1">
      <alignment horizontal="center" vertical="center" wrapText="1"/>
    </xf>
    <xf numFmtId="49" fontId="27" fillId="0" borderId="46" xfId="0" applyNumberFormat="1" applyFont="1" applyBorder="1" applyAlignment="1">
      <alignment vertical="center" wrapText="1"/>
    </xf>
    <xf numFmtId="166" fontId="0" fillId="0" borderId="13" xfId="0" applyNumberFormat="1" applyFont="1" applyBorder="1" applyAlignment="1">
      <alignment horizontal="center" vertical="center" wrapText="1"/>
    </xf>
    <xf numFmtId="3" fontId="24" fillId="0" borderId="2" xfId="0" applyNumberFormat="1" applyFont="1" applyFill="1" applyBorder="1" applyAlignment="1">
      <alignment horizontal="center" vertical="center" wrapText="1"/>
    </xf>
    <xf numFmtId="49" fontId="18" fillId="2" borderId="16" xfId="0" applyNumberFormat="1" applyFont="1" applyFill="1" applyBorder="1" applyAlignment="1">
      <alignment vertical="center" wrapText="1"/>
    </xf>
    <xf numFmtId="49" fontId="18" fillId="2" borderId="0" xfId="0" applyNumberFormat="1" applyFont="1" applyFill="1" applyAlignment="1">
      <alignment vertical="top" wrapText="1"/>
    </xf>
    <xf numFmtId="0" fontId="0" fillId="0" borderId="0" xfId="0" applyAlignment="1">
      <alignment wrapText="1"/>
    </xf>
    <xf numFmtId="0" fontId="0" fillId="0" borderId="0" xfId="0" applyFont="1" applyAlignment="1">
      <alignment wrapText="1"/>
    </xf>
    <xf numFmtId="2" fontId="0" fillId="0" borderId="0" xfId="0" applyNumberFormat="1" applyFont="1" applyFill="1" applyAlignment="1">
      <alignment vertical="top" wrapText="1"/>
    </xf>
    <xf numFmtId="49" fontId="0" fillId="0" borderId="1" xfId="0" applyNumberFormat="1" applyFill="1" applyBorder="1" applyAlignment="1">
      <alignment vertical="center" wrapText="1"/>
    </xf>
    <xf numFmtId="49" fontId="27" fillId="0" borderId="1" xfId="0" applyNumberFormat="1" applyFont="1" applyFill="1" applyBorder="1" applyAlignment="1">
      <alignment vertical="center" wrapText="1"/>
    </xf>
    <xf numFmtId="49" fontId="0" fillId="0" borderId="9" xfId="0" applyNumberFormat="1" applyFill="1" applyBorder="1" applyAlignment="1">
      <alignment wrapText="1"/>
    </xf>
    <xf numFmtId="49" fontId="0" fillId="0" borderId="52" xfId="0" applyNumberFormat="1" applyFill="1" applyBorder="1" applyAlignment="1">
      <alignment vertical="center" wrapText="1"/>
    </xf>
    <xf numFmtId="49" fontId="0" fillId="0" borderId="0" xfId="0" applyNumberFormat="1" applyFill="1" applyAlignment="1">
      <alignment wrapText="1"/>
    </xf>
    <xf numFmtId="49" fontId="27" fillId="0" borderId="49" xfId="0" applyNumberFormat="1" applyFont="1" applyFill="1" applyBorder="1" applyAlignment="1">
      <alignment vertical="center" wrapText="1"/>
    </xf>
    <xf numFmtId="0" fontId="27" fillId="0" borderId="3" xfId="0" applyFont="1" applyBorder="1" applyAlignment="1">
      <alignment vertical="top" wrapText="1"/>
    </xf>
    <xf numFmtId="49" fontId="27" fillId="0" borderId="31" xfId="0" applyNumberFormat="1" applyFont="1" applyFill="1" applyBorder="1" applyAlignment="1">
      <alignment vertical="center" wrapText="1"/>
    </xf>
    <xf numFmtId="0" fontId="27" fillId="0" borderId="53" xfId="0" applyFont="1" applyBorder="1" applyAlignment="1">
      <alignment vertical="top" wrapText="1"/>
    </xf>
    <xf numFmtId="49" fontId="27" fillId="0" borderId="49" xfId="0" applyNumberFormat="1" applyFont="1" applyBorder="1" applyAlignment="1">
      <alignment vertical="top" wrapText="1"/>
    </xf>
    <xf numFmtId="49" fontId="27" fillId="0" borderId="54" xfId="0" applyNumberFormat="1" applyFont="1" applyBorder="1" applyAlignment="1">
      <alignment vertical="top" wrapText="1"/>
    </xf>
    <xf numFmtId="2" fontId="67" fillId="0" borderId="1" xfId="0" applyNumberFormat="1" applyFont="1" applyFill="1" applyBorder="1" applyAlignment="1">
      <alignment horizontal="left" vertical="center" wrapText="1"/>
    </xf>
    <xf numFmtId="2" fontId="0" fillId="0" borderId="1" xfId="0" applyNumberFormat="1" applyFont="1" applyFill="1" applyBorder="1" applyAlignment="1">
      <alignment vertical="top" wrapText="1"/>
    </xf>
    <xf numFmtId="2" fontId="0" fillId="0" borderId="1" xfId="0" applyNumberFormat="1" applyFont="1" applyFill="1" applyBorder="1" applyAlignment="1">
      <alignment wrapText="1"/>
    </xf>
    <xf numFmtId="0" fontId="0" fillId="0" borderId="0" xfId="0" applyAlignment="1">
      <alignment vertical="center"/>
    </xf>
    <xf numFmtId="0" fontId="0" fillId="0" borderId="0" xfId="0" applyFont="1" applyAlignment="1">
      <alignment vertical="center"/>
    </xf>
    <xf numFmtId="49" fontId="27" fillId="3" borderId="1" xfId="0" applyNumberFormat="1" applyFont="1" applyFill="1" applyBorder="1" applyAlignment="1">
      <alignment horizontal="center" vertical="center" wrapText="1"/>
    </xf>
    <xf numFmtId="0" fontId="0" fillId="3" borderId="0" xfId="0" applyFill="1"/>
    <xf numFmtId="1"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0" xfId="0" applyFont="1" applyFill="1" applyBorder="1"/>
    <xf numFmtId="0" fontId="0" fillId="3" borderId="0" xfId="0" applyFont="1" applyFill="1"/>
    <xf numFmtId="0" fontId="0" fillId="3" borderId="0" xfId="0" applyFont="1" applyFill="1" applyAlignment="1">
      <alignment vertical="center"/>
    </xf>
    <xf numFmtId="0" fontId="0" fillId="3" borderId="0" xfId="0" applyFont="1" applyFill="1" applyAlignment="1">
      <alignment wrapText="1"/>
    </xf>
    <xf numFmtId="0" fontId="0" fillId="3" borderId="0" xfId="0" applyFill="1" applyAlignment="1">
      <alignment vertical="center"/>
    </xf>
    <xf numFmtId="0" fontId="0" fillId="3" borderId="0" xfId="0" applyFill="1" applyAlignment="1">
      <alignment wrapText="1"/>
    </xf>
    <xf numFmtId="0" fontId="27" fillId="0" borderId="12" xfId="0" applyFont="1" applyBorder="1" applyAlignment="1">
      <alignment horizontal="center" vertical="center"/>
    </xf>
    <xf numFmtId="0" fontId="5" fillId="0" borderId="0" xfId="0" applyFont="1"/>
    <xf numFmtId="0" fontId="5" fillId="3" borderId="1" xfId="0" applyFont="1" applyFill="1" applyBorder="1" applyAlignment="1">
      <alignment vertical="center"/>
    </xf>
    <xf numFmtId="2" fontId="0" fillId="3" borderId="1" xfId="0" applyNumberFormat="1" applyFont="1" applyFill="1" applyBorder="1" applyAlignment="1">
      <alignment horizontal="center" vertical="center" wrapText="1"/>
    </xf>
    <xf numFmtId="49" fontId="27" fillId="0" borderId="13" xfId="0" applyNumberFormat="1" applyFont="1" applyBorder="1" applyAlignment="1">
      <alignment horizontal="center" vertical="center"/>
    </xf>
    <xf numFmtId="49" fontId="27" fillId="0" borderId="13" xfId="0" applyNumberFormat="1" applyFont="1" applyBorder="1" applyAlignment="1">
      <alignment horizontal="center" vertical="center" wrapText="1"/>
    </xf>
    <xf numFmtId="3" fontId="27" fillId="0" borderId="13" xfId="0" applyNumberFormat="1" applyFont="1" applyBorder="1" applyAlignment="1">
      <alignment horizontal="center" vertical="center" wrapText="1"/>
    </xf>
    <xf numFmtId="49" fontId="27" fillId="0" borderId="12" xfId="0" applyNumberFormat="1" applyFont="1" applyBorder="1" applyAlignment="1" applyProtection="1">
      <alignment horizontal="center" vertical="center" wrapText="1"/>
      <protection locked="0"/>
    </xf>
    <xf numFmtId="0" fontId="68" fillId="3" borderId="1" xfId="0" applyFont="1" applyFill="1" applyBorder="1" applyAlignment="1">
      <alignment horizontal="center" vertical="center"/>
    </xf>
    <xf numFmtId="0" fontId="68" fillId="3" borderId="1" xfId="0" applyFont="1" applyFill="1" applyBorder="1" applyAlignment="1">
      <alignment vertical="center"/>
    </xf>
    <xf numFmtId="0" fontId="69" fillId="3" borderId="1" xfId="0" applyFont="1" applyFill="1" applyBorder="1" applyAlignment="1">
      <alignment horizontal="center" vertical="center"/>
    </xf>
    <xf numFmtId="0" fontId="69" fillId="3" borderId="1" xfId="0" applyFont="1" applyFill="1" applyBorder="1" applyAlignment="1">
      <alignment vertical="center"/>
    </xf>
    <xf numFmtId="0" fontId="69" fillId="3" borderId="1" xfId="0" applyFont="1" applyFill="1" applyBorder="1" applyAlignment="1">
      <alignment vertical="center" wrapText="1"/>
    </xf>
    <xf numFmtId="0" fontId="69" fillId="3" borderId="1" xfId="0" applyFont="1" applyFill="1" applyBorder="1" applyAlignment="1">
      <alignment horizontal="left" vertical="center"/>
    </xf>
    <xf numFmtId="0" fontId="70" fillId="0" borderId="0" xfId="0" applyFont="1"/>
    <xf numFmtId="0" fontId="71" fillId="3" borderId="1" xfId="0" applyFont="1" applyFill="1" applyBorder="1" applyAlignment="1">
      <alignment vertical="center"/>
    </xf>
    <xf numFmtId="0" fontId="70" fillId="3" borderId="1" xfId="0" applyFont="1" applyFill="1" applyBorder="1" applyAlignment="1">
      <alignment vertical="center"/>
    </xf>
    <xf numFmtId="0" fontId="70" fillId="3" borderId="1" xfId="0" applyFont="1" applyFill="1" applyBorder="1" applyAlignment="1">
      <alignment vertical="center" wrapText="1"/>
    </xf>
    <xf numFmtId="0" fontId="70" fillId="3" borderId="1" xfId="0" applyFont="1" applyFill="1" applyBorder="1" applyAlignment="1">
      <alignment horizontal="left" vertical="center"/>
    </xf>
    <xf numFmtId="0" fontId="5" fillId="3" borderId="1" xfId="0" applyFont="1" applyFill="1" applyBorder="1"/>
    <xf numFmtId="0" fontId="16" fillId="0" borderId="55" xfId="0" applyFont="1" applyBorder="1" applyAlignment="1">
      <alignment vertical="center" wrapText="1"/>
    </xf>
    <xf numFmtId="0" fontId="16" fillId="0" borderId="56" xfId="0" applyFont="1" applyBorder="1" applyAlignment="1">
      <alignment vertical="center" wrapText="1"/>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3" fontId="0" fillId="3"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2" fontId="0" fillId="3" borderId="9" xfId="0" applyNumberFormat="1" applyFont="1" applyFill="1" applyBorder="1" applyAlignment="1">
      <alignment horizontal="center" vertical="center" wrapText="1"/>
    </xf>
    <xf numFmtId="0" fontId="26" fillId="0" borderId="0" xfId="0" applyFont="1"/>
    <xf numFmtId="4" fontId="27" fillId="0" borderId="0" xfId="0" applyNumberFormat="1" applyFont="1"/>
    <xf numFmtId="4" fontId="27" fillId="3" borderId="1" xfId="0" applyNumberFormat="1" applyFont="1" applyFill="1" applyBorder="1" applyAlignment="1">
      <alignment horizontal="center" vertical="center" wrapText="1"/>
    </xf>
    <xf numFmtId="2" fontId="27" fillId="3" borderId="1" xfId="0" applyNumberFormat="1" applyFont="1" applyFill="1" applyBorder="1" applyAlignment="1">
      <alignment horizontal="center" vertical="center" wrapText="1"/>
    </xf>
    <xf numFmtId="2" fontId="0" fillId="3" borderId="6" xfId="0" applyNumberFormat="1" applyFont="1" applyFill="1" applyBorder="1" applyAlignment="1">
      <alignment horizontal="center" vertical="center"/>
    </xf>
    <xf numFmtId="2" fontId="27" fillId="3" borderId="9" xfId="0" applyNumberFormat="1" applyFont="1" applyFill="1" applyBorder="1" applyAlignment="1">
      <alignment horizontal="center" vertical="center" wrapText="1"/>
    </xf>
    <xf numFmtId="2" fontId="27" fillId="3" borderId="9" xfId="0" applyNumberFormat="1" applyFont="1" applyFill="1" applyBorder="1" applyAlignment="1">
      <alignment horizontal="center" vertical="center"/>
    </xf>
    <xf numFmtId="2" fontId="0" fillId="3" borderId="27" xfId="0" applyNumberFormat="1" applyFill="1" applyBorder="1" applyAlignment="1">
      <alignment horizontal="center" vertical="center"/>
    </xf>
    <xf numFmtId="1" fontId="0" fillId="3" borderId="7" xfId="0" applyNumberFormat="1" applyFont="1" applyFill="1" applyBorder="1" applyAlignment="1">
      <alignment horizontal="center" vertical="center" wrapText="1"/>
    </xf>
    <xf numFmtId="1" fontId="8" fillId="3" borderId="7" xfId="0" applyNumberFormat="1" applyFont="1" applyFill="1" applyBorder="1" applyAlignment="1">
      <alignment horizontal="center" vertical="center" wrapText="1"/>
    </xf>
    <xf numFmtId="1" fontId="27" fillId="3" borderId="7" xfId="0" applyNumberFormat="1" applyFont="1" applyFill="1" applyBorder="1" applyAlignment="1">
      <alignment horizontal="center" vertical="center" wrapText="1"/>
    </xf>
    <xf numFmtId="1" fontId="7" fillId="3" borderId="7" xfId="0" applyNumberFormat="1" applyFont="1" applyFill="1" applyBorder="1" applyAlignment="1">
      <alignment horizontal="center" vertical="center" wrapText="1"/>
    </xf>
    <xf numFmtId="1" fontId="0" fillId="3" borderId="7" xfId="0" applyNumberFormat="1" applyFont="1" applyFill="1" applyBorder="1" applyAlignment="1">
      <alignment horizontal="center" vertical="center"/>
    </xf>
    <xf numFmtId="1" fontId="27" fillId="3" borderId="7" xfId="0" applyNumberFormat="1" applyFont="1" applyFill="1" applyBorder="1" applyAlignment="1">
      <alignment horizontal="center" vertical="center"/>
    </xf>
    <xf numFmtId="1" fontId="0" fillId="3" borderId="16" xfId="0" applyNumberFormat="1" applyFont="1" applyFill="1" applyBorder="1" applyAlignment="1">
      <alignment horizontal="center" vertical="center"/>
    </xf>
    <xf numFmtId="1" fontId="0" fillId="3" borderId="1" xfId="0" applyNumberFormat="1" applyFont="1" applyFill="1" applyBorder="1" applyAlignment="1">
      <alignment horizontal="center" vertical="center" wrapText="1"/>
    </xf>
    <xf numFmtId="1" fontId="27" fillId="3" borderId="2"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1" fontId="0" fillId="3" borderId="1" xfId="0" applyNumberFormat="1" applyFont="1" applyFill="1" applyBorder="1" applyAlignment="1">
      <alignment horizontal="center" vertical="center"/>
    </xf>
    <xf numFmtId="1" fontId="0" fillId="3" borderId="17" xfId="0" applyNumberFormat="1" applyFont="1" applyFill="1" applyBorder="1" applyAlignment="1">
      <alignment horizontal="center" vertical="center"/>
    </xf>
    <xf numFmtId="1" fontId="27" fillId="3" borderId="1" xfId="0" applyNumberFormat="1" applyFont="1" applyFill="1" applyBorder="1" applyAlignment="1">
      <alignment horizontal="center" vertical="center" wrapText="1"/>
    </xf>
    <xf numFmtId="1" fontId="27" fillId="3" borderId="1" xfId="0" applyNumberFormat="1" applyFont="1" applyFill="1" applyBorder="1" applyAlignment="1">
      <alignment horizontal="center" vertical="center"/>
    </xf>
    <xf numFmtId="1" fontId="24"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xf>
    <xf numFmtId="1" fontId="0" fillId="3" borderId="5" xfId="0" applyNumberFormat="1" applyFill="1" applyBorder="1" applyAlignment="1">
      <alignment horizontal="center" vertical="center" wrapText="1"/>
    </xf>
    <xf numFmtId="1" fontId="0" fillId="3" borderId="5" xfId="0" applyNumberFormat="1" applyFill="1" applyBorder="1" applyAlignment="1">
      <alignment horizontal="center" vertical="center"/>
    </xf>
    <xf numFmtId="1" fontId="7" fillId="3" borderId="12" xfId="0" applyNumberFormat="1" applyFont="1" applyFill="1" applyBorder="1" applyAlignment="1">
      <alignment horizontal="center" vertical="center"/>
    </xf>
    <xf numFmtId="1" fontId="0" fillId="3" borderId="12" xfId="0" applyNumberFormat="1" applyFont="1" applyFill="1" applyBorder="1" applyAlignment="1">
      <alignment horizontal="center" vertical="center"/>
    </xf>
    <xf numFmtId="1" fontId="0" fillId="3" borderId="12" xfId="0" applyNumberFormat="1" applyFill="1" applyBorder="1" applyAlignment="1">
      <alignment horizontal="center" vertical="center"/>
    </xf>
    <xf numFmtId="1" fontId="0" fillId="3" borderId="43" xfId="0" applyNumberFormat="1" applyFill="1" applyBorder="1" applyAlignment="1">
      <alignment horizontal="center" vertical="center"/>
    </xf>
    <xf numFmtId="0" fontId="44" fillId="3" borderId="1" xfId="0" applyFont="1" applyFill="1" applyBorder="1" applyAlignment="1">
      <alignment vertical="center" wrapText="1"/>
    </xf>
    <xf numFmtId="0" fontId="70" fillId="3" borderId="1" xfId="0" applyFont="1" applyFill="1" applyBorder="1" applyAlignment="1">
      <alignment vertical="center"/>
    </xf>
    <xf numFmtId="2" fontId="0" fillId="3" borderId="1" xfId="0" applyNumberFormat="1" applyFill="1" applyBorder="1" applyAlignment="1">
      <alignment horizontal="center" vertical="center"/>
    </xf>
    <xf numFmtId="2" fontId="0" fillId="3" borderId="17" xfId="0" applyNumberFormat="1" applyFill="1" applyBorder="1" applyAlignment="1">
      <alignment horizontal="center" vertical="center"/>
    </xf>
    <xf numFmtId="4" fontId="0" fillId="3" borderId="1" xfId="0" applyNumberFormat="1" applyFill="1" applyBorder="1" applyAlignment="1">
      <alignment horizontal="center" vertical="center"/>
    </xf>
    <xf numFmtId="4" fontId="0" fillId="3" borderId="17" xfId="0" applyNumberFormat="1" applyFill="1" applyBorder="1" applyAlignment="1">
      <alignment horizontal="center" vertical="center"/>
    </xf>
    <xf numFmtId="3" fontId="0" fillId="3" borderId="1" xfId="0" applyNumberFormat="1" applyFont="1" applyFill="1" applyBorder="1" applyAlignment="1">
      <alignment horizontal="center" vertical="center" wrapText="1"/>
    </xf>
    <xf numFmtId="49" fontId="27" fillId="3" borderId="12" xfId="0" applyNumberFormat="1" applyFont="1" applyFill="1" applyBorder="1" applyAlignment="1">
      <alignment horizontal="center" vertical="center" wrapText="1"/>
    </xf>
    <xf numFmtId="0" fontId="15" fillId="0" borderId="15" xfId="0" applyFont="1" applyBorder="1" applyAlignment="1">
      <alignment vertical="top" wrapText="1"/>
    </xf>
    <xf numFmtId="3" fontId="16" fillId="0" borderId="0" xfId="0" applyNumberFormat="1" applyFont="1"/>
    <xf numFmtId="3" fontId="7" fillId="0" borderId="0" xfId="0" applyNumberFormat="1" applyFont="1"/>
    <xf numFmtId="3" fontId="15" fillId="0" borderId="0" xfId="0" applyNumberFormat="1" applyFont="1"/>
    <xf numFmtId="3" fontId="26" fillId="0" borderId="0" xfId="0" applyNumberFormat="1" applyFont="1"/>
    <xf numFmtId="3" fontId="27" fillId="3" borderId="1" xfId="0" applyNumberFormat="1" applyFont="1" applyFill="1" applyBorder="1" applyAlignment="1">
      <alignment horizontal="center" vertical="center" wrapText="1"/>
    </xf>
    <xf numFmtId="49" fontId="27" fillId="0" borderId="17" xfId="0" applyNumberFormat="1" applyFont="1" applyFill="1" applyBorder="1" applyAlignment="1">
      <alignment horizontal="left" vertical="center" wrapText="1"/>
    </xf>
    <xf numFmtId="49" fontId="27" fillId="0" borderId="12" xfId="0" applyNumberFormat="1" applyFont="1" applyBorder="1" applyAlignment="1">
      <alignment horizontal="center" vertical="center" wrapText="1"/>
    </xf>
    <xf numFmtId="0" fontId="70" fillId="3" borderId="1" xfId="0" applyFont="1" applyFill="1" applyBorder="1" applyAlignment="1">
      <alignment vertical="center"/>
    </xf>
    <xf numFmtId="49" fontId="27" fillId="0" borderId="1" xfId="0" applyNumberFormat="1" applyFont="1" applyBorder="1" applyAlignment="1">
      <alignment horizontal="center" vertical="center" wrapText="1"/>
    </xf>
    <xf numFmtId="49" fontId="27" fillId="0" borderId="1"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3" fontId="27" fillId="0" borderId="12" xfId="0"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49" fontId="27" fillId="0" borderId="7" xfId="0" applyNumberFormat="1" applyFont="1" applyBorder="1" applyAlignment="1">
      <alignment horizontal="center" vertical="center"/>
    </xf>
    <xf numFmtId="0" fontId="27" fillId="0" borderId="1" xfId="0" applyFont="1" applyFill="1" applyBorder="1" applyAlignment="1">
      <alignment horizontal="center" vertical="center"/>
    </xf>
    <xf numFmtId="1" fontId="27" fillId="0" borderId="1" xfId="0" applyNumberFormat="1" applyFont="1" applyBorder="1" applyAlignment="1">
      <alignment horizontal="center" vertical="center" wrapText="1"/>
    </xf>
    <xf numFmtId="4" fontId="27" fillId="0" borderId="17"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49" fontId="27" fillId="0" borderId="18" xfId="0" applyNumberFormat="1" applyFont="1" applyFill="1" applyBorder="1" applyAlignment="1">
      <alignment vertical="center" wrapText="1"/>
    </xf>
    <xf numFmtId="4" fontId="27" fillId="0" borderId="13" xfId="0" applyNumberFormat="1" applyFont="1" applyFill="1" applyBorder="1" applyAlignment="1">
      <alignment horizontal="center" vertical="center" wrapText="1"/>
    </xf>
    <xf numFmtId="4" fontId="27" fillId="3" borderId="13" xfId="0" applyNumberFormat="1" applyFont="1" applyFill="1" applyBorder="1" applyAlignment="1">
      <alignment horizontal="center" vertical="center" wrapText="1"/>
    </xf>
    <xf numFmtId="49" fontId="27" fillId="0" borderId="32" xfId="0" applyNumberFormat="1" applyFont="1" applyFill="1" applyBorder="1" applyAlignment="1">
      <alignment horizontal="left" vertical="center" wrapText="1"/>
    </xf>
    <xf numFmtId="0" fontId="27" fillId="0" borderId="17" xfId="0" applyFont="1" applyFill="1" applyBorder="1" applyAlignment="1">
      <alignment vertical="center" wrapText="1"/>
    </xf>
    <xf numFmtId="49" fontId="72" fillId="0" borderId="1" xfId="0" applyNumberFormat="1" applyFont="1" applyFill="1" applyBorder="1" applyAlignment="1">
      <alignment horizontal="center" vertical="center" wrapText="1"/>
    </xf>
    <xf numFmtId="3" fontId="27" fillId="0" borderId="12" xfId="0" applyNumberFormat="1" applyFont="1" applyBorder="1" applyAlignment="1">
      <alignment horizontal="center" vertical="center" wrapText="1"/>
    </xf>
    <xf numFmtId="0" fontId="27" fillId="0" borderId="18" xfId="0" applyFont="1" applyFill="1" applyBorder="1" applyAlignment="1">
      <alignment horizontal="left" vertical="center" wrapText="1"/>
    </xf>
    <xf numFmtId="4" fontId="27" fillId="0" borderId="12" xfId="0" applyNumberFormat="1" applyFont="1" applyFill="1" applyBorder="1" applyAlignment="1">
      <alignment horizontal="center" vertical="center" wrapText="1"/>
    </xf>
    <xf numFmtId="49" fontId="24" fillId="0" borderId="16" xfId="0" applyNumberFormat="1" applyFont="1" applyFill="1" applyBorder="1" applyAlignment="1">
      <alignment vertical="center" wrapText="1"/>
    </xf>
    <xf numFmtId="49" fontId="27" fillId="3"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170" fontId="27" fillId="0" borderId="1" xfId="0" applyNumberFormat="1" applyFont="1" applyBorder="1" applyAlignment="1">
      <alignment horizontal="center" vertical="center"/>
    </xf>
    <xf numFmtId="1" fontId="27" fillId="3" borderId="17" xfId="0" applyNumberFormat="1" applyFont="1" applyFill="1" applyBorder="1" applyAlignment="1">
      <alignment horizontal="center" vertical="center"/>
    </xf>
    <xf numFmtId="170" fontId="27" fillId="3" borderId="1" xfId="0" applyNumberFormat="1" applyFont="1" applyFill="1" applyBorder="1" applyAlignment="1">
      <alignment horizontal="center" vertical="center"/>
    </xf>
    <xf numFmtId="170" fontId="27" fillId="3" borderId="17" xfId="0" applyNumberFormat="1" applyFont="1" applyFill="1" applyBorder="1" applyAlignment="1">
      <alignment horizontal="center" vertical="center"/>
    </xf>
    <xf numFmtId="0" fontId="44" fillId="3" borderId="1" xfId="0" applyFont="1" applyFill="1" applyBorder="1" applyAlignment="1">
      <alignment vertical="center"/>
    </xf>
    <xf numFmtId="0" fontId="44" fillId="3" borderId="1" xfId="0" applyFont="1" applyFill="1" applyBorder="1" applyAlignment="1">
      <alignment horizontal="left" vertical="center"/>
    </xf>
    <xf numFmtId="0" fontId="2" fillId="0" borderId="0" xfId="0" applyFont="1"/>
    <xf numFmtId="0" fontId="27" fillId="3" borderId="1" xfId="0" applyFont="1" applyFill="1" applyBorder="1" applyAlignment="1">
      <alignment horizontal="center" vertical="center"/>
    </xf>
    <xf numFmtId="49" fontId="27" fillId="0" borderId="7"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3" fontId="27" fillId="0" borderId="12" xfId="0" applyNumberFormat="1" applyFont="1" applyFill="1" applyBorder="1" applyAlignment="1">
      <alignment horizontal="center" vertical="center" wrapText="1"/>
    </xf>
    <xf numFmtId="0" fontId="27" fillId="0" borderId="12" xfId="0" applyNumberFormat="1" applyFont="1" applyFill="1" applyBorder="1" applyAlignment="1">
      <alignment horizontal="center"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59" fillId="17" borderId="7" xfId="0" applyFont="1" applyFill="1" applyBorder="1" applyAlignment="1">
      <alignment horizontal="center" vertical="center" wrapText="1"/>
    </xf>
    <xf numFmtId="0" fontId="59" fillId="0" borderId="12" xfId="0" applyFont="1" applyBorder="1" applyAlignment="1">
      <alignment horizontal="center" vertical="center" wrapText="1"/>
    </xf>
    <xf numFmtId="0" fontId="52" fillId="0" borderId="41" xfId="0" applyFont="1" applyBorder="1" applyAlignment="1">
      <alignment vertical="center" wrapText="1"/>
    </xf>
    <xf numFmtId="0" fontId="0" fillId="16" borderId="9" xfId="0" applyFill="1" applyBorder="1" applyAlignment="1">
      <alignment horizontal="center" vertical="center"/>
    </xf>
    <xf numFmtId="0" fontId="59" fillId="16" borderId="1" xfId="0" applyFont="1" applyFill="1" applyBorder="1" applyAlignment="1">
      <alignment horizontal="center" vertical="center" wrapText="1"/>
    </xf>
    <xf numFmtId="0" fontId="53" fillId="12" borderId="8" xfId="0" applyFont="1" applyFill="1" applyBorder="1" applyAlignment="1">
      <alignment horizontal="center" vertical="center"/>
    </xf>
    <xf numFmtId="0" fontId="53" fillId="12" borderId="5" xfId="0" applyFont="1" applyFill="1" applyBorder="1" applyAlignment="1">
      <alignment horizontal="center" vertical="center"/>
    </xf>
    <xf numFmtId="0" fontId="53" fillId="12" borderId="25" xfId="0" applyFont="1" applyFill="1" applyBorder="1" applyAlignment="1">
      <alignment horizontal="center" vertical="center"/>
    </xf>
    <xf numFmtId="0" fontId="53" fillId="12" borderId="21" xfId="0" applyFont="1" applyFill="1" applyBorder="1" applyAlignment="1">
      <alignment horizontal="center" vertical="center"/>
    </xf>
    <xf numFmtId="0" fontId="53" fillId="12" borderId="27" xfId="0" applyFont="1" applyFill="1" applyBorder="1" applyAlignment="1">
      <alignment horizontal="center" vertical="center"/>
    </xf>
    <xf numFmtId="0" fontId="59" fillId="12" borderId="30" xfId="0" applyFont="1" applyFill="1" applyBorder="1" applyAlignment="1">
      <alignment horizontal="center" vertical="center" wrapText="1"/>
    </xf>
    <xf numFmtId="0" fontId="59" fillId="12" borderId="23" xfId="0" applyFont="1" applyFill="1" applyBorder="1" applyAlignment="1">
      <alignment horizontal="center" vertical="center" wrapText="1"/>
    </xf>
    <xf numFmtId="0" fontId="59"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59" fillId="11" borderId="30" xfId="0" applyFont="1" applyFill="1" applyBorder="1" applyAlignment="1">
      <alignment horizontal="center" vertical="center" wrapText="1"/>
    </xf>
    <xf numFmtId="0" fontId="59" fillId="11" borderId="23" xfId="0" applyFont="1" applyFill="1" applyBorder="1" applyAlignment="1">
      <alignment horizontal="center" vertical="center" wrapText="1"/>
    </xf>
    <xf numFmtId="0" fontId="59" fillId="11" borderId="32" xfId="0" applyFont="1" applyFill="1" applyBorder="1" applyAlignment="1">
      <alignment horizontal="center" vertical="center" wrapText="1"/>
    </xf>
    <xf numFmtId="0" fontId="53" fillId="13" borderId="2" xfId="0" applyFont="1" applyFill="1" applyBorder="1" applyAlignment="1">
      <alignment horizontal="center" vertical="center"/>
    </xf>
    <xf numFmtId="0" fontId="53" fillId="13" borderId="5" xfId="0" applyFont="1" applyFill="1" applyBorder="1" applyAlignment="1">
      <alignment horizontal="center" vertical="center"/>
    </xf>
    <xf numFmtId="49" fontId="53" fillId="13" borderId="2" xfId="0" applyNumberFormat="1" applyFont="1" applyFill="1" applyBorder="1" applyAlignment="1">
      <alignment horizontal="center" vertical="center"/>
    </xf>
    <xf numFmtId="49" fontId="53" fillId="13" borderId="5" xfId="0" applyNumberFormat="1" applyFont="1" applyFill="1" applyBorder="1" applyAlignment="1">
      <alignment horizontal="center" vertical="center"/>
    </xf>
    <xf numFmtId="3" fontId="53" fillId="13" borderId="20" xfId="0" applyNumberFormat="1" applyFont="1" applyFill="1" applyBorder="1" applyAlignment="1">
      <alignment horizontal="center" vertical="center"/>
    </xf>
    <xf numFmtId="0" fontId="53"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59"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59" fillId="14" borderId="30" xfId="0" applyFont="1" applyFill="1" applyBorder="1" applyAlignment="1">
      <alignment horizontal="center" vertical="center" wrapText="1"/>
    </xf>
    <xf numFmtId="0" fontId="59" fillId="14" borderId="32" xfId="0" applyFont="1" applyFill="1" applyBorder="1" applyAlignment="1">
      <alignment horizontal="center" vertical="center" wrapText="1"/>
    </xf>
    <xf numFmtId="0" fontId="59" fillId="13" borderId="20" xfId="0" applyFont="1" applyFill="1" applyBorder="1" applyAlignment="1">
      <alignment horizontal="center" vertical="center" wrapText="1"/>
    </xf>
    <xf numFmtId="0" fontId="59" fillId="13" borderId="32" xfId="0" applyFont="1" applyFill="1" applyBorder="1" applyAlignment="1">
      <alignment horizontal="center" vertical="center" wrapText="1"/>
    </xf>
    <xf numFmtId="0" fontId="54"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53" fillId="12" borderId="10" xfId="0" applyFont="1" applyFill="1" applyBorder="1" applyAlignment="1">
      <alignment horizontal="center" vertical="center"/>
    </xf>
    <xf numFmtId="49" fontId="53" fillId="12" borderId="2" xfId="0" applyNumberFormat="1" applyFont="1" applyFill="1" applyBorder="1" applyAlignment="1">
      <alignment horizontal="center" vertical="center"/>
    </xf>
    <xf numFmtId="49" fontId="53" fillId="12" borderId="13" xfId="0" applyNumberFormat="1" applyFont="1" applyFill="1" applyBorder="1" applyAlignment="1">
      <alignment horizontal="center" vertical="center"/>
    </xf>
    <xf numFmtId="49" fontId="53" fillId="12" borderId="1" xfId="0" applyNumberFormat="1" applyFont="1" applyFill="1" applyBorder="1" applyAlignment="1">
      <alignment horizontal="center" vertical="center"/>
    </xf>
    <xf numFmtId="3" fontId="61" fillId="0" borderId="33" xfId="0" applyNumberFormat="1" applyFont="1" applyBorder="1" applyAlignment="1">
      <alignment horizontal="center" vertical="center"/>
    </xf>
    <xf numFmtId="3" fontId="61" fillId="0" borderId="0" xfId="0" applyNumberFormat="1" applyFont="1" applyAlignment="1">
      <alignment horizontal="center" vertical="center"/>
    </xf>
    <xf numFmtId="0" fontId="54"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55" fillId="0" borderId="48" xfId="0" applyNumberFormat="1" applyFont="1" applyBorder="1" applyAlignment="1">
      <alignment horizontal="center" vertical="center" wrapText="1"/>
    </xf>
    <xf numFmtId="4" fontId="55" fillId="0" borderId="47" xfId="0" applyNumberFormat="1" applyFont="1" applyBorder="1" applyAlignment="1">
      <alignment horizontal="center" vertical="center" wrapText="1"/>
    </xf>
    <xf numFmtId="4" fontId="55" fillId="0" borderId="45" xfId="0" applyNumberFormat="1" applyFont="1" applyBorder="1" applyAlignment="1">
      <alignment horizontal="center" vertical="center" wrapText="1"/>
    </xf>
    <xf numFmtId="0" fontId="52" fillId="0" borderId="50" xfId="0" applyFont="1" applyBorder="1" applyAlignment="1">
      <alignment horizontal="left" vertical="center" wrapText="1"/>
    </xf>
    <xf numFmtId="0" fontId="52" fillId="0" borderId="51" xfId="0" applyFont="1" applyBorder="1" applyAlignment="1">
      <alignment horizontal="left" vertical="center" wrapText="1"/>
    </xf>
    <xf numFmtId="0" fontId="52" fillId="0" borderId="4" xfId="0" applyFont="1" applyBorder="1" applyAlignment="1">
      <alignment horizontal="left" wrapText="1"/>
    </xf>
    <xf numFmtId="0" fontId="53" fillId="13" borderId="15" xfId="0" applyFont="1" applyFill="1" applyBorder="1" applyAlignment="1">
      <alignment horizontal="center" vertical="center"/>
    </xf>
    <xf numFmtId="0" fontId="53" fillId="13" borderId="27" xfId="0" applyFont="1" applyFill="1" applyBorder="1" applyAlignment="1">
      <alignment horizontal="center" vertical="center"/>
    </xf>
    <xf numFmtId="0" fontId="53" fillId="13" borderId="2" xfId="0" applyFont="1" applyFill="1" applyBorder="1" applyAlignment="1">
      <alignment horizontal="center" vertical="center" wrapText="1"/>
    </xf>
    <xf numFmtId="0" fontId="53" fillId="13" borderId="5" xfId="0" applyFont="1" applyFill="1" applyBorder="1" applyAlignment="1">
      <alignment horizontal="center" vertical="center" wrapText="1"/>
    </xf>
    <xf numFmtId="0" fontId="52" fillId="0" borderId="4" xfId="0" applyFont="1" applyBorder="1" applyAlignment="1">
      <alignment horizontal="left" vertical="center" wrapText="1"/>
    </xf>
    <xf numFmtId="3" fontId="60"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27" fillId="0" borderId="33" xfId="0" applyNumberFormat="1" applyFont="1" applyBorder="1" applyAlignment="1">
      <alignment horizontal="center" vertical="center"/>
    </xf>
    <xf numFmtId="0" fontId="27" fillId="0" borderId="0" xfId="0" applyFont="1" applyAlignment="1">
      <alignment horizontal="center" vertical="center"/>
    </xf>
    <xf numFmtId="4" fontId="0" fillId="0" borderId="25" xfId="0" applyNumberFormat="1" applyFont="1" applyBorder="1" applyAlignment="1">
      <alignment horizontal="center" vertical="center" wrapText="1"/>
    </xf>
    <xf numFmtId="4" fontId="0" fillId="0" borderId="26" xfId="0" applyNumberFormat="1" applyFon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Font="1" applyBorder="1" applyAlignment="1">
      <alignment horizontal="center" vertical="center" wrapText="1"/>
    </xf>
    <xf numFmtId="49" fontId="0" fillId="0" borderId="33" xfId="0" applyNumberFormat="1" applyFont="1" applyBorder="1" applyAlignment="1">
      <alignment horizontal="center" vertical="center" wrapText="1"/>
    </xf>
    <xf numFmtId="49" fontId="0" fillId="0" borderId="42" xfId="0" applyNumberFormat="1" applyFont="1" applyBorder="1" applyAlignment="1">
      <alignment horizontal="center" vertical="center" wrapText="1"/>
    </xf>
    <xf numFmtId="4" fontId="0" fillId="0" borderId="8" xfId="0" applyNumberFormat="1" applyFont="1" applyFill="1" applyBorder="1" applyAlignment="1">
      <alignment horizontal="center" vertical="center"/>
    </xf>
    <xf numFmtId="4" fontId="0" fillId="0" borderId="13" xfId="0" applyNumberFormat="1" applyFont="1" applyFill="1" applyBorder="1" applyAlignment="1">
      <alignment horizontal="center" vertical="center"/>
    </xf>
    <xf numFmtId="49" fontId="0" fillId="0" borderId="8"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 fontId="0" fillId="0" borderId="8" xfId="0" applyNumberFormat="1" applyFont="1" applyFill="1" applyBorder="1" applyAlignment="1">
      <alignment horizontal="center" vertical="center" wrapText="1"/>
    </xf>
    <xf numFmtId="4" fontId="0" fillId="0" borderId="13" xfId="0" applyNumberFormat="1" applyFont="1" applyFill="1" applyBorder="1" applyAlignment="1">
      <alignment horizontal="center" vertical="center" wrapText="1"/>
    </xf>
    <xf numFmtId="4" fontId="27" fillId="0" borderId="8" xfId="0" applyNumberFormat="1" applyFont="1" applyFill="1" applyBorder="1" applyAlignment="1">
      <alignment horizontal="center" vertical="center"/>
    </xf>
    <xf numFmtId="4" fontId="27" fillId="0" borderId="13" xfId="0" applyNumberFormat="1" applyFont="1" applyFill="1" applyBorder="1" applyAlignment="1">
      <alignment horizontal="center" vertical="center"/>
    </xf>
    <xf numFmtId="4" fontId="39" fillId="0" borderId="10" xfId="0" applyNumberFormat="1" applyFont="1" applyBorder="1" applyAlignment="1">
      <alignment horizontal="center" vertical="center"/>
    </xf>
    <xf numFmtId="4" fontId="39" fillId="0" borderId="5" xfId="0" applyNumberFormat="1" applyFont="1" applyBorder="1" applyAlignment="1">
      <alignment horizontal="center" vertical="center"/>
    </xf>
    <xf numFmtId="4" fontId="0" fillId="0" borderId="2" xfId="0" applyNumberFormat="1" applyFont="1" applyFill="1" applyBorder="1" applyAlignment="1">
      <alignment horizontal="center" vertical="center" wrapText="1"/>
    </xf>
    <xf numFmtId="4" fontId="0" fillId="0" borderId="5" xfId="0" applyNumberFormat="1" applyFont="1" applyFill="1" applyBorder="1" applyAlignment="1">
      <alignment horizontal="center" vertical="center" wrapText="1"/>
    </xf>
    <xf numFmtId="4" fontId="0" fillId="0" borderId="2"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0" fillId="0" borderId="21" xfId="0" applyNumberFormat="1" applyFont="1" applyBorder="1" applyAlignment="1">
      <alignment horizontal="center" vertical="center" wrapText="1"/>
    </xf>
    <xf numFmtId="4" fontId="0" fillId="0" borderId="27"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 xfId="0" applyFont="1"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9" fillId="0" borderId="8"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5" xfId="0" applyFont="1" applyBorder="1" applyAlignment="1">
      <alignment horizontal="center" vertical="center" wrapText="1"/>
    </xf>
    <xf numFmtId="0" fontId="29" fillId="7" borderId="8"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5" xfId="0"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27" fillId="0" borderId="7"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0" fontId="0" fillId="0" borderId="13" xfId="0" applyFont="1" applyFill="1" applyBorder="1" applyAlignment="1">
      <alignment horizontal="center" vertical="center" wrapText="1"/>
    </xf>
    <xf numFmtId="49" fontId="27" fillId="7" borderId="10" xfId="0" applyNumberFormat="1" applyFont="1" applyFill="1" applyBorder="1" applyAlignment="1">
      <alignment horizontal="center" vertical="center" wrapText="1"/>
    </xf>
    <xf numFmtId="49" fontId="27" fillId="7" borderId="5"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27" fillId="7" borderId="1" xfId="0" applyNumberFormat="1" applyFont="1" applyFill="1" applyBorder="1" applyAlignment="1">
      <alignment horizontal="center" vertical="center" wrapText="1"/>
    </xf>
    <xf numFmtId="49" fontId="27" fillId="7" borderId="12" xfId="0" applyNumberFormat="1" applyFont="1" applyFill="1" applyBorder="1" applyAlignment="1">
      <alignment horizontal="center" vertical="center" wrapText="1"/>
    </xf>
    <xf numFmtId="164" fontId="27" fillId="0" borderId="13"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0" fillId="0" borderId="33" xfId="0" applyFont="1" applyBorder="1" applyAlignment="1">
      <alignment horizontal="center" vertical="center" wrapText="1"/>
    </xf>
    <xf numFmtId="0" fontId="0" fillId="3" borderId="1" xfId="0" applyFont="1" applyFill="1" applyBorder="1" applyAlignment="1">
      <alignment horizontal="center" vertical="center" wrapText="1"/>
    </xf>
    <xf numFmtId="164"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7" xfId="0" applyFont="1" applyBorder="1" applyAlignment="1">
      <alignment horizontal="center" vertical="center" wrapText="1"/>
    </xf>
    <xf numFmtId="164" fontId="0" fillId="0" borderId="2" xfId="0" applyNumberFormat="1" applyFont="1" applyBorder="1" applyAlignment="1">
      <alignment horizontal="center" vertical="center"/>
    </xf>
    <xf numFmtId="164" fontId="0" fillId="0" borderId="5" xfId="0" applyNumberFormat="1" applyFont="1" applyBorder="1" applyAlignment="1">
      <alignment horizontal="center" vertical="center"/>
    </xf>
    <xf numFmtId="0" fontId="27"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4" fontId="0" fillId="0" borderId="2" xfId="0" applyNumberFormat="1" applyFont="1" applyBorder="1" applyAlignment="1">
      <alignment horizontal="center" vertical="center"/>
    </xf>
    <xf numFmtId="4" fontId="0" fillId="0" borderId="5"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36" xfId="0" applyFont="1" applyBorder="1" applyAlignment="1">
      <alignment horizontal="center" vertical="center"/>
    </xf>
    <xf numFmtId="0" fontId="27" fillId="0" borderId="13" xfId="0" applyFont="1" applyBorder="1" applyAlignment="1">
      <alignment horizontal="center" vertical="center" wrapText="1"/>
    </xf>
    <xf numFmtId="4" fontId="0" fillId="0" borderId="2" xfId="0" applyNumberFormat="1" applyFont="1" applyBorder="1" applyAlignment="1">
      <alignment horizontal="center" vertical="center" wrapText="1"/>
    </xf>
    <xf numFmtId="4" fontId="0" fillId="0" borderId="10" xfId="0" applyNumberFormat="1" applyFont="1" applyBorder="1" applyAlignment="1">
      <alignment horizontal="center" vertical="center" wrapText="1"/>
    </xf>
    <xf numFmtId="4" fontId="0" fillId="0" borderId="5" xfId="0" applyNumberFormat="1" applyFont="1" applyBorder="1" applyAlignment="1">
      <alignment horizontal="center" vertical="center" wrapText="1"/>
    </xf>
    <xf numFmtId="0" fontId="0" fillId="0" borderId="20" xfId="0" applyFont="1" applyBorder="1" applyAlignment="1">
      <alignment wrapText="1"/>
    </xf>
    <xf numFmtId="0" fontId="0" fillId="0" borderId="23" xfId="0" applyFont="1" applyBorder="1" applyAlignment="1">
      <alignment wrapText="1"/>
    </xf>
    <xf numFmtId="0" fontId="0" fillId="0" borderId="43" xfId="0" applyFont="1" applyBorder="1" applyAlignment="1">
      <alignment wrapText="1"/>
    </xf>
    <xf numFmtId="0" fontId="12" fillId="0" borderId="21" xfId="0" applyFont="1" applyBorder="1" applyAlignment="1">
      <alignment horizontal="center" vertical="center" wrapText="1"/>
    </xf>
    <xf numFmtId="0" fontId="12" fillId="0" borderId="26" xfId="0" applyFont="1" applyBorder="1" applyAlignment="1">
      <alignment horizontal="center" vertical="center" wrapText="1"/>
    </xf>
    <xf numFmtId="0" fontId="27" fillId="3" borderId="13" xfId="0" applyFont="1" applyFill="1" applyBorder="1" applyAlignment="1">
      <alignment horizontal="center" vertical="center" wrapText="1"/>
    </xf>
    <xf numFmtId="0" fontId="27" fillId="3" borderId="1" xfId="0" applyFont="1" applyFill="1" applyBorder="1" applyAlignment="1">
      <alignment horizontal="center" vertical="center" wrapText="1"/>
    </xf>
    <xf numFmtId="4" fontId="0" fillId="0" borderId="13" xfId="0" applyNumberFormat="1" applyFont="1" applyBorder="1" applyAlignment="1">
      <alignment horizontal="center" vertical="center" wrapText="1"/>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3" borderId="2" xfId="0" applyFont="1" applyFill="1" applyBorder="1" applyAlignment="1">
      <alignment horizontal="center" vertical="center" wrapText="1"/>
    </xf>
    <xf numFmtId="164" fontId="27" fillId="0" borderId="2" xfId="0" applyNumberFormat="1" applyFont="1" applyBorder="1" applyAlignment="1">
      <alignment horizontal="center" vertical="center" wrapText="1"/>
    </xf>
    <xf numFmtId="0" fontId="27" fillId="0" borderId="31" xfId="0" applyFont="1" applyBorder="1" applyAlignment="1">
      <alignment horizontal="center" vertical="center"/>
    </xf>
    <xf numFmtId="0" fontId="27" fillId="0" borderId="3" xfId="0" applyFont="1" applyBorder="1" applyAlignment="1">
      <alignment horizontal="center" vertical="center"/>
    </xf>
    <xf numFmtId="0" fontId="27" fillId="0" borderId="14" xfId="0" applyFont="1" applyBorder="1" applyAlignment="1">
      <alignment horizontal="center" vertical="center"/>
    </xf>
    <xf numFmtId="0" fontId="32" fillId="0" borderId="1" xfId="0"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7" xfId="0" applyFont="1" applyBorder="1" applyAlignment="1">
      <alignment horizontal="center" vertical="center" wrapText="1"/>
    </xf>
    <xf numFmtId="164" fontId="0" fillId="0" borderId="30" xfId="0" applyNumberFormat="1" applyFont="1" applyBorder="1" applyAlignment="1">
      <alignment horizontal="center" vertical="center" wrapText="1"/>
    </xf>
    <xf numFmtId="164" fontId="0" fillId="0" borderId="23" xfId="0" applyNumberFormat="1" applyFont="1" applyBorder="1" applyAlignment="1">
      <alignment horizontal="center" vertical="center" wrapText="1"/>
    </xf>
    <xf numFmtId="164" fontId="0" fillId="0" borderId="32" xfId="0" applyNumberFormat="1" applyFont="1" applyBorder="1" applyAlignment="1">
      <alignment horizontal="center" vertical="center" wrapText="1"/>
    </xf>
    <xf numFmtId="0" fontId="0" fillId="3" borderId="25"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26" xfId="0" applyFont="1" applyFill="1" applyBorder="1" applyAlignment="1">
      <alignment horizontal="center" vertical="center" wrapText="1"/>
    </xf>
    <xf numFmtId="164" fontId="0" fillId="0" borderId="8" xfId="0" applyNumberFormat="1" applyFont="1" applyBorder="1" applyAlignment="1">
      <alignment horizontal="center" vertical="center" wrapText="1"/>
    </xf>
    <xf numFmtId="164" fontId="0" fillId="0" borderId="10" xfId="0" applyNumberFormat="1" applyFont="1" applyBorder="1" applyAlignment="1">
      <alignment horizontal="center" vertical="center" wrapText="1"/>
    </xf>
    <xf numFmtId="164" fontId="0" fillId="0" borderId="13" xfId="0" applyNumberFormat="1" applyFont="1" applyBorder="1" applyAlignment="1">
      <alignment horizontal="center" vertical="center" wrapText="1"/>
    </xf>
    <xf numFmtId="4" fontId="0" fillId="0" borderId="8" xfId="0" applyNumberFormat="1" applyFont="1" applyBorder="1" applyAlignment="1">
      <alignment horizontal="center" vertical="center" wrapText="1"/>
    </xf>
    <xf numFmtId="0" fontId="0" fillId="0" borderId="30" xfId="0" applyFont="1" applyBorder="1" applyAlignment="1">
      <alignment horizontal="center" vertical="center"/>
    </xf>
    <xf numFmtId="0" fontId="0" fillId="0" borderId="23" xfId="0" applyFont="1" applyBorder="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wrapText="1"/>
    </xf>
    <xf numFmtId="0" fontId="29" fillId="0" borderId="2" xfId="0" applyFont="1" applyBorder="1" applyAlignment="1">
      <alignment horizontal="center" vertical="center" wrapText="1"/>
    </xf>
    <xf numFmtId="0" fontId="0" fillId="3" borderId="29"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9" xfId="0" applyFont="1" applyFill="1" applyBorder="1" applyAlignment="1">
      <alignment horizontal="center" vertical="center" wrapText="1"/>
    </xf>
    <xf numFmtId="164" fontId="0" fillId="0" borderId="7" xfId="0" applyNumberFormat="1" applyFont="1" applyBorder="1" applyAlignment="1">
      <alignment horizontal="center" vertical="center" wrapText="1"/>
    </xf>
    <xf numFmtId="164" fontId="0" fillId="0" borderId="12" xfId="0" applyNumberFormat="1" applyFont="1" applyBorder="1" applyAlignment="1">
      <alignment horizontal="center" vertical="center" wrapText="1"/>
    </xf>
    <xf numFmtId="4" fontId="0" fillId="0" borderId="7" xfId="0" applyNumberFormat="1" applyFont="1" applyBorder="1" applyAlignment="1">
      <alignment horizontal="center" vertical="center" wrapText="1"/>
    </xf>
    <xf numFmtId="4" fontId="0" fillId="0" borderId="12" xfId="0" applyNumberFormat="1" applyFont="1" applyBorder="1" applyAlignment="1">
      <alignment horizontal="center" vertical="center"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wrapText="1"/>
    </xf>
    <xf numFmtId="0" fontId="0" fillId="0" borderId="17" xfId="0" applyFont="1" applyBorder="1" applyAlignment="1">
      <alignment wrapText="1"/>
    </xf>
    <xf numFmtId="0" fontId="13"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7" xfId="0" applyFont="1" applyBorder="1" applyAlignment="1">
      <alignment horizontal="center" vertical="center" wrapText="1"/>
    </xf>
    <xf numFmtId="0" fontId="18" fillId="0" borderId="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0" borderId="0" xfId="0" applyFont="1" applyAlignment="1">
      <alignment horizontal="left" wrapText="1"/>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3" xfId="0" applyFont="1" applyBorder="1" applyAlignment="1">
      <alignment horizontal="center" vertical="center" wrapText="1"/>
    </xf>
    <xf numFmtId="0" fontId="0" fillId="0" borderId="13" xfId="0" applyFont="1" applyBorder="1" applyAlignment="1">
      <alignment horizontal="center" vertical="center" wrapText="1"/>
    </xf>
    <xf numFmtId="0" fontId="0" fillId="3" borderId="2" xfId="0" applyFont="1" applyFill="1" applyBorder="1" applyAlignment="1">
      <alignment horizontal="center" vertical="center" wrapText="1"/>
    </xf>
    <xf numFmtId="164" fontId="0" fillId="0" borderId="2" xfId="0" applyNumberFormat="1" applyFont="1" applyBorder="1" applyAlignment="1">
      <alignment horizontal="center" vertical="center" wrapText="1"/>
    </xf>
    <xf numFmtId="0" fontId="24" fillId="0" borderId="0" xfId="0" applyFont="1" applyAlignment="1">
      <alignment horizontal="left" vertical="top" wrapText="1"/>
    </xf>
    <xf numFmtId="164" fontId="0" fillId="0" borderId="6" xfId="0" applyNumberFormat="1" applyFont="1" applyBorder="1" applyAlignment="1">
      <alignment horizontal="center" vertical="center" wrapText="1"/>
    </xf>
    <xf numFmtId="164" fontId="0" fillId="0" borderId="9" xfId="0" applyNumberFormat="1" applyFont="1" applyBorder="1" applyAlignment="1">
      <alignment horizontal="center" vertical="center" wrapText="1"/>
    </xf>
    <xf numFmtId="164" fontId="0" fillId="0" borderId="11" xfId="0" applyNumberFormat="1" applyFont="1" applyBorder="1" applyAlignment="1">
      <alignment horizontal="center" vertical="center" wrapText="1"/>
    </xf>
    <xf numFmtId="0" fontId="25" fillId="0" borderId="0" xfId="0" applyFont="1" applyAlignment="1">
      <alignment horizontal="left" vertical="top" wrapText="1"/>
    </xf>
    <xf numFmtId="0" fontId="15" fillId="0" borderId="8" xfId="0" applyFont="1" applyBorder="1" applyAlignment="1">
      <alignment horizontal="center" vertical="top" wrapText="1"/>
    </xf>
    <xf numFmtId="0" fontId="15" fillId="0" borderId="5" xfId="0" applyFont="1" applyBorder="1" applyAlignment="1">
      <alignment horizontal="center" vertical="top" wrapText="1"/>
    </xf>
    <xf numFmtId="0" fontId="15" fillId="0" borderId="2" xfId="0" applyFont="1" applyBorder="1" applyAlignment="1">
      <alignment horizontal="center" vertical="top"/>
    </xf>
    <xf numFmtId="0" fontId="15" fillId="0" borderId="10" xfId="0" applyFont="1" applyBorder="1" applyAlignment="1">
      <alignment horizontal="center" vertical="top"/>
    </xf>
    <xf numFmtId="0" fontId="15" fillId="0" borderId="1" xfId="0" applyFont="1" applyBorder="1" applyAlignment="1">
      <alignment horizontal="left" vertical="top" wrapText="1"/>
    </xf>
    <xf numFmtId="0" fontId="15" fillId="0" borderId="2" xfId="0" applyFont="1" applyBorder="1" applyAlignment="1">
      <alignment horizontal="left" vertical="top"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4" xfId="0" applyFont="1" applyBorder="1" applyAlignment="1">
      <alignment horizontal="center" vertical="center" wrapText="1"/>
    </xf>
    <xf numFmtId="0" fontId="15" fillId="0" borderId="2" xfId="0" applyFont="1" applyBorder="1" applyAlignment="1">
      <alignment horizontal="center" vertical="top" wrapText="1"/>
    </xf>
    <xf numFmtId="0" fontId="15" fillId="0" borderId="10" xfId="0" applyFont="1" applyBorder="1" applyAlignment="1">
      <alignment horizontal="center" vertical="top" wrapText="1"/>
    </xf>
    <xf numFmtId="0" fontId="15" fillId="0" borderId="2" xfId="0" applyFont="1" applyBorder="1" applyAlignment="1">
      <alignment horizontal="left" vertical="top"/>
    </xf>
    <xf numFmtId="0" fontId="15" fillId="0" borderId="10" xfId="0" applyFont="1" applyBorder="1" applyAlignment="1">
      <alignment horizontal="left" vertical="top"/>
    </xf>
    <xf numFmtId="0" fontId="15" fillId="0" borderId="1" xfId="0" applyFont="1" applyBorder="1" applyAlignment="1">
      <alignment horizontal="center" vertical="top" wrapText="1"/>
    </xf>
    <xf numFmtId="0" fontId="15" fillId="0" borderId="3" xfId="0" applyFont="1" applyBorder="1" applyAlignment="1">
      <alignment horizontal="center" vertical="top" wrapText="1"/>
    </xf>
    <xf numFmtId="0" fontId="15" fillId="0" borderId="1" xfId="0" applyFont="1" applyBorder="1" applyAlignment="1">
      <alignment horizontal="center" vertical="top"/>
    </xf>
    <xf numFmtId="0" fontId="15" fillId="0" borderId="4" xfId="0" applyFont="1" applyBorder="1" applyAlignment="1">
      <alignment horizontal="center" vertical="top" wrapText="1"/>
    </xf>
    <xf numFmtId="0" fontId="12" fillId="0" borderId="3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2" xfId="0" applyFont="1" applyBorder="1" applyAlignment="1">
      <alignment horizontal="center" vertical="center" wrapText="1"/>
    </xf>
    <xf numFmtId="0" fontId="0" fillId="2" borderId="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9" fillId="0" borderId="13" xfId="0" applyFont="1" applyBorder="1" applyAlignment="1">
      <alignment horizontal="center" vertical="center" wrapText="1"/>
    </xf>
    <xf numFmtId="2" fontId="40" fillId="0" borderId="1" xfId="0" applyNumberFormat="1" applyFont="1" applyFill="1" applyBorder="1" applyAlignment="1">
      <alignment horizontal="left" vertical="center" wrapText="1"/>
    </xf>
    <xf numFmtId="0" fontId="32" fillId="6" borderId="8" xfId="0" applyFont="1" applyFill="1" applyBorder="1" applyAlignment="1">
      <alignment horizontal="center" vertical="center" wrapText="1"/>
    </xf>
    <xf numFmtId="0" fontId="32" fillId="6" borderId="5" xfId="0" applyFont="1" applyFill="1" applyBorder="1" applyAlignment="1">
      <alignment horizontal="center" vertical="center" wrapText="1"/>
    </xf>
    <xf numFmtId="0" fontId="0" fillId="0" borderId="17" xfId="0" applyFont="1" applyBorder="1" applyAlignment="1">
      <alignment horizontal="center"/>
    </xf>
    <xf numFmtId="0" fontId="0" fillId="0" borderId="20" xfId="0" applyFont="1" applyBorder="1" applyAlignment="1">
      <alignment horizontal="center"/>
    </xf>
    <xf numFmtId="4" fontId="0" fillId="0" borderId="30" xfId="0" applyNumberFormat="1" applyFont="1" applyBorder="1" applyAlignment="1">
      <alignment horizontal="center" vertical="center" wrapText="1"/>
    </xf>
    <xf numFmtId="0" fontId="0" fillId="0" borderId="23"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9" xfId="0" applyFont="1" applyBorder="1" applyAlignment="1">
      <alignment horizontal="center" vertical="center" wrapText="1"/>
    </xf>
    <xf numFmtId="4" fontId="27" fillId="0" borderId="8" xfId="0" applyNumberFormat="1" applyFont="1" applyBorder="1" applyAlignment="1">
      <alignment horizontal="center" vertical="center"/>
    </xf>
    <xf numFmtId="4" fontId="27" fillId="0" borderId="10" xfId="0" applyNumberFormat="1" applyFont="1" applyBorder="1" applyAlignment="1">
      <alignment horizontal="center" vertical="center"/>
    </xf>
    <xf numFmtId="4" fontId="27" fillId="0" borderId="5" xfId="0" applyNumberFormat="1" applyFont="1" applyBorder="1" applyAlignment="1">
      <alignment horizontal="center" vertical="center"/>
    </xf>
    <xf numFmtId="4" fontId="0" fillId="9" borderId="10" xfId="0" applyNumberFormat="1" applyFont="1" applyFill="1" applyBorder="1" applyAlignment="1">
      <alignment horizontal="center" vertical="center"/>
    </xf>
    <xf numFmtId="4" fontId="0" fillId="9" borderId="5" xfId="0" applyNumberFormat="1" applyFont="1" applyFill="1" applyBorder="1" applyAlignment="1">
      <alignment horizontal="center" vertical="center"/>
    </xf>
    <xf numFmtId="49" fontId="27" fillId="9" borderId="2" xfId="0" applyNumberFormat="1" applyFont="1" applyFill="1" applyBorder="1" applyAlignment="1">
      <alignment horizontal="center" vertical="center" wrapText="1"/>
    </xf>
    <xf numFmtId="49" fontId="27" fillId="9" borderId="5"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wrapText="1"/>
    </xf>
    <xf numFmtId="4" fontId="0" fillId="9" borderId="5" xfId="0" applyNumberFormat="1" applyFont="1" applyFill="1" applyBorder="1" applyAlignment="1">
      <alignment horizontal="center" vertical="center" wrapText="1"/>
    </xf>
    <xf numFmtId="4" fontId="0" fillId="9" borderId="2" xfId="0" applyNumberFormat="1" applyFont="1" applyFill="1" applyBorder="1" applyAlignment="1">
      <alignment horizontal="center" vertical="center"/>
    </xf>
    <xf numFmtId="4" fontId="0" fillId="0" borderId="8" xfId="0" applyNumberFormat="1" applyFont="1" applyBorder="1" applyAlignment="1">
      <alignment horizontal="center" vertical="center"/>
    </xf>
    <xf numFmtId="4" fontId="0" fillId="0" borderId="10" xfId="0" applyNumberFormat="1" applyFont="1" applyBorder="1" applyAlignment="1">
      <alignment horizontal="center" vertical="center"/>
    </xf>
    <xf numFmtId="49" fontId="0" fillId="0" borderId="25"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0" fillId="0" borderId="10"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 fontId="27" fillId="0" borderId="8" xfId="0" applyNumberFormat="1" applyFont="1" applyBorder="1" applyAlignment="1">
      <alignment horizontal="center" vertical="center" wrapText="1"/>
    </xf>
    <xf numFmtId="4" fontId="27" fillId="0" borderId="10" xfId="0" applyNumberFormat="1" applyFont="1" applyBorder="1" applyAlignment="1">
      <alignment horizontal="center" vertical="center" wrapText="1"/>
    </xf>
    <xf numFmtId="4" fontId="27" fillId="0" borderId="5" xfId="0" applyNumberFormat="1" applyFont="1" applyBorder="1" applyAlignment="1">
      <alignment horizontal="center" vertical="center" wrapText="1"/>
    </xf>
    <xf numFmtId="49" fontId="15" fillId="0" borderId="16"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15" fillId="0" borderId="7" xfId="0" applyNumberFormat="1" applyFont="1" applyBorder="1" applyAlignment="1">
      <alignment horizontal="center" vertical="center" wrapText="1"/>
    </xf>
    <xf numFmtId="49" fontId="15" fillId="0" borderId="7" xfId="0" applyNumberFormat="1" applyFont="1" applyBorder="1" applyAlignment="1">
      <alignment horizontal="center" vertical="center"/>
    </xf>
    <xf numFmtId="49" fontId="15" fillId="0" borderId="12" xfId="0" applyNumberFormat="1" applyFont="1" applyBorder="1" applyAlignment="1">
      <alignment horizontal="center" vertical="center" wrapText="1"/>
    </xf>
    <xf numFmtId="4" fontId="15" fillId="0" borderId="7" xfId="0" applyNumberFormat="1" applyFont="1" applyBorder="1" applyAlignment="1">
      <alignment horizontal="center" vertical="center" wrapText="1"/>
    </xf>
    <xf numFmtId="4" fontId="15" fillId="0" borderId="12"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49" fontId="15" fillId="0" borderId="11" xfId="0" applyNumberFormat="1" applyFont="1" applyBorder="1" applyAlignment="1">
      <alignment horizontal="center" vertical="center" wrapText="1"/>
    </xf>
    <xf numFmtId="49" fontId="0" fillId="7" borderId="2"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0" fillId="7" borderId="5" xfId="0" applyNumberFormat="1" applyFont="1" applyFill="1" applyBorder="1" applyAlignment="1">
      <alignment horizontal="center" vertical="center" wrapText="1"/>
    </xf>
    <xf numFmtId="49" fontId="0" fillId="0" borderId="8" xfId="0" applyNumberFormat="1" applyFont="1" applyBorder="1" applyAlignment="1">
      <alignment horizontal="center" vertical="center" wrapText="1"/>
    </xf>
    <xf numFmtId="4" fontId="0" fillId="0" borderId="13" xfId="0" applyNumberFormat="1" applyFont="1" applyBorder="1" applyAlignment="1">
      <alignment horizontal="center" vertical="center"/>
    </xf>
    <xf numFmtId="49" fontId="0" fillId="0" borderId="13" xfId="0" applyNumberFormat="1" applyFont="1" applyBorder="1" applyAlignment="1">
      <alignment horizontal="center" vertical="center" wrapText="1"/>
    </xf>
    <xf numFmtId="4" fontId="27" fillId="0" borderId="13" xfId="0" applyNumberFormat="1" applyFont="1" applyBorder="1" applyAlignment="1">
      <alignment horizontal="center" vertical="center" wrapText="1"/>
    </xf>
    <xf numFmtId="0" fontId="27" fillId="0" borderId="33" xfId="0" applyFont="1" applyBorder="1" applyAlignment="1">
      <alignment horizontal="center" vertical="center" wrapText="1"/>
    </xf>
    <xf numFmtId="49" fontId="0" fillId="4" borderId="20" xfId="0" applyNumberFormat="1" applyFont="1" applyFill="1" applyBorder="1" applyAlignment="1">
      <alignment horizontal="left" vertical="center" wrapText="1"/>
    </xf>
    <xf numFmtId="49" fontId="0" fillId="4" borderId="32" xfId="0" applyNumberFormat="1" applyFont="1" applyFill="1" applyBorder="1" applyAlignment="1">
      <alignment horizontal="left" vertical="center" wrapText="1"/>
    </xf>
    <xf numFmtId="49" fontId="0" fillId="8" borderId="23" xfId="0" applyNumberFormat="1" applyFont="1" applyFill="1" applyBorder="1" applyAlignment="1">
      <alignment horizontal="left" vertical="top" wrapText="1"/>
    </xf>
    <xf numFmtId="49" fontId="0" fillId="8" borderId="32" xfId="0" applyNumberFormat="1" applyFont="1" applyFill="1" applyBorder="1" applyAlignment="1">
      <alignment horizontal="left" vertical="top" wrapText="1"/>
    </xf>
    <xf numFmtId="49" fontId="0" fillId="4" borderId="30" xfId="0" applyNumberFormat="1" applyFont="1" applyFill="1" applyBorder="1" applyAlignment="1">
      <alignment horizontal="left" vertical="center" wrapText="1"/>
    </xf>
    <xf numFmtId="49" fontId="0" fillId="8" borderId="20" xfId="0" applyNumberFormat="1" applyFont="1" applyFill="1" applyBorder="1" applyAlignment="1">
      <alignment horizontal="left" vertical="center" wrapText="1"/>
    </xf>
    <xf numFmtId="49" fontId="0" fillId="8" borderId="32" xfId="0" applyNumberFormat="1" applyFont="1" applyFill="1" applyBorder="1" applyAlignment="1">
      <alignment horizontal="left" vertical="center" wrapText="1"/>
    </xf>
    <xf numFmtId="0" fontId="0" fillId="0" borderId="0" xfId="0" applyAlignment="1">
      <alignment horizontal="center" wrapText="1"/>
    </xf>
    <xf numFmtId="4" fontId="0" fillId="8" borderId="2" xfId="0" applyNumberFormat="1" applyFont="1" applyFill="1" applyBorder="1" applyAlignment="1">
      <alignment horizontal="center" vertical="center" wrapText="1"/>
    </xf>
    <xf numFmtId="4" fontId="0" fillId="8" borderId="10" xfId="0" applyNumberFormat="1" applyFont="1" applyFill="1" applyBorder="1" applyAlignment="1">
      <alignment horizontal="center" vertical="center" wrapText="1"/>
    </xf>
    <xf numFmtId="4" fontId="0" fillId="8" borderId="13" xfId="0" applyNumberFormat="1" applyFont="1" applyFill="1" applyBorder="1" applyAlignment="1">
      <alignment horizontal="center" vertical="center" wrapText="1"/>
    </xf>
    <xf numFmtId="4" fontId="0" fillId="4" borderId="2" xfId="0" applyNumberFormat="1" applyFont="1" applyFill="1" applyBorder="1" applyAlignment="1">
      <alignment horizontal="center" vertical="center" wrapText="1"/>
    </xf>
    <xf numFmtId="4" fontId="0" fillId="4" borderId="10" xfId="0" applyNumberFormat="1" applyFont="1" applyFill="1" applyBorder="1" applyAlignment="1">
      <alignment horizontal="center" vertical="center" wrapText="1"/>
    </xf>
    <xf numFmtId="4" fontId="0" fillId="4" borderId="8" xfId="0" applyNumberFormat="1" applyFont="1" applyFill="1" applyBorder="1" applyAlignment="1">
      <alignment horizontal="center" vertical="center" wrapText="1"/>
    </xf>
    <xf numFmtId="4" fontId="0" fillId="4" borderId="13" xfId="0" applyNumberFormat="1" applyFont="1" applyFill="1" applyBorder="1" applyAlignment="1">
      <alignment horizontal="center" vertical="center" wrapText="1"/>
    </xf>
    <xf numFmtId="4" fontId="0" fillId="4" borderId="1" xfId="0" applyNumberFormat="1" applyFont="1" applyFill="1" applyBorder="1" applyAlignment="1">
      <alignment horizontal="center" vertical="center"/>
    </xf>
    <xf numFmtId="4" fontId="27" fillId="8" borderId="2" xfId="0" applyNumberFormat="1" applyFont="1" applyFill="1" applyBorder="1" applyAlignment="1">
      <alignment horizontal="center" vertical="center"/>
    </xf>
    <xf numFmtId="4" fontId="27" fillId="8" borderId="10" xfId="0" applyNumberFormat="1" applyFont="1" applyFill="1" applyBorder="1" applyAlignment="1">
      <alignment horizontal="center" vertical="center"/>
    </xf>
    <xf numFmtId="4" fontId="27" fillId="8" borderId="13" xfId="0" applyNumberFormat="1" applyFont="1" applyFill="1" applyBorder="1" applyAlignment="1">
      <alignment horizontal="center" vertical="center"/>
    </xf>
    <xf numFmtId="4" fontId="27" fillId="8" borderId="1" xfId="0" applyNumberFormat="1" applyFont="1" applyFill="1" applyBorder="1" applyAlignment="1">
      <alignment horizontal="center" vertical="center" wrapText="1"/>
    </xf>
    <xf numFmtId="0" fontId="0" fillId="8" borderId="2" xfId="0" applyFont="1" applyFill="1" applyBorder="1" applyAlignment="1">
      <alignment horizontal="center" vertical="center" wrapText="1"/>
    </xf>
    <xf numFmtId="0" fontId="0" fillId="8" borderId="10" xfId="0" applyFont="1" applyFill="1" applyBorder="1" applyAlignment="1">
      <alignment horizontal="center" vertical="center" wrapText="1"/>
    </xf>
    <xf numFmtId="0" fontId="0" fillId="8" borderId="13" xfId="0" applyFont="1" applyFill="1" applyBorder="1" applyAlignment="1">
      <alignment horizontal="center" vertical="center" wrapText="1"/>
    </xf>
    <xf numFmtId="4" fontId="27" fillId="4" borderId="8" xfId="0" applyNumberFormat="1" applyFont="1" applyFill="1" applyBorder="1" applyAlignment="1">
      <alignment horizontal="center" vertical="center"/>
    </xf>
    <xf numFmtId="4" fontId="27" fillId="4" borderId="10" xfId="0" applyNumberFormat="1" applyFont="1" applyFill="1" applyBorder="1" applyAlignment="1">
      <alignment horizontal="center" vertical="center"/>
    </xf>
    <xf numFmtId="4" fontId="27" fillId="4" borderId="13" xfId="0" applyNumberFormat="1" applyFont="1" applyFill="1" applyBorder="1" applyAlignment="1">
      <alignment horizontal="center" vertical="center"/>
    </xf>
    <xf numFmtId="4" fontId="27" fillId="4" borderId="2" xfId="0" applyNumberFormat="1" applyFont="1" applyFill="1" applyBorder="1" applyAlignment="1">
      <alignment horizontal="center" vertical="center"/>
    </xf>
    <xf numFmtId="49" fontId="27" fillId="0" borderId="2"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7" fillId="0" borderId="13" xfId="0" applyNumberFormat="1" applyFont="1" applyFill="1" applyBorder="1" applyAlignment="1">
      <alignment horizontal="center" vertical="center" wrapText="1"/>
    </xf>
    <xf numFmtId="4" fontId="0" fillId="4" borderId="8" xfId="0" applyNumberFormat="1" applyFont="1" applyFill="1" applyBorder="1" applyAlignment="1">
      <alignment horizontal="center" vertical="center"/>
    </xf>
    <xf numFmtId="4" fontId="0" fillId="4" borderId="10" xfId="0" applyNumberFormat="1" applyFont="1" applyFill="1" applyBorder="1" applyAlignment="1">
      <alignment horizontal="center" vertical="center"/>
    </xf>
    <xf numFmtId="4" fontId="0" fillId="4" borderId="13" xfId="0" applyNumberFormat="1" applyFont="1" applyFill="1" applyBorder="1" applyAlignment="1">
      <alignment horizontal="center" vertical="center"/>
    </xf>
    <xf numFmtId="0" fontId="15" fillId="0" borderId="5" xfId="0" applyFont="1" applyBorder="1" applyAlignment="1">
      <alignment horizontal="left" vertical="top" wrapText="1"/>
    </xf>
    <xf numFmtId="4" fontId="27" fillId="8" borderId="1" xfId="0" applyNumberFormat="1" applyFont="1" applyFill="1" applyBorder="1" applyAlignment="1">
      <alignment horizontal="center" vertical="center"/>
    </xf>
    <xf numFmtId="4" fontId="27" fillId="8" borderId="12" xfId="0" applyNumberFormat="1" applyFont="1" applyFill="1" applyBorder="1" applyAlignment="1">
      <alignment horizontal="center" vertical="center"/>
    </xf>
    <xf numFmtId="4" fontId="27" fillId="8" borderId="12"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xf>
    <xf numFmtId="4" fontId="0" fillId="4" borderId="7" xfId="0" applyNumberFormat="1" applyFont="1" applyFill="1" applyBorder="1" applyAlignment="1">
      <alignment horizontal="center" vertical="center"/>
    </xf>
    <xf numFmtId="4" fontId="0" fillId="4" borderId="2" xfId="0" applyNumberFormat="1" applyFont="1" applyFill="1" applyBorder="1" applyAlignment="1">
      <alignment horizontal="center" vertical="center"/>
    </xf>
    <xf numFmtId="4" fontId="0" fillId="8" borderId="1" xfId="0" applyNumberFormat="1" applyFont="1" applyFill="1" applyBorder="1" applyAlignment="1">
      <alignment horizontal="center" vertical="center" wrapText="1"/>
    </xf>
    <xf numFmtId="4" fontId="0" fillId="8" borderId="12" xfId="0" applyNumberFormat="1" applyFont="1" applyFill="1" applyBorder="1" applyAlignment="1">
      <alignment horizontal="center" vertical="center" wrapText="1"/>
    </xf>
    <xf numFmtId="0" fontId="15" fillId="0" borderId="41" xfId="0" applyFont="1" applyBorder="1" applyAlignment="1">
      <alignment horizontal="center" vertical="top" wrapText="1"/>
    </xf>
    <xf numFmtId="0" fontId="15" fillId="0" borderId="3" xfId="0" applyFont="1" applyBorder="1" applyAlignment="1">
      <alignment horizontal="center" vertical="top"/>
    </xf>
    <xf numFmtId="0" fontId="15" fillId="0" borderId="4" xfId="0" applyFont="1" applyBorder="1" applyAlignment="1">
      <alignment horizontal="center" vertical="top"/>
    </xf>
    <xf numFmtId="49" fontId="27" fillId="0" borderId="1"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0" fillId="8" borderId="5" xfId="0"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49" fontId="0" fillId="4" borderId="8" xfId="0" applyNumberFormat="1" applyFont="1" applyFill="1" applyBorder="1" applyAlignment="1">
      <alignment horizontal="center" vertical="center" wrapText="1"/>
    </xf>
    <xf numFmtId="0" fontId="0" fillId="4" borderId="10" xfId="0" applyFont="1" applyFill="1" applyBorder="1" applyAlignment="1">
      <alignment horizontal="center" vertical="center" wrapText="1"/>
    </xf>
    <xf numFmtId="4" fontId="0" fillId="4" borderId="1" xfId="0" applyNumberFormat="1" applyFont="1" applyFill="1" applyBorder="1" applyAlignment="1">
      <alignment horizontal="center" vertical="center" wrapText="1"/>
    </xf>
    <xf numFmtId="3" fontId="15" fillId="0" borderId="2" xfId="0" applyNumberFormat="1" applyFont="1" applyBorder="1" applyAlignment="1">
      <alignment horizontal="center" vertical="top" wrapText="1"/>
    </xf>
    <xf numFmtId="3" fontId="15" fillId="0" borderId="5" xfId="0" applyNumberFormat="1" applyFont="1" applyBorder="1" applyAlignment="1">
      <alignment horizontal="center" vertical="top" wrapText="1"/>
    </xf>
    <xf numFmtId="0" fontId="15" fillId="0" borderId="5" xfId="0" applyFont="1" applyBorder="1" applyAlignment="1">
      <alignment horizontal="center" vertical="top"/>
    </xf>
    <xf numFmtId="0" fontId="17" fillId="2" borderId="33"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5" fillId="0" borderId="13" xfId="0" applyFont="1" applyBorder="1" applyAlignment="1">
      <alignment horizontal="center" vertical="top" wrapText="1"/>
    </xf>
    <xf numFmtId="0" fontId="15" fillId="0" borderId="13" xfId="0" applyFont="1" applyBorder="1" applyAlignment="1">
      <alignment horizontal="left" vertical="top"/>
    </xf>
    <xf numFmtId="0" fontId="27" fillId="2" borderId="33" xfId="0" applyFont="1" applyFill="1" applyBorder="1" applyAlignment="1">
      <alignment horizontal="center" vertical="center" wrapText="1"/>
    </xf>
    <xf numFmtId="49" fontId="27" fillId="0" borderId="13" xfId="0"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3" fontId="27" fillId="0" borderId="1" xfId="0" applyNumberFormat="1" applyFont="1" applyFill="1" applyBorder="1" applyAlignment="1">
      <alignment horizontal="center" vertical="center"/>
    </xf>
    <xf numFmtId="0" fontId="15" fillId="0" borderId="30" xfId="0" applyFont="1" applyBorder="1" applyAlignment="1">
      <alignment horizontal="left" vertical="center"/>
    </xf>
    <xf numFmtId="0" fontId="15" fillId="0" borderId="23" xfId="0" applyFont="1" applyBorder="1" applyAlignment="1">
      <alignment horizontal="left" vertical="center"/>
    </xf>
    <xf numFmtId="0" fontId="15" fillId="0" borderId="49" xfId="0" applyFont="1" applyBorder="1" applyAlignment="1">
      <alignment horizontal="center" vertical="top" wrapText="1"/>
    </xf>
    <xf numFmtId="0" fontId="15" fillId="0" borderId="29" xfId="0" applyFont="1" applyBorder="1" applyAlignment="1">
      <alignment horizontal="center" vertical="top" wrapText="1"/>
    </xf>
    <xf numFmtId="49" fontId="27" fillId="3" borderId="7" xfId="0"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wrapText="1"/>
    </xf>
    <xf numFmtId="0" fontId="15" fillId="0" borderId="7" xfId="0" applyFont="1" applyBorder="1" applyAlignment="1">
      <alignment horizontal="center" vertical="top"/>
    </xf>
    <xf numFmtId="3" fontId="27" fillId="0" borderId="1" xfId="0" applyNumberFormat="1" applyFont="1" applyFill="1" applyBorder="1" applyAlignment="1">
      <alignment horizontal="center" vertical="center" wrapText="1"/>
    </xf>
    <xf numFmtId="49" fontId="27" fillId="3" borderId="12" xfId="0" applyNumberFormat="1" applyFont="1" applyFill="1" applyBorder="1" applyAlignment="1">
      <alignment horizontal="center" vertical="center" wrapText="1"/>
    </xf>
    <xf numFmtId="3" fontId="27" fillId="0" borderId="13" xfId="0" applyNumberFormat="1" applyFont="1" applyFill="1" applyBorder="1" applyAlignment="1">
      <alignment horizontal="center" vertical="center"/>
    </xf>
    <xf numFmtId="3" fontId="27" fillId="0" borderId="12" xfId="0" applyNumberFormat="1" applyFont="1" applyFill="1" applyBorder="1" applyAlignment="1">
      <alignment horizontal="center" vertical="center"/>
    </xf>
    <xf numFmtId="3" fontId="27" fillId="3" borderId="13" xfId="0" applyNumberFormat="1" applyFont="1" applyFill="1" applyBorder="1" applyAlignment="1">
      <alignment horizontal="center" vertical="center"/>
    </xf>
    <xf numFmtId="3" fontId="27" fillId="3" borderId="12" xfId="0" applyNumberFormat="1" applyFont="1" applyFill="1" applyBorder="1" applyAlignment="1">
      <alignment horizontal="center" vertical="center"/>
    </xf>
    <xf numFmtId="49" fontId="27" fillId="3" borderId="13" xfId="0" applyNumberFormat="1" applyFont="1" applyFill="1" applyBorder="1" applyAlignment="1">
      <alignment horizontal="center" vertical="center" wrapText="1"/>
    </xf>
    <xf numFmtId="49" fontId="0" fillId="0" borderId="26"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6" fillId="0" borderId="13" xfId="0" applyNumberFormat="1" applyFont="1" applyFill="1" applyBorder="1" applyAlignment="1">
      <alignment horizontal="center" vertical="center" wrapText="1"/>
    </xf>
    <xf numFmtId="49" fontId="0" fillId="3" borderId="26" xfId="0" applyNumberFormat="1" applyFont="1" applyFill="1" applyBorder="1" applyAlignment="1">
      <alignment horizontal="center" vertical="center" wrapText="1"/>
    </xf>
    <xf numFmtId="49" fontId="0" fillId="3" borderId="9" xfId="0" applyNumberFormat="1" applyFont="1" applyFill="1" applyBorder="1" applyAlignment="1">
      <alignment horizontal="center" vertical="center" wrapText="1"/>
    </xf>
    <xf numFmtId="49" fontId="0" fillId="3" borderId="11"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0" fillId="0" borderId="13" xfId="0" applyNumberFormat="1" applyFont="1" applyBorder="1" applyAlignment="1">
      <alignment horizontal="center" vertical="center"/>
    </xf>
    <xf numFmtId="3" fontId="0" fillId="0" borderId="1" xfId="0" applyNumberFormat="1" applyFont="1" applyBorder="1" applyAlignment="1">
      <alignment horizontal="center" vertical="center"/>
    </xf>
    <xf numFmtId="3" fontId="0" fillId="0" borderId="12"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15" fillId="0" borderId="8" xfId="0" applyFont="1" applyBorder="1" applyAlignment="1">
      <alignment horizontal="center" vertical="top"/>
    </xf>
    <xf numFmtId="3" fontId="27" fillId="0" borderId="7" xfId="0" applyNumberFormat="1" applyFont="1" applyFill="1" applyBorder="1" applyAlignment="1">
      <alignment horizontal="center" vertical="center" wrapText="1"/>
    </xf>
    <xf numFmtId="0" fontId="15" fillId="0" borderId="6" xfId="0" applyFont="1" applyBorder="1" applyAlignment="1">
      <alignment horizontal="left" vertical="top" wrapText="1"/>
    </xf>
    <xf numFmtId="0" fontId="15" fillId="0" borderId="15" xfId="0" applyFont="1" applyBorder="1" applyAlignment="1">
      <alignment horizontal="left" vertical="top" wrapText="1"/>
    </xf>
    <xf numFmtId="0" fontId="15" fillId="0" borderId="5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7" xfId="0" applyFont="1" applyBorder="1" applyAlignment="1">
      <alignment horizontal="left" vertical="top" wrapText="1"/>
    </xf>
    <xf numFmtId="49" fontId="27" fillId="0" borderId="6" xfId="0" applyNumberFormat="1" applyFont="1" applyBorder="1" applyAlignment="1">
      <alignment horizontal="center" vertical="center" wrapText="1"/>
    </xf>
    <xf numFmtId="49" fontId="0" fillId="0" borderId="9" xfId="0" applyNumberFormat="1" applyFont="1" applyBorder="1" applyAlignment="1">
      <alignment horizontal="center" vertical="center"/>
    </xf>
    <xf numFmtId="49" fontId="0" fillId="0" borderId="11" xfId="0" applyNumberFormat="1" applyFont="1" applyBorder="1" applyAlignment="1">
      <alignment horizontal="center" vertical="center"/>
    </xf>
    <xf numFmtId="3" fontId="27" fillId="0" borderId="12" xfId="0" applyNumberFormat="1" applyFont="1" applyFill="1" applyBorder="1" applyAlignment="1">
      <alignment horizontal="center" vertical="center" wrapText="1"/>
    </xf>
    <xf numFmtId="0" fontId="15" fillId="0" borderId="6" xfId="0" applyFont="1" applyBorder="1" applyAlignment="1">
      <alignment horizontal="center" vertical="top" wrapText="1"/>
    </xf>
    <xf numFmtId="49" fontId="24" fillId="0" borderId="1" xfId="0" applyNumberFormat="1"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18" fillId="0" borderId="25" xfId="0" applyNumberFormat="1" applyFont="1" applyBorder="1" applyAlignment="1">
      <alignment horizontal="center" vertical="center" wrapText="1"/>
    </xf>
    <xf numFmtId="49" fontId="18" fillId="0" borderId="27" xfId="0" applyNumberFormat="1" applyFont="1" applyBorder="1" applyAlignment="1">
      <alignment horizontal="center" vertical="center" wrapText="1"/>
    </xf>
    <xf numFmtId="4" fontId="18" fillId="0" borderId="8" xfId="0" applyNumberFormat="1" applyFont="1" applyBorder="1" applyAlignment="1">
      <alignment horizontal="center" vertical="center"/>
    </xf>
    <xf numFmtId="4" fontId="18" fillId="0" borderId="5" xfId="0" applyNumberFormat="1" applyFont="1" applyBorder="1" applyAlignment="1">
      <alignment horizontal="center" vertical="center"/>
    </xf>
    <xf numFmtId="49" fontId="18" fillId="0" borderId="8"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4" borderId="7" xfId="0" applyNumberFormat="1" applyFont="1" applyFill="1" applyBorder="1" applyAlignment="1">
      <alignment horizontal="center" vertical="center" wrapText="1"/>
    </xf>
    <xf numFmtId="49" fontId="18" fillId="4" borderId="12" xfId="0" applyNumberFormat="1" applyFont="1" applyFill="1" applyBorder="1" applyAlignment="1">
      <alignment horizontal="center" vertical="center" wrapText="1"/>
    </xf>
    <xf numFmtId="2" fontId="66" fillId="0" borderId="0" xfId="0" applyNumberFormat="1" applyFont="1" applyAlignment="1">
      <alignment horizontal="center" vertical="center" wrapText="1"/>
    </xf>
    <xf numFmtId="0" fontId="69" fillId="3" borderId="1" xfId="0" applyFont="1" applyFill="1" applyBorder="1" applyAlignment="1">
      <alignment horizontal="center" vertical="center"/>
    </xf>
    <xf numFmtId="0" fontId="69" fillId="3" borderId="1" xfId="0" applyFont="1" applyFill="1" applyBorder="1" applyAlignment="1">
      <alignment vertical="center"/>
    </xf>
    <xf numFmtId="0" fontId="70" fillId="3" borderId="1" xfId="0" applyFont="1" applyFill="1" applyBorder="1" applyAlignment="1">
      <alignment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88"/>
  <sheetViews>
    <sheetView zoomScale="55" zoomScaleNormal="55" workbookViewId="0">
      <selection activeCell="J7" activeCellId="1" sqref="J5 J7"/>
    </sheetView>
  </sheetViews>
  <sheetFormatPr defaultRowHeight="15"/>
  <cols>
    <col min="1" max="1" width="15" customWidth="1"/>
    <col min="2" max="2" width="31.140625" customWidth="1"/>
    <col min="3" max="3" width="10.85546875" style="337" customWidth="1"/>
    <col min="4" max="4" width="11" style="337" customWidth="1"/>
    <col min="5" max="5" width="15.140625" style="339" customWidth="1"/>
    <col min="6" max="6" width="12.85546875" style="337" customWidth="1"/>
    <col min="7" max="7" width="12.85546875" style="338" customWidth="1"/>
    <col min="8" max="10" width="23.42578125" style="337" customWidth="1"/>
    <col min="11" max="11" width="54.42578125" style="336"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c r="C1" s="720" t="s">
        <v>266</v>
      </c>
      <c r="D1" s="721"/>
      <c r="E1" s="721"/>
      <c r="F1" s="721"/>
      <c r="G1" s="721"/>
      <c r="H1" s="722"/>
      <c r="I1" s="348"/>
      <c r="J1" s="348"/>
      <c r="L1" s="347"/>
    </row>
    <row r="2" spans="1:16" ht="32.25" thickBot="1">
      <c r="C2" s="396" t="s">
        <v>194</v>
      </c>
      <c r="D2" s="396" t="s">
        <v>14</v>
      </c>
      <c r="E2" s="396" t="s">
        <v>15</v>
      </c>
      <c r="F2" s="396" t="s">
        <v>193</v>
      </c>
      <c r="G2" s="397" t="s">
        <v>192</v>
      </c>
      <c r="H2" s="396" t="s">
        <v>191</v>
      </c>
      <c r="I2" s="443" t="s">
        <v>270</v>
      </c>
      <c r="J2" s="443" t="s">
        <v>267</v>
      </c>
      <c r="L2" s="347"/>
    </row>
    <row r="3" spans="1:16" ht="38.25" customHeight="1">
      <c r="A3" s="682" t="s">
        <v>265</v>
      </c>
      <c r="B3" s="684" t="s">
        <v>264</v>
      </c>
      <c r="C3" s="441">
        <v>2</v>
      </c>
      <c r="D3" s="441" t="s">
        <v>16</v>
      </c>
      <c r="E3" s="442" t="s">
        <v>202</v>
      </c>
      <c r="F3" s="441" t="s">
        <v>206</v>
      </c>
      <c r="G3" s="440" t="s">
        <v>255</v>
      </c>
      <c r="H3" s="444">
        <v>103039200</v>
      </c>
      <c r="I3" s="451">
        <f>H3+20897600-10000000</f>
        <v>113936800</v>
      </c>
      <c r="J3" s="451">
        <f>124531822+10000000</f>
        <v>134531822</v>
      </c>
      <c r="K3" s="686" t="s">
        <v>254</v>
      </c>
      <c r="L3" s="732" t="s">
        <v>263</v>
      </c>
      <c r="M3" s="744">
        <v>44105</v>
      </c>
      <c r="N3" s="745"/>
    </row>
    <row r="4" spans="1:16" ht="67.150000000000006" customHeight="1" thickBot="1">
      <c r="A4" s="683"/>
      <c r="B4" s="685"/>
      <c r="C4" s="438">
        <v>2</v>
      </c>
      <c r="D4" s="438" t="s">
        <v>23</v>
      </c>
      <c r="E4" s="439" t="s">
        <v>120</v>
      </c>
      <c r="F4" s="438" t="s">
        <v>206</v>
      </c>
      <c r="G4" s="437" t="s">
        <v>255</v>
      </c>
      <c r="H4" s="445">
        <v>7000000</v>
      </c>
      <c r="I4" s="451">
        <f>H4-600000</f>
        <v>6400000</v>
      </c>
      <c r="J4" s="451">
        <v>6400000</v>
      </c>
      <c r="K4" s="686"/>
      <c r="L4" s="733"/>
      <c r="M4" s="727">
        <v>123936800</v>
      </c>
      <c r="N4" s="728"/>
      <c r="O4" s="3" t="s">
        <v>16</v>
      </c>
      <c r="P4" s="473">
        <f>I3+I8</f>
        <v>123936800</v>
      </c>
    </row>
    <row r="5" spans="1:16" ht="40.5" customHeight="1">
      <c r="A5" s="478" t="s">
        <v>262</v>
      </c>
      <c r="B5" s="477" t="s">
        <v>261</v>
      </c>
      <c r="C5" s="475">
        <v>2</v>
      </c>
      <c r="D5" s="475" t="s">
        <v>23</v>
      </c>
      <c r="E5" s="476" t="s">
        <v>120</v>
      </c>
      <c r="F5" s="475" t="s">
        <v>204</v>
      </c>
      <c r="G5" s="474" t="s">
        <v>260</v>
      </c>
      <c r="H5" s="479">
        <v>122382600</v>
      </c>
      <c r="I5" s="452">
        <f>(H5-615010)</f>
        <v>121767590</v>
      </c>
      <c r="J5" s="452">
        <v>121730794</v>
      </c>
      <c r="K5" s="472" t="s">
        <v>259</v>
      </c>
      <c r="L5" s="733"/>
      <c r="M5" s="727">
        <v>173867590</v>
      </c>
      <c r="N5" s="728"/>
      <c r="O5" s="3" t="s">
        <v>258</v>
      </c>
      <c r="P5" s="473">
        <f>SUM(I5:I7)</f>
        <v>167467590</v>
      </c>
    </row>
    <row r="6" spans="1:16" ht="16.5" customHeight="1">
      <c r="A6" s="687" t="s">
        <v>257</v>
      </c>
      <c r="B6" s="688" t="s">
        <v>256</v>
      </c>
      <c r="C6" s="435">
        <v>2</v>
      </c>
      <c r="D6" s="435" t="s">
        <v>23</v>
      </c>
      <c r="E6" s="436" t="s">
        <v>120</v>
      </c>
      <c r="F6" s="435" t="s">
        <v>204</v>
      </c>
      <c r="G6" s="434" t="s">
        <v>255</v>
      </c>
      <c r="H6" s="433">
        <v>300000</v>
      </c>
      <c r="I6" s="453">
        <v>0</v>
      </c>
      <c r="J6" s="453">
        <v>0</v>
      </c>
      <c r="K6" s="472" t="s">
        <v>254</v>
      </c>
      <c r="L6" s="733"/>
      <c r="M6" s="423"/>
      <c r="N6" s="423"/>
    </row>
    <row r="7" spans="1:16" ht="25.5" customHeight="1">
      <c r="A7" s="687"/>
      <c r="B7" s="688"/>
      <c r="C7" s="435">
        <v>2</v>
      </c>
      <c r="D7" s="435" t="s">
        <v>23</v>
      </c>
      <c r="E7" s="436" t="s">
        <v>120</v>
      </c>
      <c r="F7" s="435" t="s">
        <v>204</v>
      </c>
      <c r="G7" s="434" t="s">
        <v>253</v>
      </c>
      <c r="H7" s="433">
        <v>46000000</v>
      </c>
      <c r="I7" s="453">
        <f>H7-600000+H6</f>
        <v>45700000</v>
      </c>
      <c r="J7" s="453">
        <v>45700000</v>
      </c>
      <c r="K7" s="466" t="s">
        <v>252</v>
      </c>
      <c r="L7" s="733"/>
      <c r="M7" s="423"/>
      <c r="N7" s="432"/>
    </row>
    <row r="8" spans="1:16" ht="25.5" customHeight="1" thickBot="1">
      <c r="A8" s="471" t="s">
        <v>269</v>
      </c>
      <c r="B8" s="470" t="s">
        <v>268</v>
      </c>
      <c r="C8" s="468">
        <v>2</v>
      </c>
      <c r="D8" s="468" t="s">
        <v>16</v>
      </c>
      <c r="E8" s="469" t="s">
        <v>202</v>
      </c>
      <c r="F8" s="468" t="s">
        <v>204</v>
      </c>
      <c r="G8" s="467" t="s">
        <v>209</v>
      </c>
      <c r="H8" s="480">
        <v>8000000</v>
      </c>
      <c r="I8" s="485">
        <v>10000000</v>
      </c>
      <c r="J8" s="485">
        <v>0</v>
      </c>
      <c r="K8" s="466" t="s">
        <v>211</v>
      </c>
      <c r="L8" s="734"/>
      <c r="M8" s="423"/>
      <c r="N8" s="432"/>
    </row>
    <row r="9" spans="1:16" ht="39.75" customHeight="1">
      <c r="A9" s="679" t="s">
        <v>251</v>
      </c>
      <c r="B9" s="694" t="s">
        <v>250</v>
      </c>
      <c r="C9" s="691">
        <v>3</v>
      </c>
      <c r="D9" s="689" t="s">
        <v>16</v>
      </c>
      <c r="E9" s="380" t="s">
        <v>202</v>
      </c>
      <c r="F9" s="431"/>
      <c r="G9" s="430" t="s">
        <v>249</v>
      </c>
      <c r="H9" s="481">
        <v>5000000</v>
      </c>
      <c r="I9" s="424">
        <f>H9+1250000+ 6250000</f>
        <v>12500000</v>
      </c>
      <c r="J9" s="424">
        <v>11908130</v>
      </c>
      <c r="K9" s="412" t="s">
        <v>248</v>
      </c>
      <c r="L9" s="732" t="s">
        <v>247</v>
      </c>
      <c r="M9" s="423"/>
      <c r="N9" s="423"/>
    </row>
    <row r="10" spans="1:16" ht="39.75" customHeight="1" thickBot="1">
      <c r="A10" s="680"/>
      <c r="B10" s="695"/>
      <c r="C10" s="692"/>
      <c r="D10" s="690"/>
      <c r="E10" s="486" t="s">
        <v>210</v>
      </c>
      <c r="F10" s="723" t="s">
        <v>164</v>
      </c>
      <c r="G10" s="487"/>
      <c r="H10" s="488"/>
      <c r="I10" s="424"/>
      <c r="J10" s="424">
        <v>588200</v>
      </c>
      <c r="K10" s="489"/>
      <c r="L10" s="733"/>
      <c r="M10" s="423"/>
      <c r="N10" s="423"/>
    </row>
    <row r="11" spans="1:16" s="426" customFormat="1" ht="59.25" customHeight="1">
      <c r="A11" s="680"/>
      <c r="B11" s="695"/>
      <c r="C11" s="692"/>
      <c r="D11" s="689" t="s">
        <v>16</v>
      </c>
      <c r="E11" s="425" t="s">
        <v>202</v>
      </c>
      <c r="F11" s="723"/>
      <c r="G11" s="724" t="s">
        <v>246</v>
      </c>
      <c r="H11" s="446">
        <v>5000000</v>
      </c>
      <c r="I11" s="424">
        <v>0</v>
      </c>
      <c r="J11" s="424">
        <v>0</v>
      </c>
      <c r="K11" s="428" t="s">
        <v>245</v>
      </c>
      <c r="L11" s="733"/>
      <c r="M11" s="423"/>
      <c r="N11" s="423"/>
    </row>
    <row r="12" spans="1:16" s="426" customFormat="1" ht="59.25" customHeight="1" thickBot="1">
      <c r="A12" s="680"/>
      <c r="B12" s="695"/>
      <c r="C12" s="692"/>
      <c r="D12" s="690"/>
      <c r="E12" s="425" t="s">
        <v>210</v>
      </c>
      <c r="F12" s="723"/>
      <c r="G12" s="725"/>
      <c r="H12" s="446"/>
      <c r="I12" s="424"/>
      <c r="J12" s="424">
        <v>0</v>
      </c>
      <c r="K12" s="428"/>
      <c r="L12" s="733"/>
      <c r="M12" s="423"/>
      <c r="N12" s="423"/>
    </row>
    <row r="13" spans="1:16" s="426" customFormat="1" ht="42" customHeight="1">
      <c r="A13" s="680"/>
      <c r="B13" s="695"/>
      <c r="C13" s="692"/>
      <c r="D13" s="689" t="s">
        <v>16</v>
      </c>
      <c r="E13" s="425" t="s">
        <v>202</v>
      </c>
      <c r="F13" s="723"/>
      <c r="G13" s="726" t="s">
        <v>244</v>
      </c>
      <c r="H13" s="446">
        <v>5000000</v>
      </c>
      <c r="I13" s="424">
        <f>H13+1250000</f>
        <v>6250000</v>
      </c>
      <c r="J13" s="424">
        <v>5960260</v>
      </c>
      <c r="K13" s="427" t="s">
        <v>243</v>
      </c>
      <c r="L13" s="733"/>
      <c r="M13" s="423"/>
      <c r="N13" s="423"/>
    </row>
    <row r="14" spans="1:16" s="426" customFormat="1" ht="42" customHeight="1" thickBot="1">
      <c r="A14" s="680"/>
      <c r="B14" s="695"/>
      <c r="C14" s="692"/>
      <c r="D14" s="690"/>
      <c r="E14" s="490" t="s">
        <v>210</v>
      </c>
      <c r="F14" s="723"/>
      <c r="G14" s="726"/>
      <c r="H14" s="491"/>
      <c r="I14" s="424"/>
      <c r="J14" s="424">
        <v>291200</v>
      </c>
      <c r="K14" s="427"/>
      <c r="L14" s="733"/>
      <c r="M14" s="423"/>
      <c r="N14" s="423"/>
    </row>
    <row r="15" spans="1:16" ht="42" customHeight="1" thickBot="1">
      <c r="A15" s="680"/>
      <c r="B15" s="695"/>
      <c r="C15" s="692"/>
      <c r="D15" s="689" t="s">
        <v>16</v>
      </c>
      <c r="E15" s="465" t="s">
        <v>202</v>
      </c>
      <c r="F15" s="723"/>
      <c r="G15" s="429" t="s">
        <v>242</v>
      </c>
      <c r="H15" s="482">
        <v>5000000</v>
      </c>
      <c r="I15" s="424">
        <f>H15+1250000</f>
        <v>6250000</v>
      </c>
      <c r="J15" s="424">
        <v>5961710</v>
      </c>
      <c r="K15" s="412" t="s">
        <v>241</v>
      </c>
      <c r="L15" s="733"/>
      <c r="M15" s="423"/>
      <c r="N15" s="423"/>
    </row>
    <row r="16" spans="1:16" ht="42" customHeight="1" thickBot="1">
      <c r="A16" s="681"/>
      <c r="B16" s="696"/>
      <c r="C16" s="693"/>
      <c r="D16" s="690"/>
      <c r="E16" s="492"/>
      <c r="F16" s="690"/>
      <c r="G16" s="429"/>
      <c r="H16" s="493"/>
      <c r="I16" s="424"/>
      <c r="J16" s="424">
        <v>290500</v>
      </c>
      <c r="K16" s="412"/>
      <c r="L16" s="733"/>
      <c r="M16" s="423"/>
      <c r="N16" s="423"/>
    </row>
    <row r="17" spans="1:20" ht="14.25" customHeight="1">
      <c r="A17" s="697" t="s">
        <v>240</v>
      </c>
      <c r="B17" s="699" t="s">
        <v>239</v>
      </c>
      <c r="C17" s="464">
        <v>3</v>
      </c>
      <c r="D17" s="462" t="s">
        <v>23</v>
      </c>
      <c r="E17" s="463" t="s">
        <v>120</v>
      </c>
      <c r="F17" s="462" t="s">
        <v>165</v>
      </c>
      <c r="G17" s="494" t="s">
        <v>238</v>
      </c>
      <c r="H17" s="483">
        <v>94000000</v>
      </c>
      <c r="I17" s="454">
        <f>H17-900000+2000000</f>
        <v>95100000</v>
      </c>
      <c r="J17" s="454">
        <f>I17</f>
        <v>95100000</v>
      </c>
      <c r="K17" s="412" t="s">
        <v>237</v>
      </c>
      <c r="L17" s="733"/>
      <c r="M17" s="423"/>
      <c r="N17" s="423"/>
    </row>
    <row r="18" spans="1:20" ht="25.5" customHeight="1">
      <c r="A18" s="698"/>
      <c r="B18" s="700"/>
      <c r="C18" s="374">
        <v>3</v>
      </c>
      <c r="D18" s="372" t="s">
        <v>23</v>
      </c>
      <c r="E18" s="373" t="s">
        <v>120</v>
      </c>
      <c r="F18" s="372" t="s">
        <v>165</v>
      </c>
      <c r="G18" s="371" t="s">
        <v>236</v>
      </c>
      <c r="H18" s="447">
        <v>52290000</v>
      </c>
      <c r="I18" s="454">
        <f>H18-800000</f>
        <v>51490000</v>
      </c>
      <c r="J18" s="454">
        <f>I18</f>
        <v>51490000</v>
      </c>
      <c r="K18" s="412" t="s">
        <v>235</v>
      </c>
      <c r="L18" s="733"/>
      <c r="M18" s="423"/>
      <c r="N18" s="432">
        <f>I17+I18+I19+I24</f>
        <v>158790000</v>
      </c>
      <c r="P18" s="286"/>
      <c r="S18">
        <f>123936800+121767590+45700000+6400000+25000000+90080000+10000000+146790000+242432250+10000000+2000000</f>
        <v>824106640</v>
      </c>
    </row>
    <row r="19" spans="1:20" ht="86.25" customHeight="1">
      <c r="A19" s="698"/>
      <c r="B19" s="701"/>
      <c r="C19" s="374">
        <v>3</v>
      </c>
      <c r="D19" s="372" t="s">
        <v>23</v>
      </c>
      <c r="E19" s="373" t="s">
        <v>120</v>
      </c>
      <c r="F19" s="372" t="s">
        <v>165</v>
      </c>
      <c r="G19" s="371" t="s">
        <v>234</v>
      </c>
      <c r="H19" s="447">
        <v>3000000</v>
      </c>
      <c r="I19" s="454">
        <f>H19-800000</f>
        <v>2200000</v>
      </c>
      <c r="J19" s="454">
        <f>I19</f>
        <v>2200000</v>
      </c>
      <c r="K19" s="418" t="s">
        <v>233</v>
      </c>
      <c r="L19" s="733"/>
      <c r="M19" s="746">
        <v>44105</v>
      </c>
      <c r="N19" s="747"/>
      <c r="P19" s="286"/>
      <c r="S19">
        <f>113936800+10000000+121767590+45700000+6400000+25000000+90080000+10000000+148790000+242432250+10000000</f>
        <v>824106640</v>
      </c>
      <c r="T19" s="130">
        <f>824106640-S19</f>
        <v>0</v>
      </c>
    </row>
    <row r="20" spans="1:20" ht="25.5" customHeight="1">
      <c r="A20" s="708" t="s">
        <v>232</v>
      </c>
      <c r="B20" s="711" t="s">
        <v>231</v>
      </c>
      <c r="C20" s="422">
        <v>3</v>
      </c>
      <c r="D20" s="420" t="s">
        <v>23</v>
      </c>
      <c r="E20" s="421" t="s">
        <v>120</v>
      </c>
      <c r="F20" s="420" t="s">
        <v>165</v>
      </c>
      <c r="G20" s="419" t="s">
        <v>230</v>
      </c>
      <c r="H20" s="448">
        <v>177000000</v>
      </c>
      <c r="I20" s="455">
        <v>63315000</v>
      </c>
      <c r="J20" s="455">
        <v>65530043</v>
      </c>
      <c r="K20" s="412" t="s">
        <v>229</v>
      </c>
      <c r="L20" s="733"/>
      <c r="M20" s="727">
        <v>125080000</v>
      </c>
      <c r="N20" s="728"/>
      <c r="O20" s="3" t="s">
        <v>16</v>
      </c>
      <c r="P20" s="4">
        <f>SUM(I9:I15,I25)</f>
        <v>115080000</v>
      </c>
    </row>
    <row r="21" spans="1:20" ht="36" customHeight="1">
      <c r="A21" s="709"/>
      <c r="B21" s="712"/>
      <c r="C21" s="422">
        <v>3</v>
      </c>
      <c r="D21" s="420" t="s">
        <v>23</v>
      </c>
      <c r="E21" s="421" t="s">
        <v>120</v>
      </c>
      <c r="F21" s="420" t="s">
        <v>165</v>
      </c>
      <c r="G21" s="419" t="s">
        <v>228</v>
      </c>
      <c r="H21" s="448">
        <v>44500000</v>
      </c>
      <c r="I21" s="455">
        <v>147896000</v>
      </c>
      <c r="J21" s="455">
        <v>147844205</v>
      </c>
      <c r="K21" s="418" t="s">
        <v>227</v>
      </c>
      <c r="L21" s="733"/>
      <c r="M21" s="727">
        <v>401222250</v>
      </c>
      <c r="N21" s="728"/>
      <c r="O21" s="3" t="s">
        <v>226</v>
      </c>
      <c r="P21" s="461">
        <f>SUM(I17:I24)</f>
        <v>401222250</v>
      </c>
      <c r="R21" s="286"/>
    </row>
    <row r="22" spans="1:20" ht="15" customHeight="1">
      <c r="A22" s="709"/>
      <c r="B22" s="712"/>
      <c r="C22" s="422">
        <v>3</v>
      </c>
      <c r="D22" s="420" t="s">
        <v>23</v>
      </c>
      <c r="E22" s="421" t="s">
        <v>120</v>
      </c>
      <c r="F22" s="420" t="s">
        <v>165</v>
      </c>
      <c r="G22" s="419" t="s">
        <v>225</v>
      </c>
      <c r="H22" s="448">
        <v>18500000</v>
      </c>
      <c r="I22" s="455">
        <v>26671250</v>
      </c>
      <c r="J22" s="455">
        <v>26661909</v>
      </c>
      <c r="K22" s="418" t="s">
        <v>224</v>
      </c>
      <c r="L22" s="733"/>
    </row>
    <row r="23" spans="1:20">
      <c r="A23" s="710"/>
      <c r="B23" s="713"/>
      <c r="C23" s="422">
        <v>3</v>
      </c>
      <c r="D23" s="420" t="s">
        <v>23</v>
      </c>
      <c r="E23" s="421" t="s">
        <v>120</v>
      </c>
      <c r="F23" s="420" t="s">
        <v>165</v>
      </c>
      <c r="G23" s="419" t="s">
        <v>223</v>
      </c>
      <c r="H23" s="448">
        <v>5000000</v>
      </c>
      <c r="I23" s="455">
        <v>4550000</v>
      </c>
      <c r="J23" s="455">
        <v>2311190</v>
      </c>
      <c r="K23" s="418" t="s">
        <v>222</v>
      </c>
      <c r="L23" s="733"/>
    </row>
    <row r="24" spans="1:20" ht="34.5" thickBot="1">
      <c r="A24" s="460" t="s">
        <v>221</v>
      </c>
      <c r="B24" s="459" t="s">
        <v>220</v>
      </c>
      <c r="C24" s="362">
        <v>3</v>
      </c>
      <c r="D24" s="360" t="s">
        <v>23</v>
      </c>
      <c r="E24" s="361" t="s">
        <v>120</v>
      </c>
      <c r="F24" s="360" t="s">
        <v>165</v>
      </c>
      <c r="G24" s="359" t="s">
        <v>219</v>
      </c>
      <c r="H24" s="449">
        <v>10000000</v>
      </c>
      <c r="I24" s="456">
        <f>H24</f>
        <v>10000000</v>
      </c>
      <c r="J24" s="456">
        <f>I24</f>
        <v>10000000</v>
      </c>
      <c r="K24" s="418" t="s">
        <v>218</v>
      </c>
      <c r="L24" s="733"/>
      <c r="P24" s="286"/>
    </row>
    <row r="25" spans="1:20" ht="135.75" customHeight="1">
      <c r="A25" s="417" t="s">
        <v>217</v>
      </c>
      <c r="B25" s="716" t="s">
        <v>216</v>
      </c>
      <c r="C25" s="416">
        <v>3</v>
      </c>
      <c r="D25" s="414" t="s">
        <v>16</v>
      </c>
      <c r="E25" s="415" t="s">
        <v>202</v>
      </c>
      <c r="F25" s="414" t="s">
        <v>166</v>
      </c>
      <c r="G25" s="413" t="s">
        <v>215</v>
      </c>
      <c r="H25" s="450">
        <v>82017360</v>
      </c>
      <c r="I25" s="457">
        <f>H25+8062640</f>
        <v>90080000</v>
      </c>
      <c r="J25" s="457">
        <v>87958750</v>
      </c>
      <c r="K25" s="412" t="s">
        <v>214</v>
      </c>
      <c r="L25" s="733"/>
      <c r="N25" s="286">
        <f>I20+I21+I22+I23</f>
        <v>242432250</v>
      </c>
    </row>
    <row r="26" spans="1:20" ht="135.75" customHeight="1">
      <c r="A26" s="417"/>
      <c r="B26" s="717"/>
      <c r="C26" s="416">
        <v>3</v>
      </c>
      <c r="D26" s="414" t="s">
        <v>16</v>
      </c>
      <c r="E26" s="415" t="s">
        <v>202</v>
      </c>
      <c r="F26" s="414" t="s">
        <v>166</v>
      </c>
      <c r="G26" s="413" t="s">
        <v>209</v>
      </c>
      <c r="H26" s="484"/>
      <c r="I26" s="457">
        <v>10000000</v>
      </c>
      <c r="J26" s="457">
        <v>10000000</v>
      </c>
      <c r="K26" s="418" t="s">
        <v>211</v>
      </c>
      <c r="L26" s="733"/>
      <c r="N26" s="286"/>
    </row>
    <row r="27" spans="1:20" ht="123.75" customHeight="1">
      <c r="A27" s="714" t="s">
        <v>213</v>
      </c>
      <c r="B27" s="718" t="s">
        <v>212</v>
      </c>
      <c r="C27" s="411">
        <v>3</v>
      </c>
      <c r="D27" s="409" t="s">
        <v>16</v>
      </c>
      <c r="E27" s="410" t="s">
        <v>202</v>
      </c>
      <c r="F27" s="409" t="s">
        <v>166</v>
      </c>
      <c r="G27" s="408" t="s">
        <v>209</v>
      </c>
      <c r="H27" s="407">
        <v>8000000</v>
      </c>
      <c r="I27" s="452">
        <v>0</v>
      </c>
      <c r="J27" s="452"/>
      <c r="K27" s="735" t="s">
        <v>211</v>
      </c>
      <c r="L27" s="733"/>
      <c r="N27">
        <f>123936800+121767590+45700000+6400000+25000000+90080000+10000000+146790000+242432250+10000000+2000000</f>
        <v>824106640</v>
      </c>
    </row>
    <row r="28" spans="1:20" ht="38.25" customHeight="1" thickBot="1">
      <c r="A28" s="715"/>
      <c r="B28" s="719"/>
      <c r="C28" s="406">
        <v>3</v>
      </c>
      <c r="D28" s="404" t="s">
        <v>16</v>
      </c>
      <c r="E28" s="405" t="s">
        <v>210</v>
      </c>
      <c r="F28" s="404" t="s">
        <v>166</v>
      </c>
      <c r="G28" s="403" t="s">
        <v>209</v>
      </c>
      <c r="H28" s="402">
        <v>2000000</v>
      </c>
      <c r="I28" s="401">
        <v>0</v>
      </c>
      <c r="J28" s="458"/>
      <c r="K28" s="736"/>
      <c r="L28" s="734"/>
    </row>
    <row r="29" spans="1:20" ht="15" customHeight="1" thickBot="1">
      <c r="A29" s="399"/>
      <c r="B29" s="398"/>
      <c r="H29" s="349"/>
      <c r="I29" s="349"/>
      <c r="J29" s="349"/>
      <c r="K29" s="400"/>
      <c r="L29" s="347"/>
    </row>
    <row r="30" spans="1:20" ht="18" customHeight="1">
      <c r="A30" s="399"/>
      <c r="B30" s="398"/>
      <c r="G30" s="355" t="s">
        <v>200</v>
      </c>
      <c r="H30" s="354">
        <f>H3</f>
        <v>103039200</v>
      </c>
      <c r="I30" s="354">
        <f>I3+I8</f>
        <v>123936800</v>
      </c>
      <c r="J30" s="354">
        <f>J3+J8</f>
        <v>134531822</v>
      </c>
      <c r="K30" s="743">
        <f>J30+J31</f>
        <v>308362616</v>
      </c>
      <c r="L30" s="347"/>
    </row>
    <row r="31" spans="1:20" ht="18.75" customHeight="1">
      <c r="A31" s="399"/>
      <c r="B31" s="398"/>
      <c r="G31" s="353" t="s">
        <v>199</v>
      </c>
      <c r="H31" s="352">
        <f>H4+H5+H6+H7</f>
        <v>175682600</v>
      </c>
      <c r="I31" s="352">
        <f>I4+I5+I6+I7</f>
        <v>173867590</v>
      </c>
      <c r="J31" s="352">
        <f>J4+J5+J6+J7</f>
        <v>173830794</v>
      </c>
      <c r="K31" s="743"/>
      <c r="L31" s="347"/>
    </row>
    <row r="32" spans="1:20" ht="18" customHeight="1">
      <c r="A32" s="399"/>
      <c r="B32" s="398"/>
      <c r="G32" s="353" t="s">
        <v>198</v>
      </c>
      <c r="H32" s="352">
        <f>H9+H11+H13+H15+H25+H27</f>
        <v>110017360</v>
      </c>
      <c r="I32" s="352">
        <f>I9+I11+I13+I15+I25+I26</f>
        <v>125080000</v>
      </c>
      <c r="J32" s="352">
        <f>SUM(J9:J16,J25:J26)</f>
        <v>122958750</v>
      </c>
      <c r="K32" s="743">
        <f>J32+J33</f>
        <v>524096097</v>
      </c>
      <c r="L32" s="347"/>
    </row>
    <row r="33" spans="1:12" ht="18.600000000000001" customHeight="1" thickBot="1">
      <c r="A33" s="399"/>
      <c r="B33" s="398"/>
      <c r="G33" s="351" t="s">
        <v>197</v>
      </c>
      <c r="H33" s="350">
        <f>H17+H18+H19+H20+H21+H22+H23+H24+H28</f>
        <v>406290000</v>
      </c>
      <c r="I33" s="350">
        <f>I17+I18+I19+I20+I21+I22+I23+I24</f>
        <v>401222250</v>
      </c>
      <c r="J33" s="350">
        <f>J17+J18+J19+J20+J21+J22+J23+J24</f>
        <v>401137347</v>
      </c>
      <c r="K33" s="743"/>
      <c r="L33" s="347"/>
    </row>
    <row r="34" spans="1:12" ht="18.75">
      <c r="A34" s="399"/>
      <c r="B34" s="398"/>
      <c r="H34" s="349"/>
      <c r="I34" s="349">
        <f>SUM(I30:I33)</f>
        <v>824106640</v>
      </c>
      <c r="J34" s="349">
        <f>SUM(J30:J33)</f>
        <v>832458713</v>
      </c>
      <c r="K34" s="521">
        <f>K30+K32</f>
        <v>832458713</v>
      </c>
      <c r="L34" s="347"/>
    </row>
    <row r="35" spans="1:12" ht="25.5" customHeight="1">
      <c r="L35" s="347"/>
    </row>
    <row r="36" spans="1:12" ht="18.75">
      <c r="C36" s="720" t="s">
        <v>208</v>
      </c>
      <c r="D36" s="721"/>
      <c r="E36" s="721"/>
      <c r="F36" s="721"/>
      <c r="G36" s="721"/>
      <c r="H36" s="722"/>
      <c r="I36" s="348"/>
      <c r="J36" s="348"/>
      <c r="L36" s="347"/>
    </row>
    <row r="37" spans="1:12" ht="26.25" thickBot="1">
      <c r="C37" s="396" t="s">
        <v>194</v>
      </c>
      <c r="D37" s="396" t="s">
        <v>14</v>
      </c>
      <c r="E37" s="396" t="s">
        <v>15</v>
      </c>
      <c r="F37" s="396" t="s">
        <v>193</v>
      </c>
      <c r="G37" s="397" t="s">
        <v>192</v>
      </c>
      <c r="H37" s="396" t="s">
        <v>191</v>
      </c>
      <c r="I37" s="343"/>
      <c r="J37" s="343"/>
      <c r="L37" s="347"/>
    </row>
    <row r="38" spans="1:12" ht="19.5" customHeight="1">
      <c r="C38" s="395">
        <v>2</v>
      </c>
      <c r="D38" s="393" t="s">
        <v>16</v>
      </c>
      <c r="E38" s="394" t="s">
        <v>202</v>
      </c>
      <c r="F38" s="393" t="s">
        <v>206</v>
      </c>
      <c r="G38" s="392" t="s">
        <v>205</v>
      </c>
      <c r="H38" s="391">
        <f>H3</f>
        <v>103039200</v>
      </c>
      <c r="I38" s="390"/>
      <c r="J38" s="390"/>
      <c r="K38" s="737" t="s">
        <v>207</v>
      </c>
      <c r="L38" s="347"/>
    </row>
    <row r="39" spans="1:12" ht="38.25" customHeight="1">
      <c r="C39" s="389">
        <v>2</v>
      </c>
      <c r="D39" s="387" t="s">
        <v>23</v>
      </c>
      <c r="E39" s="388" t="s">
        <v>120</v>
      </c>
      <c r="F39" s="387" t="s">
        <v>206</v>
      </c>
      <c r="G39" s="386" t="s">
        <v>205</v>
      </c>
      <c r="H39" s="385">
        <f>H4</f>
        <v>7000000</v>
      </c>
      <c r="I39" s="384"/>
      <c r="J39" s="384"/>
      <c r="K39" s="737"/>
      <c r="L39" s="347"/>
    </row>
    <row r="40" spans="1:12" ht="47.25" customHeight="1">
      <c r="C40" s="738">
        <v>2</v>
      </c>
      <c r="D40" s="702" t="s">
        <v>23</v>
      </c>
      <c r="E40" s="740" t="s">
        <v>120</v>
      </c>
      <c r="F40" s="702" t="s">
        <v>204</v>
      </c>
      <c r="G40" s="704" t="s">
        <v>201</v>
      </c>
      <c r="H40" s="706">
        <f>SUM(H5:H7)</f>
        <v>168682600</v>
      </c>
      <c r="I40" s="383"/>
      <c r="J40" s="383"/>
      <c r="K40" s="742" t="s">
        <v>203</v>
      </c>
      <c r="L40" s="347"/>
    </row>
    <row r="41" spans="1:12" ht="19.5" thickBot="1">
      <c r="C41" s="739"/>
      <c r="D41" s="703"/>
      <c r="E41" s="741"/>
      <c r="F41" s="703"/>
      <c r="G41" s="705"/>
      <c r="H41" s="707"/>
      <c r="I41" s="382"/>
      <c r="J41" s="382"/>
      <c r="K41" s="742"/>
      <c r="L41" s="347"/>
    </row>
    <row r="42" spans="1:12" ht="25.5">
      <c r="C42" s="381">
        <v>3</v>
      </c>
      <c r="D42" s="379" t="s">
        <v>16</v>
      </c>
      <c r="E42" s="380" t="s">
        <v>202</v>
      </c>
      <c r="F42" s="379" t="s">
        <v>164</v>
      </c>
      <c r="G42" s="378" t="s">
        <v>201</v>
      </c>
      <c r="H42" s="377">
        <f>SUM(H9:H15)</f>
        <v>20000000</v>
      </c>
      <c r="I42" s="376"/>
      <c r="J42" s="376"/>
      <c r="K42" s="742"/>
      <c r="L42" s="375"/>
    </row>
    <row r="43" spans="1:12" ht="25.5" customHeight="1">
      <c r="C43" s="374">
        <v>3</v>
      </c>
      <c r="D43" s="372" t="s">
        <v>23</v>
      </c>
      <c r="E43" s="373" t="s">
        <v>120</v>
      </c>
      <c r="F43" s="372" t="s">
        <v>165</v>
      </c>
      <c r="G43" s="371" t="s">
        <v>201</v>
      </c>
      <c r="H43" s="370">
        <f>SUM(H17:H24)</f>
        <v>404290000</v>
      </c>
      <c r="I43" s="369"/>
      <c r="J43" s="369"/>
      <c r="K43" s="742"/>
      <c r="L43" s="356"/>
    </row>
    <row r="44" spans="1:12" ht="25.5">
      <c r="C44" s="368"/>
      <c r="D44" s="366" t="s">
        <v>16</v>
      </c>
      <c r="E44" s="367" t="s">
        <v>202</v>
      </c>
      <c r="F44" s="366" t="s">
        <v>166</v>
      </c>
      <c r="G44" s="365" t="s">
        <v>201</v>
      </c>
      <c r="H44" s="364">
        <f>SUM(H25:H27)</f>
        <v>90017360</v>
      </c>
      <c r="I44" s="363"/>
      <c r="J44" s="363"/>
      <c r="K44" s="742"/>
      <c r="L44" s="356"/>
    </row>
    <row r="45" spans="1:12" ht="19.5" thickBot="1">
      <c r="C45" s="362">
        <v>3</v>
      </c>
      <c r="D45" s="360" t="s">
        <v>23</v>
      </c>
      <c r="E45" s="361" t="s">
        <v>120</v>
      </c>
      <c r="F45" s="360" t="s">
        <v>166</v>
      </c>
      <c r="G45" s="359" t="s">
        <v>201</v>
      </c>
      <c r="H45" s="358">
        <f>H28</f>
        <v>2000000</v>
      </c>
      <c r="I45" s="357"/>
      <c r="J45" s="357"/>
      <c r="K45" s="742"/>
      <c r="L45" s="356"/>
    </row>
    <row r="46" spans="1:12" ht="19.5" thickBot="1">
      <c r="L46" s="347"/>
    </row>
    <row r="47" spans="1:12" ht="18.75">
      <c r="G47" s="355" t="s">
        <v>200</v>
      </c>
      <c r="H47" s="354">
        <f>H38</f>
        <v>103039200</v>
      </c>
      <c r="I47" s="349"/>
      <c r="J47" s="349"/>
      <c r="L47" s="347"/>
    </row>
    <row r="48" spans="1:12" ht="18.75">
      <c r="G48" s="353" t="s">
        <v>199</v>
      </c>
      <c r="H48" s="352">
        <f>H39+H40</f>
        <v>175682600</v>
      </c>
      <c r="I48" s="349"/>
      <c r="J48" s="349"/>
      <c r="L48" s="347"/>
    </row>
    <row r="49" spans="3:12" ht="18.75">
      <c r="G49" s="353" t="s">
        <v>198</v>
      </c>
      <c r="H49" s="352">
        <f>H42+H44</f>
        <v>110017360</v>
      </c>
      <c r="I49" s="349"/>
      <c r="J49" s="349"/>
      <c r="L49" s="347"/>
    </row>
    <row r="50" spans="3:12" ht="19.5" thickBot="1">
      <c r="G50" s="351" t="s">
        <v>197</v>
      </c>
      <c r="H50" s="350">
        <f>H43+H45</f>
        <v>406290000</v>
      </c>
      <c r="I50" s="349"/>
      <c r="J50" s="349"/>
      <c r="L50" s="347"/>
    </row>
    <row r="51" spans="3:12" ht="18.75">
      <c r="L51" s="347"/>
    </row>
    <row r="52" spans="3:12" ht="18.75">
      <c r="C52" s="720" t="s">
        <v>196</v>
      </c>
      <c r="D52" s="721"/>
      <c r="E52" s="721"/>
      <c r="F52" s="721"/>
      <c r="G52" s="721"/>
      <c r="H52" s="722"/>
      <c r="I52" s="348"/>
      <c r="J52" s="348"/>
      <c r="L52" s="347"/>
    </row>
    <row r="53" spans="3:12" ht="25.5">
      <c r="C53" s="344" t="s">
        <v>194</v>
      </c>
      <c r="D53" s="344" t="s">
        <v>14</v>
      </c>
      <c r="E53" s="344" t="s">
        <v>15</v>
      </c>
      <c r="F53" s="344" t="s">
        <v>193</v>
      </c>
      <c r="G53" s="345" t="s">
        <v>192</v>
      </c>
      <c r="H53" s="344" t="s">
        <v>191</v>
      </c>
      <c r="I53" s="343"/>
      <c r="J53" s="343"/>
      <c r="L53" s="347"/>
    </row>
    <row r="54" spans="3:12" ht="18.75">
      <c r="C54" s="340"/>
      <c r="D54" s="340"/>
      <c r="E54" s="342"/>
      <c r="F54" s="340"/>
      <c r="G54" s="341"/>
      <c r="H54" s="340"/>
      <c r="L54" s="347"/>
    </row>
    <row r="55" spans="3:12" ht="18.75">
      <c r="C55" s="340"/>
      <c r="D55" s="340"/>
      <c r="E55" s="342"/>
      <c r="F55" s="340"/>
      <c r="G55" s="341"/>
      <c r="H55" s="340"/>
      <c r="L55" s="347"/>
    </row>
    <row r="56" spans="3:12" ht="18.75">
      <c r="C56" s="340"/>
      <c r="D56" s="340"/>
      <c r="E56" s="342"/>
      <c r="F56" s="340"/>
      <c r="G56" s="341"/>
      <c r="H56" s="340"/>
      <c r="L56" s="347"/>
    </row>
    <row r="57" spans="3:12" ht="18.75">
      <c r="C57" s="340"/>
      <c r="D57" s="340"/>
      <c r="E57" s="342"/>
      <c r="F57" s="340"/>
      <c r="G57" s="341"/>
      <c r="H57" s="340"/>
      <c r="L57" s="347"/>
    </row>
    <row r="58" spans="3:12" ht="18.75">
      <c r="C58" s="340"/>
      <c r="D58" s="340"/>
      <c r="E58" s="342"/>
      <c r="F58" s="340"/>
      <c r="G58" s="341"/>
      <c r="H58" s="340"/>
      <c r="L58" s="347"/>
    </row>
    <row r="59" spans="3:12" ht="18.75">
      <c r="C59" s="340"/>
      <c r="D59" s="340"/>
      <c r="E59" s="342"/>
      <c r="F59" s="340"/>
      <c r="G59" s="341"/>
      <c r="H59" s="340"/>
      <c r="L59" s="347"/>
    </row>
    <row r="60" spans="3:12" ht="18.75">
      <c r="C60" s="340"/>
      <c r="D60" s="340"/>
      <c r="E60" s="342"/>
      <c r="F60" s="340"/>
      <c r="G60" s="341"/>
      <c r="H60" s="340"/>
      <c r="L60" s="347"/>
    </row>
    <row r="61" spans="3:12" ht="18.75">
      <c r="C61" s="340"/>
      <c r="D61" s="340"/>
      <c r="E61" s="342"/>
      <c r="F61" s="340"/>
      <c r="G61" s="341"/>
      <c r="H61" s="340"/>
      <c r="L61" s="347"/>
    </row>
    <row r="62" spans="3:12" ht="18.75">
      <c r="C62" s="340"/>
      <c r="D62" s="340"/>
      <c r="E62" s="342"/>
      <c r="F62" s="340"/>
      <c r="G62" s="341"/>
      <c r="H62" s="340"/>
      <c r="L62" s="347"/>
    </row>
    <row r="63" spans="3:12" ht="18.75">
      <c r="C63" s="340"/>
      <c r="D63" s="340"/>
      <c r="E63" s="342"/>
      <c r="F63" s="340"/>
      <c r="G63" s="341"/>
      <c r="H63" s="340"/>
      <c r="L63" s="347"/>
    </row>
    <row r="64" spans="3:12" ht="18.75">
      <c r="C64" s="340"/>
      <c r="D64" s="340"/>
      <c r="E64" s="342"/>
      <c r="F64" s="340"/>
      <c r="G64" s="341"/>
      <c r="H64" s="340"/>
      <c r="L64" s="347"/>
    </row>
    <row r="65" spans="3:12" ht="18.75">
      <c r="L65" s="347"/>
    </row>
    <row r="66" spans="3:12" ht="18.75">
      <c r="L66" s="347"/>
    </row>
    <row r="67" spans="3:12" ht="18.75">
      <c r="L67" s="347"/>
    </row>
    <row r="68" spans="3:12" ht="18.75">
      <c r="L68" s="347"/>
    </row>
    <row r="69" spans="3:12" ht="18.75">
      <c r="L69" s="347"/>
    </row>
    <row r="70" spans="3:12" ht="18.75">
      <c r="L70" s="347"/>
    </row>
    <row r="71" spans="3:12">
      <c r="C71" s="340"/>
      <c r="D71" s="340"/>
      <c r="E71" s="342"/>
      <c r="F71" s="340"/>
      <c r="G71" s="341"/>
      <c r="H71" s="340"/>
    </row>
    <row r="72" spans="3:12">
      <c r="C72" s="340"/>
      <c r="D72" s="340"/>
      <c r="E72" s="342"/>
      <c r="F72" s="340"/>
      <c r="G72" s="341"/>
      <c r="H72" s="340"/>
    </row>
    <row r="73" spans="3:12">
      <c r="C73" s="340"/>
      <c r="D73" s="340"/>
      <c r="E73" s="342"/>
      <c r="F73" s="340"/>
      <c r="G73" s="341"/>
      <c r="H73" s="340"/>
    </row>
    <row r="76" spans="3:12" ht="15.75" customHeight="1">
      <c r="C76" s="729" t="s">
        <v>195</v>
      </c>
      <c r="D76" s="730"/>
      <c r="E76" s="730"/>
      <c r="F76" s="730"/>
      <c r="G76" s="730"/>
      <c r="H76" s="731"/>
      <c r="I76" s="346"/>
      <c r="J76" s="346"/>
    </row>
    <row r="77" spans="3:12" ht="25.5">
      <c r="C77" s="344" t="s">
        <v>194</v>
      </c>
      <c r="D77" s="344" t="s">
        <v>14</v>
      </c>
      <c r="E77" s="344" t="s">
        <v>15</v>
      </c>
      <c r="F77" s="344" t="s">
        <v>193</v>
      </c>
      <c r="G77" s="345" t="s">
        <v>192</v>
      </c>
      <c r="H77" s="344" t="s">
        <v>191</v>
      </c>
      <c r="I77" s="343"/>
      <c r="J77" s="343"/>
    </row>
    <row r="78" spans="3:12" ht="25.5" customHeight="1">
      <c r="C78" s="340"/>
      <c r="D78" s="340"/>
      <c r="E78" s="342"/>
      <c r="F78" s="340"/>
      <c r="G78" s="341"/>
      <c r="H78" s="340"/>
    </row>
    <row r="79" spans="3:12">
      <c r="C79" s="340"/>
      <c r="D79" s="340"/>
      <c r="E79" s="342"/>
      <c r="F79" s="340"/>
      <c r="G79" s="341"/>
      <c r="H79" s="340"/>
    </row>
    <row r="80" spans="3:12">
      <c r="C80" s="340"/>
      <c r="D80" s="340"/>
      <c r="E80" s="342"/>
      <c r="F80" s="340"/>
      <c r="G80" s="341"/>
      <c r="H80" s="340"/>
    </row>
    <row r="81" spans="3:8">
      <c r="C81" s="340"/>
      <c r="D81" s="340"/>
      <c r="E81" s="342"/>
      <c r="F81" s="340"/>
      <c r="G81" s="341"/>
      <c r="H81" s="340"/>
    </row>
    <row r="82" spans="3:8">
      <c r="C82" s="340"/>
      <c r="D82" s="340"/>
      <c r="E82" s="342"/>
      <c r="F82" s="340"/>
      <c r="G82" s="341"/>
      <c r="H82" s="340"/>
    </row>
    <row r="83" spans="3:8">
      <c r="C83" s="340"/>
      <c r="D83" s="340"/>
      <c r="E83" s="342"/>
      <c r="F83" s="340"/>
      <c r="G83" s="341"/>
      <c r="H83" s="340"/>
    </row>
    <row r="84" spans="3:8">
      <c r="C84" s="340"/>
      <c r="D84" s="340"/>
      <c r="E84" s="342"/>
      <c r="F84" s="340"/>
      <c r="G84" s="341"/>
      <c r="H84" s="340"/>
    </row>
    <row r="85" spans="3:8">
      <c r="C85" s="340"/>
      <c r="D85" s="340"/>
      <c r="E85" s="342"/>
      <c r="F85" s="340"/>
      <c r="G85" s="341"/>
      <c r="H85" s="340"/>
    </row>
    <row r="86" spans="3:8">
      <c r="C86" s="340"/>
      <c r="D86" s="340"/>
      <c r="E86" s="342"/>
      <c r="F86" s="340"/>
      <c r="G86" s="341"/>
      <c r="H86" s="340"/>
    </row>
    <row r="87" spans="3:8">
      <c r="C87" s="340"/>
      <c r="D87" s="340"/>
      <c r="E87" s="342"/>
      <c r="F87" s="340"/>
      <c r="G87" s="341"/>
      <c r="H87" s="340"/>
    </row>
    <row r="88" spans="3:8">
      <c r="C88" s="340"/>
      <c r="D88" s="340"/>
      <c r="E88" s="342"/>
      <c r="F88" s="340"/>
      <c r="G88" s="341"/>
      <c r="H88" s="340"/>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4" sqref="C4:C12"/>
    </sheetView>
  </sheetViews>
  <sheetFormatPr defaultColWidth="9.140625" defaultRowHeight="15"/>
  <cols>
    <col min="1" max="1" width="9.140625" style="563"/>
    <col min="2" max="2" width="24.7109375" style="563" customWidth="1"/>
    <col min="3" max="3" width="42.140625" style="563" customWidth="1"/>
    <col min="4" max="16384" width="9.140625" style="563"/>
  </cols>
  <sheetData>
    <row r="1" spans="1:3">
      <c r="A1" s="577" t="s">
        <v>372</v>
      </c>
      <c r="B1" s="577" t="s">
        <v>373</v>
      </c>
      <c r="C1" s="577" t="s">
        <v>374</v>
      </c>
    </row>
    <row r="2" spans="1:3">
      <c r="A2" s="636">
        <v>0</v>
      </c>
      <c r="B2" s="636" t="s">
        <v>375</v>
      </c>
      <c r="C2" s="636" t="s">
        <v>376</v>
      </c>
    </row>
    <row r="3" spans="1:3">
      <c r="A3" s="636">
        <v>1</v>
      </c>
      <c r="B3" s="577" t="s">
        <v>355</v>
      </c>
      <c r="C3" s="577" t="s">
        <v>417</v>
      </c>
    </row>
    <row r="4" spans="1:3" ht="50.25" customHeight="1">
      <c r="A4" s="636">
        <v>2</v>
      </c>
      <c r="B4" s="577" t="s">
        <v>356</v>
      </c>
      <c r="C4" s="620" t="s">
        <v>468</v>
      </c>
    </row>
    <row r="5" spans="1:3">
      <c r="A5" s="636">
        <v>3</v>
      </c>
      <c r="B5" s="636" t="s">
        <v>378</v>
      </c>
      <c r="C5" s="664" t="s">
        <v>299</v>
      </c>
    </row>
    <row r="6" spans="1:3">
      <c r="A6" s="636">
        <v>4</v>
      </c>
      <c r="B6" s="636" t="s">
        <v>379</v>
      </c>
      <c r="C6" s="664" t="s">
        <v>380</v>
      </c>
    </row>
    <row r="7" spans="1:3">
      <c r="A7" s="636">
        <v>5</v>
      </c>
      <c r="B7" s="636" t="s">
        <v>26</v>
      </c>
      <c r="C7" s="665">
        <v>0</v>
      </c>
    </row>
    <row r="8" spans="1:3">
      <c r="A8" s="636">
        <v>6</v>
      </c>
      <c r="B8" s="636" t="s">
        <v>33</v>
      </c>
      <c r="C8" s="664" t="s">
        <v>381</v>
      </c>
    </row>
    <row r="9" spans="1:3">
      <c r="A9" s="636">
        <v>7</v>
      </c>
      <c r="B9" s="636" t="s">
        <v>30</v>
      </c>
      <c r="C9" s="664" t="s">
        <v>382</v>
      </c>
    </row>
    <row r="10" spans="1:3">
      <c r="A10" s="636">
        <v>8</v>
      </c>
      <c r="B10" s="636" t="s">
        <v>383</v>
      </c>
      <c r="C10" s="664" t="s">
        <v>384</v>
      </c>
    </row>
    <row r="11" spans="1:3">
      <c r="A11" s="636">
        <v>9</v>
      </c>
      <c r="B11" s="636" t="s">
        <v>385</v>
      </c>
      <c r="C11" s="664" t="s">
        <v>386</v>
      </c>
    </row>
    <row r="12" spans="1:3" ht="121.9" customHeight="1">
      <c r="A12" s="636">
        <v>10</v>
      </c>
      <c r="B12" s="636" t="s">
        <v>387</v>
      </c>
      <c r="C12" s="620" t="s">
        <v>469</v>
      </c>
    </row>
    <row r="13" spans="1:3">
      <c r="A13" s="636">
        <v>11</v>
      </c>
      <c r="B13" s="636" t="s">
        <v>391</v>
      </c>
      <c r="C13" s="636" t="s">
        <v>34</v>
      </c>
    </row>
    <row r="14" spans="1:3">
      <c r="A14" s="636">
        <v>12</v>
      </c>
      <c r="B14" s="636" t="s">
        <v>392</v>
      </c>
      <c r="C14" s="636" t="s">
        <v>393</v>
      </c>
    </row>
    <row r="15" spans="1:3">
      <c r="A15" s="636">
        <v>13</v>
      </c>
      <c r="B15" s="636" t="s">
        <v>394</v>
      </c>
      <c r="C15" s="579"/>
    </row>
    <row r="16" spans="1:3" ht="33" customHeight="1">
      <c r="A16" s="1102">
        <v>14</v>
      </c>
      <c r="B16" s="1102" t="s">
        <v>395</v>
      </c>
      <c r="C16" s="579" t="s">
        <v>396</v>
      </c>
    </row>
    <row r="17" spans="1:3" ht="43.5" customHeight="1">
      <c r="A17" s="1102"/>
      <c r="B17" s="1102"/>
      <c r="C17" s="579" t="s">
        <v>397</v>
      </c>
    </row>
    <row r="18" spans="1:3">
      <c r="A18" s="636">
        <v>15</v>
      </c>
      <c r="B18" s="636" t="s">
        <v>398</v>
      </c>
      <c r="C18" s="579"/>
    </row>
    <row r="19" spans="1:3">
      <c r="A19" s="636">
        <v>16</v>
      </c>
      <c r="B19" s="636" t="s">
        <v>399</v>
      </c>
      <c r="C19" s="636"/>
    </row>
    <row r="20" spans="1:3">
      <c r="A20" s="636">
        <v>17</v>
      </c>
      <c r="B20" s="636" t="s">
        <v>400</v>
      </c>
      <c r="C20" s="579"/>
    </row>
    <row r="21" spans="1:3">
      <c r="A21" s="564"/>
      <c r="B21" s="581"/>
      <c r="C21" s="581"/>
    </row>
  </sheetData>
  <mergeCells count="2">
    <mergeCell ref="A16:A17"/>
    <mergeCell ref="B16:B1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C12" sqref="C12"/>
    </sheetView>
  </sheetViews>
  <sheetFormatPr defaultColWidth="9.140625" defaultRowHeight="15"/>
  <cols>
    <col min="1" max="1" width="9.140625" style="563"/>
    <col min="2" max="2" width="24.7109375" style="563" customWidth="1"/>
    <col min="3" max="3" width="55.140625"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411</v>
      </c>
    </row>
    <row r="4" spans="1:3" ht="25.5">
      <c r="A4" s="578">
        <v>2</v>
      </c>
      <c r="B4" s="577" t="s">
        <v>356</v>
      </c>
      <c r="C4" s="579" t="s">
        <v>369</v>
      </c>
    </row>
    <row r="5" spans="1:3">
      <c r="A5" s="578">
        <v>3</v>
      </c>
      <c r="B5" s="578" t="s">
        <v>378</v>
      </c>
      <c r="C5" s="578" t="s">
        <v>418</v>
      </c>
    </row>
    <row r="6" spans="1:3">
      <c r="A6" s="578">
        <v>4</v>
      </c>
      <c r="B6" s="578" t="s">
        <v>379</v>
      </c>
      <c r="C6" s="578" t="s">
        <v>403</v>
      </c>
    </row>
    <row r="7" spans="1:3">
      <c r="A7" s="578">
        <v>5</v>
      </c>
      <c r="B7" s="578" t="s">
        <v>26</v>
      </c>
      <c r="C7" s="578" t="s">
        <v>382</v>
      </c>
    </row>
    <row r="8" spans="1:3">
      <c r="A8" s="578">
        <v>6</v>
      </c>
      <c r="B8" s="578" t="s">
        <v>33</v>
      </c>
      <c r="C8" s="578" t="s">
        <v>404</v>
      </c>
    </row>
    <row r="9" spans="1:3">
      <c r="A9" s="578">
        <v>7</v>
      </c>
      <c r="B9" s="578" t="s">
        <v>30</v>
      </c>
      <c r="C9" s="578" t="s">
        <v>382</v>
      </c>
    </row>
    <row r="10" spans="1:3">
      <c r="A10" s="578">
        <v>8</v>
      </c>
      <c r="B10" s="578" t="s">
        <v>383</v>
      </c>
      <c r="C10" s="578" t="s">
        <v>384</v>
      </c>
    </row>
    <row r="11" spans="1:3">
      <c r="A11" s="578">
        <v>9</v>
      </c>
      <c r="B11" s="578" t="s">
        <v>385</v>
      </c>
      <c r="C11" s="578" t="s">
        <v>386</v>
      </c>
    </row>
    <row r="12" spans="1:3" ht="81.75" customHeight="1">
      <c r="A12" s="1102">
        <v>10</v>
      </c>
      <c r="B12" s="1102" t="s">
        <v>387</v>
      </c>
      <c r="C12" s="579" t="s">
        <v>419</v>
      </c>
    </row>
    <row r="13" spans="1:3" ht="44.25" customHeight="1">
      <c r="A13" s="1102"/>
      <c r="B13" s="1102"/>
      <c r="C13" s="579" t="s">
        <v>420</v>
      </c>
    </row>
    <row r="14" spans="1:3" ht="57" customHeight="1">
      <c r="A14" s="1102"/>
      <c r="B14" s="1102"/>
      <c r="C14" s="579" t="s">
        <v>421</v>
      </c>
    </row>
    <row r="15" spans="1:3" ht="30" customHeight="1">
      <c r="A15" s="1102"/>
      <c r="B15" s="1102"/>
      <c r="C15" s="579" t="s">
        <v>422</v>
      </c>
    </row>
    <row r="16" spans="1:3">
      <c r="A16" s="578">
        <v>11</v>
      </c>
      <c r="B16" s="578" t="s">
        <v>391</v>
      </c>
      <c r="C16" s="578" t="s">
        <v>186</v>
      </c>
    </row>
    <row r="17" spans="1:3">
      <c r="A17" s="578">
        <v>12</v>
      </c>
      <c r="B17" s="578" t="s">
        <v>392</v>
      </c>
      <c r="C17" s="578" t="s">
        <v>409</v>
      </c>
    </row>
    <row r="18" spans="1:3">
      <c r="A18" s="578">
        <v>13</v>
      </c>
      <c r="B18" s="578" t="s">
        <v>394</v>
      </c>
      <c r="C18" s="579"/>
    </row>
    <row r="19" spans="1:3" ht="31.5" customHeight="1">
      <c r="A19" s="1102">
        <v>14</v>
      </c>
      <c r="B19" s="1102" t="s">
        <v>395</v>
      </c>
      <c r="C19" s="579" t="s">
        <v>396</v>
      </c>
    </row>
    <row r="20" spans="1:3" ht="40.5" customHeight="1">
      <c r="A20" s="1102"/>
      <c r="B20" s="1102"/>
      <c r="C20" s="579" t="s">
        <v>410</v>
      </c>
    </row>
    <row r="21" spans="1:3">
      <c r="A21" s="578">
        <v>15</v>
      </c>
      <c r="B21" s="578" t="s">
        <v>398</v>
      </c>
      <c r="C21" s="579"/>
    </row>
    <row r="22" spans="1:3">
      <c r="A22" s="578">
        <v>16</v>
      </c>
      <c r="B22" s="578" t="s">
        <v>399</v>
      </c>
      <c r="C22" s="578"/>
    </row>
    <row r="23" spans="1:3">
      <c r="A23" s="578">
        <v>17</v>
      </c>
      <c r="B23" s="578" t="s">
        <v>400</v>
      </c>
      <c r="C23" s="579"/>
    </row>
  </sheetData>
  <mergeCells count="4">
    <mergeCell ref="A12:A15"/>
    <mergeCell ref="B12:B15"/>
    <mergeCell ref="A19:A20"/>
    <mergeCell ref="B19:B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1"/>
  <sheetViews>
    <sheetView topLeftCell="A5" workbookViewId="0">
      <selection activeCell="C12" sqref="C12"/>
    </sheetView>
  </sheetViews>
  <sheetFormatPr defaultColWidth="9.140625" defaultRowHeight="15"/>
  <cols>
    <col min="1" max="1" width="9.140625" style="563"/>
    <col min="2" max="2" width="24.7109375" style="563" customWidth="1"/>
    <col min="3" max="3" width="42.140625"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417</v>
      </c>
    </row>
    <row r="4" spans="1:3" ht="61.15" customHeight="1">
      <c r="A4" s="578">
        <v>2</v>
      </c>
      <c r="B4" s="577" t="s">
        <v>356</v>
      </c>
      <c r="C4" s="620" t="s">
        <v>482</v>
      </c>
    </row>
    <row r="5" spans="1:3">
      <c r="A5" s="578">
        <v>3</v>
      </c>
      <c r="B5" s="578" t="s">
        <v>378</v>
      </c>
      <c r="C5" s="621" t="s">
        <v>299</v>
      </c>
    </row>
    <row r="6" spans="1:3">
      <c r="A6" s="578">
        <v>4</v>
      </c>
      <c r="B6" s="578" t="s">
        <v>379</v>
      </c>
      <c r="C6" s="578" t="s">
        <v>380</v>
      </c>
    </row>
    <row r="7" spans="1:3">
      <c r="A7" s="578">
        <v>5</v>
      </c>
      <c r="B7" s="578" t="s">
        <v>26</v>
      </c>
      <c r="C7" s="580">
        <v>0</v>
      </c>
    </row>
    <row r="8" spans="1:3">
      <c r="A8" s="578">
        <v>6</v>
      </c>
      <c r="B8" s="578" t="s">
        <v>33</v>
      </c>
      <c r="C8" s="578" t="s">
        <v>381</v>
      </c>
    </row>
    <row r="9" spans="1:3">
      <c r="A9" s="578">
        <v>7</v>
      </c>
      <c r="B9" s="578" t="s">
        <v>30</v>
      </c>
      <c r="C9" s="578" t="s">
        <v>382</v>
      </c>
    </row>
    <row r="10" spans="1:3">
      <c r="A10" s="578">
        <v>8</v>
      </c>
      <c r="B10" s="578" t="s">
        <v>383</v>
      </c>
      <c r="C10" s="578" t="s">
        <v>384</v>
      </c>
    </row>
    <row r="11" spans="1:3">
      <c r="A11" s="578">
        <v>9</v>
      </c>
      <c r="B11" s="578" t="s">
        <v>385</v>
      </c>
      <c r="C11" s="578" t="s">
        <v>386</v>
      </c>
    </row>
    <row r="12" spans="1:3" ht="250.15" customHeight="1">
      <c r="A12" s="578">
        <v>10</v>
      </c>
      <c r="B12" s="578" t="s">
        <v>387</v>
      </c>
      <c r="C12" s="620" t="s">
        <v>471</v>
      </c>
    </row>
    <row r="13" spans="1:3">
      <c r="A13" s="578">
        <v>11</v>
      </c>
      <c r="B13" s="578" t="s">
        <v>391</v>
      </c>
      <c r="C13" s="578" t="s">
        <v>34</v>
      </c>
    </row>
    <row r="14" spans="1:3">
      <c r="A14" s="578">
        <v>12</v>
      </c>
      <c r="B14" s="578" t="s">
        <v>392</v>
      </c>
      <c r="C14" s="578" t="s">
        <v>393</v>
      </c>
    </row>
    <row r="15" spans="1:3">
      <c r="A15" s="578">
        <v>13</v>
      </c>
      <c r="B15" s="578" t="s">
        <v>394</v>
      </c>
      <c r="C15" s="579"/>
    </row>
    <row r="16" spans="1:3" ht="33" customHeight="1">
      <c r="A16" s="1102">
        <v>14</v>
      </c>
      <c r="B16" s="1102" t="s">
        <v>395</v>
      </c>
      <c r="C16" s="579" t="s">
        <v>396</v>
      </c>
    </row>
    <row r="17" spans="1:3" ht="43.5" customHeight="1">
      <c r="A17" s="1102"/>
      <c r="B17" s="1102"/>
      <c r="C17" s="579" t="s">
        <v>397</v>
      </c>
    </row>
    <row r="18" spans="1:3">
      <c r="A18" s="578">
        <v>15</v>
      </c>
      <c r="B18" s="578" t="s">
        <v>398</v>
      </c>
      <c r="C18" s="579"/>
    </row>
    <row r="19" spans="1:3">
      <c r="A19" s="578">
        <v>16</v>
      </c>
      <c r="B19" s="578" t="s">
        <v>399</v>
      </c>
      <c r="C19" s="578"/>
    </row>
    <row r="20" spans="1:3">
      <c r="A20" s="578">
        <v>17</v>
      </c>
      <c r="B20" s="578" t="s">
        <v>400</v>
      </c>
      <c r="C20" s="579"/>
    </row>
    <row r="21" spans="1:3">
      <c r="A21" s="564"/>
      <c r="B21" s="581"/>
      <c r="C21" s="581"/>
    </row>
  </sheetData>
  <mergeCells count="2">
    <mergeCell ref="A16:A17"/>
    <mergeCell ref="B16:B1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23"/>
  <sheetViews>
    <sheetView topLeftCell="A13" workbookViewId="0">
      <selection activeCell="F14" sqref="F14"/>
    </sheetView>
  </sheetViews>
  <sheetFormatPr defaultColWidth="9.140625" defaultRowHeight="15"/>
  <cols>
    <col min="1" max="1" width="9.140625" style="563"/>
    <col min="2" max="2" width="24.7109375" style="563" customWidth="1"/>
    <col min="3" max="3" width="55.140625" style="563" customWidth="1"/>
    <col min="4" max="16384" width="9.140625" style="563"/>
  </cols>
  <sheetData>
    <row r="1" spans="1:3">
      <c r="A1" s="577" t="s">
        <v>372</v>
      </c>
      <c r="B1" s="577" t="s">
        <v>373</v>
      </c>
      <c r="C1" s="577" t="s">
        <v>374</v>
      </c>
    </row>
    <row r="2" spans="1:3">
      <c r="A2" s="636">
        <v>0</v>
      </c>
      <c r="B2" s="636" t="s">
        <v>375</v>
      </c>
      <c r="C2" s="636" t="s">
        <v>376</v>
      </c>
    </row>
    <row r="3" spans="1:3">
      <c r="A3" s="636">
        <v>1</v>
      </c>
      <c r="B3" s="577" t="s">
        <v>355</v>
      </c>
      <c r="C3" s="577" t="s">
        <v>411</v>
      </c>
    </row>
    <row r="4" spans="1:3" ht="38.25">
      <c r="A4" s="636">
        <v>2</v>
      </c>
      <c r="B4" s="577" t="s">
        <v>356</v>
      </c>
      <c r="C4" s="620" t="s">
        <v>460</v>
      </c>
    </row>
    <row r="5" spans="1:3">
      <c r="A5" s="636">
        <v>3</v>
      </c>
      <c r="B5" s="636" t="s">
        <v>378</v>
      </c>
      <c r="C5" s="636" t="s">
        <v>418</v>
      </c>
    </row>
    <row r="6" spans="1:3">
      <c r="A6" s="636">
        <v>4</v>
      </c>
      <c r="B6" s="636" t="s">
        <v>379</v>
      </c>
      <c r="C6" s="636" t="s">
        <v>403</v>
      </c>
    </row>
    <row r="7" spans="1:3">
      <c r="A7" s="636">
        <v>5</v>
      </c>
      <c r="B7" s="636" t="s">
        <v>26</v>
      </c>
      <c r="C7" s="636" t="s">
        <v>382</v>
      </c>
    </row>
    <row r="8" spans="1:3">
      <c r="A8" s="636">
        <v>6</v>
      </c>
      <c r="B8" s="636" t="s">
        <v>33</v>
      </c>
      <c r="C8" s="636" t="s">
        <v>404</v>
      </c>
    </row>
    <row r="9" spans="1:3">
      <c r="A9" s="636">
        <v>7</v>
      </c>
      <c r="B9" s="636" t="s">
        <v>30</v>
      </c>
      <c r="C9" s="636" t="s">
        <v>382</v>
      </c>
    </row>
    <row r="10" spans="1:3">
      <c r="A10" s="636">
        <v>8</v>
      </c>
      <c r="B10" s="636" t="s">
        <v>383</v>
      </c>
      <c r="C10" s="636" t="s">
        <v>384</v>
      </c>
    </row>
    <row r="11" spans="1:3">
      <c r="A11" s="636">
        <v>9</v>
      </c>
      <c r="B11" s="636" t="s">
        <v>385</v>
      </c>
      <c r="C11" s="636" t="s">
        <v>386</v>
      </c>
    </row>
    <row r="12" spans="1:3" ht="81.75" customHeight="1">
      <c r="A12" s="1102">
        <v>10</v>
      </c>
      <c r="B12" s="1102" t="s">
        <v>387</v>
      </c>
      <c r="C12" s="579" t="s">
        <v>419</v>
      </c>
    </row>
    <row r="13" spans="1:3" ht="44.25" customHeight="1">
      <c r="A13" s="1102"/>
      <c r="B13" s="1102"/>
      <c r="C13" s="620" t="s">
        <v>472</v>
      </c>
    </row>
    <row r="14" spans="1:3" ht="82.9" customHeight="1">
      <c r="A14" s="1102"/>
      <c r="B14" s="1102"/>
      <c r="C14" s="620" t="s">
        <v>473</v>
      </c>
    </row>
    <row r="15" spans="1:3" ht="30" customHeight="1">
      <c r="A15" s="1102"/>
      <c r="B15" s="1102"/>
      <c r="C15" s="579"/>
    </row>
    <row r="16" spans="1:3">
      <c r="A16" s="636">
        <v>11</v>
      </c>
      <c r="B16" s="636" t="s">
        <v>391</v>
      </c>
      <c r="C16" s="636" t="s">
        <v>186</v>
      </c>
    </row>
    <row r="17" spans="1:3">
      <c r="A17" s="636">
        <v>12</v>
      </c>
      <c r="B17" s="636" t="s">
        <v>392</v>
      </c>
      <c r="C17" s="636" t="s">
        <v>393</v>
      </c>
    </row>
    <row r="18" spans="1:3">
      <c r="A18" s="636">
        <v>13</v>
      </c>
      <c r="B18" s="636" t="s">
        <v>394</v>
      </c>
      <c r="C18" s="579"/>
    </row>
    <row r="19" spans="1:3" ht="31.5" customHeight="1">
      <c r="A19" s="1102">
        <v>14</v>
      </c>
      <c r="B19" s="1102" t="s">
        <v>395</v>
      </c>
      <c r="C19" s="579" t="s">
        <v>396</v>
      </c>
    </row>
    <row r="20" spans="1:3" ht="40.5" customHeight="1">
      <c r="A20" s="1102"/>
      <c r="B20" s="1102"/>
      <c r="C20" s="579" t="s">
        <v>410</v>
      </c>
    </row>
    <row r="21" spans="1:3">
      <c r="A21" s="636">
        <v>15</v>
      </c>
      <c r="B21" s="636" t="s">
        <v>398</v>
      </c>
      <c r="C21" s="579"/>
    </row>
    <row r="22" spans="1:3">
      <c r="A22" s="636">
        <v>16</v>
      </c>
      <c r="B22" s="636" t="s">
        <v>399</v>
      </c>
      <c r="C22" s="636"/>
    </row>
    <row r="23" spans="1:3">
      <c r="A23" s="636">
        <v>17</v>
      </c>
      <c r="B23" s="636" t="s">
        <v>400</v>
      </c>
      <c r="C23" s="579"/>
    </row>
  </sheetData>
  <mergeCells count="4">
    <mergeCell ref="A12:A15"/>
    <mergeCell ref="B12:B15"/>
    <mergeCell ref="A19:A20"/>
    <mergeCell ref="B19:B20"/>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G17" sqref="G17"/>
    </sheetView>
  </sheetViews>
  <sheetFormatPr defaultColWidth="9.140625" defaultRowHeight="12.75"/>
  <cols>
    <col min="1" max="1" width="9.140625" style="576"/>
    <col min="2" max="2" width="24.7109375" style="576" customWidth="1"/>
    <col min="3" max="3" width="62.140625" style="576" customWidth="1"/>
    <col min="4" max="16384" width="9.140625" style="576"/>
  </cols>
  <sheetData>
    <row r="1" spans="1:3">
      <c r="A1" s="577" t="s">
        <v>372</v>
      </c>
      <c r="B1" s="577" t="s">
        <v>373</v>
      </c>
      <c r="C1" s="577" t="s">
        <v>374</v>
      </c>
    </row>
    <row r="2" spans="1:3">
      <c r="A2" s="578">
        <v>0</v>
      </c>
      <c r="B2" s="578" t="s">
        <v>375</v>
      </c>
      <c r="C2" s="578" t="s">
        <v>376</v>
      </c>
    </row>
    <row r="3" spans="1:3">
      <c r="A3" s="578">
        <v>1</v>
      </c>
      <c r="B3" s="577" t="s">
        <v>355</v>
      </c>
      <c r="C3" s="577" t="s">
        <v>417</v>
      </c>
    </row>
    <row r="4" spans="1:3" ht="25.5">
      <c r="A4" s="578">
        <v>2</v>
      </c>
      <c r="B4" s="578" t="s">
        <v>356</v>
      </c>
      <c r="C4" s="579" t="s">
        <v>455</v>
      </c>
    </row>
    <row r="5" spans="1:3">
      <c r="A5" s="578">
        <v>3</v>
      </c>
      <c r="B5" s="578" t="s">
        <v>378</v>
      </c>
      <c r="C5" s="578" t="s">
        <v>299</v>
      </c>
    </row>
    <row r="6" spans="1:3">
      <c r="A6" s="578">
        <v>4</v>
      </c>
      <c r="B6" s="578" t="s">
        <v>379</v>
      </c>
      <c r="C6" s="578" t="s">
        <v>380</v>
      </c>
    </row>
    <row r="7" spans="1:3">
      <c r="A7" s="578">
        <v>5</v>
      </c>
      <c r="B7" s="578" t="s">
        <v>26</v>
      </c>
      <c r="C7" s="580">
        <v>0</v>
      </c>
    </row>
    <row r="8" spans="1:3">
      <c r="A8" s="578">
        <v>6</v>
      </c>
      <c r="B8" s="578" t="s">
        <v>33</v>
      </c>
      <c r="C8" s="578" t="s">
        <v>381</v>
      </c>
    </row>
    <row r="9" spans="1:3">
      <c r="A9" s="578">
        <v>7</v>
      </c>
      <c r="B9" s="578" t="s">
        <v>30</v>
      </c>
      <c r="C9" s="578" t="s">
        <v>382</v>
      </c>
    </row>
    <row r="10" spans="1:3">
      <c r="A10" s="578">
        <v>8</v>
      </c>
      <c r="B10" s="578" t="s">
        <v>383</v>
      </c>
      <c r="C10" s="578" t="s">
        <v>384</v>
      </c>
    </row>
    <row r="11" spans="1:3">
      <c r="A11" s="578">
        <v>9</v>
      </c>
      <c r="B11" s="578" t="s">
        <v>385</v>
      </c>
      <c r="C11" s="578" t="s">
        <v>386</v>
      </c>
    </row>
    <row r="12" spans="1:3" ht="34.5" customHeight="1">
      <c r="A12" s="1102">
        <v>10</v>
      </c>
      <c r="B12" s="1102" t="s">
        <v>387</v>
      </c>
      <c r="C12" s="579" t="s">
        <v>423</v>
      </c>
    </row>
    <row r="13" spans="1:3" ht="57.75" customHeight="1">
      <c r="A13" s="1102"/>
      <c r="B13" s="1102"/>
      <c r="C13" s="579" t="s">
        <v>424</v>
      </c>
    </row>
    <row r="14" spans="1:3">
      <c r="A14" s="578">
        <v>11</v>
      </c>
      <c r="B14" s="578" t="s">
        <v>391</v>
      </c>
      <c r="C14" s="578" t="s">
        <v>34</v>
      </c>
    </row>
    <row r="15" spans="1:3">
      <c r="A15" s="578">
        <v>12</v>
      </c>
      <c r="B15" s="578" t="s">
        <v>392</v>
      </c>
      <c r="C15" s="578" t="s">
        <v>393</v>
      </c>
    </row>
    <row r="16" spans="1:3">
      <c r="A16" s="578">
        <v>13</v>
      </c>
      <c r="B16" s="578" t="s">
        <v>394</v>
      </c>
      <c r="C16" s="579"/>
    </row>
    <row r="17" spans="1:3" ht="24" customHeight="1">
      <c r="A17" s="1102">
        <v>14</v>
      </c>
      <c r="B17" s="1102" t="s">
        <v>395</v>
      </c>
      <c r="C17" s="579" t="s">
        <v>396</v>
      </c>
    </row>
    <row r="18" spans="1:3" ht="43.5" customHeight="1">
      <c r="A18" s="1102"/>
      <c r="B18" s="1102"/>
      <c r="C18" s="579" t="s">
        <v>397</v>
      </c>
    </row>
    <row r="19" spans="1:3">
      <c r="A19" s="578">
        <v>15</v>
      </c>
      <c r="B19" s="578" t="s">
        <v>398</v>
      </c>
      <c r="C19" s="579"/>
    </row>
    <row r="20" spans="1:3">
      <c r="A20" s="578">
        <v>16</v>
      </c>
      <c r="B20" s="578" t="s">
        <v>399</v>
      </c>
      <c r="C20" s="578"/>
    </row>
    <row r="21" spans="1:3">
      <c r="A21" s="578">
        <v>17</v>
      </c>
      <c r="B21" s="578" t="s">
        <v>400</v>
      </c>
      <c r="C21" s="579"/>
    </row>
  </sheetData>
  <mergeCells count="4">
    <mergeCell ref="A12:A13"/>
    <mergeCell ref="B12:B13"/>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13" workbookViewId="0">
      <selection activeCell="C16" sqref="C16"/>
    </sheetView>
  </sheetViews>
  <sheetFormatPr defaultColWidth="9.140625" defaultRowHeight="15"/>
  <cols>
    <col min="1" max="1" width="9.140625" style="563"/>
    <col min="2" max="2" width="27.7109375" style="563" customWidth="1"/>
    <col min="3" max="3" width="47.42578125"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411</v>
      </c>
    </row>
    <row r="4" spans="1:3" ht="25.5">
      <c r="A4" s="578">
        <v>2</v>
      </c>
      <c r="B4" s="577" t="s">
        <v>356</v>
      </c>
      <c r="C4" s="579" t="s">
        <v>362</v>
      </c>
    </row>
    <row r="5" spans="1:3">
      <c r="A5" s="578">
        <v>3</v>
      </c>
      <c r="B5" s="578" t="s">
        <v>378</v>
      </c>
      <c r="C5" s="578" t="s">
        <v>306</v>
      </c>
    </row>
    <row r="6" spans="1:3">
      <c r="A6" s="578">
        <v>4</v>
      </c>
      <c r="B6" s="578" t="s">
        <v>379</v>
      </c>
      <c r="C6" s="578" t="s">
        <v>403</v>
      </c>
    </row>
    <row r="7" spans="1:3">
      <c r="A7" s="578">
        <v>5</v>
      </c>
      <c r="B7" s="578" t="s">
        <v>26</v>
      </c>
      <c r="C7" s="578" t="s">
        <v>382</v>
      </c>
    </row>
    <row r="8" spans="1:3">
      <c r="A8" s="578">
        <v>6</v>
      </c>
      <c r="B8" s="578" t="s">
        <v>33</v>
      </c>
      <c r="C8" s="578" t="s">
        <v>404</v>
      </c>
    </row>
    <row r="9" spans="1:3">
      <c r="A9" s="578">
        <v>7</v>
      </c>
      <c r="B9" s="578" t="s">
        <v>30</v>
      </c>
      <c r="C9" s="578" t="s">
        <v>382</v>
      </c>
    </row>
    <row r="10" spans="1:3">
      <c r="A10" s="578">
        <v>8</v>
      </c>
      <c r="B10" s="578" t="s">
        <v>383</v>
      </c>
      <c r="C10" s="578" t="s">
        <v>384</v>
      </c>
    </row>
    <row r="11" spans="1:3">
      <c r="A11" s="578">
        <v>9</v>
      </c>
      <c r="B11" s="578" t="s">
        <v>385</v>
      </c>
      <c r="C11" s="578" t="s">
        <v>386</v>
      </c>
    </row>
    <row r="12" spans="1:3" ht="33" customHeight="1">
      <c r="A12" s="1102">
        <v>10</v>
      </c>
      <c r="B12" s="1102" t="s">
        <v>387</v>
      </c>
      <c r="C12" s="579" t="s">
        <v>425</v>
      </c>
    </row>
    <row r="13" spans="1:3" ht="79.5" customHeight="1">
      <c r="A13" s="1102"/>
      <c r="B13" s="1102"/>
      <c r="C13" s="579" t="s">
        <v>426</v>
      </c>
    </row>
    <row r="14" spans="1:3" ht="126" customHeight="1">
      <c r="A14" s="1102"/>
      <c r="B14" s="1102"/>
      <c r="C14" s="579" t="s">
        <v>427</v>
      </c>
    </row>
    <row r="15" spans="1:3" ht="93" customHeight="1">
      <c r="A15" s="1102"/>
      <c r="B15" s="1102"/>
      <c r="C15" s="579" t="s">
        <v>428</v>
      </c>
    </row>
    <row r="16" spans="1:3" ht="42.75" customHeight="1">
      <c r="A16" s="1102"/>
      <c r="B16" s="1102"/>
      <c r="C16" s="579" t="s">
        <v>429</v>
      </c>
    </row>
    <row r="17" spans="1:3">
      <c r="A17" s="578">
        <v>11</v>
      </c>
      <c r="B17" s="578" t="s">
        <v>391</v>
      </c>
      <c r="C17" s="578" t="s">
        <v>34</v>
      </c>
    </row>
    <row r="18" spans="1:3">
      <c r="A18" s="578">
        <v>12</v>
      </c>
      <c r="B18" s="578" t="s">
        <v>392</v>
      </c>
      <c r="C18" s="578" t="s">
        <v>409</v>
      </c>
    </row>
    <row r="19" spans="1:3" ht="48.75" customHeight="1">
      <c r="A19" s="578">
        <v>13</v>
      </c>
      <c r="B19" s="578" t="s">
        <v>394</v>
      </c>
      <c r="C19" s="579" t="s">
        <v>430</v>
      </c>
    </row>
    <row r="20" spans="1:3" ht="32.25" customHeight="1">
      <c r="A20" s="1102">
        <v>14</v>
      </c>
      <c r="B20" s="1102" t="s">
        <v>395</v>
      </c>
      <c r="C20" s="579" t="s">
        <v>396</v>
      </c>
    </row>
    <row r="21" spans="1:3" ht="42" customHeight="1">
      <c r="A21" s="1102"/>
      <c r="B21" s="1102"/>
      <c r="C21" s="579" t="s">
        <v>410</v>
      </c>
    </row>
    <row r="22" spans="1:3">
      <c r="A22" s="578">
        <v>15</v>
      </c>
      <c r="B22" s="578" t="s">
        <v>398</v>
      </c>
      <c r="C22" s="579"/>
    </row>
    <row r="23" spans="1:3">
      <c r="A23" s="578">
        <v>16</v>
      </c>
      <c r="B23" s="578" t="s">
        <v>399</v>
      </c>
      <c r="C23" s="578"/>
    </row>
    <row r="24" spans="1:3">
      <c r="A24" s="578">
        <v>17</v>
      </c>
      <c r="B24" s="578" t="s">
        <v>400</v>
      </c>
      <c r="C24" s="579"/>
    </row>
  </sheetData>
  <mergeCells count="4">
    <mergeCell ref="A12:A16"/>
    <mergeCell ref="B12:B16"/>
    <mergeCell ref="A20:A21"/>
    <mergeCell ref="B20: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12" sqref="C12"/>
    </sheetView>
  </sheetViews>
  <sheetFormatPr defaultColWidth="9.140625" defaultRowHeight="15"/>
  <cols>
    <col min="1" max="1" width="9.140625" style="563"/>
    <col min="2" max="2" width="25.28515625" style="563" customWidth="1"/>
    <col min="3" max="3" width="49.140625"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411</v>
      </c>
    </row>
    <row r="4" spans="1:3" ht="49.5" customHeight="1">
      <c r="A4" s="578">
        <v>2</v>
      </c>
      <c r="B4" s="577" t="s">
        <v>356</v>
      </c>
      <c r="C4" s="620" t="s">
        <v>454</v>
      </c>
    </row>
    <row r="5" spans="1:3">
      <c r="A5" s="578">
        <v>3</v>
      </c>
      <c r="B5" s="578" t="s">
        <v>378</v>
      </c>
      <c r="C5" s="578" t="s">
        <v>187</v>
      </c>
    </row>
    <row r="6" spans="1:3">
      <c r="A6" s="578">
        <v>4</v>
      </c>
      <c r="B6" s="578" t="s">
        <v>379</v>
      </c>
      <c r="C6" s="578" t="s">
        <v>403</v>
      </c>
    </row>
    <row r="7" spans="1:3">
      <c r="A7" s="578">
        <v>5</v>
      </c>
      <c r="B7" s="578" t="s">
        <v>26</v>
      </c>
      <c r="C7" s="578" t="s">
        <v>381</v>
      </c>
    </row>
    <row r="8" spans="1:3">
      <c r="A8" s="578">
        <v>6</v>
      </c>
      <c r="B8" s="578" t="s">
        <v>33</v>
      </c>
      <c r="C8" s="578" t="s">
        <v>404</v>
      </c>
    </row>
    <row r="9" spans="1:3">
      <c r="A9" s="578">
        <v>7</v>
      </c>
      <c r="B9" s="578" t="s">
        <v>30</v>
      </c>
      <c r="C9" s="578" t="s">
        <v>382</v>
      </c>
    </row>
    <row r="10" spans="1:3">
      <c r="A10" s="578">
        <v>8</v>
      </c>
      <c r="B10" s="578" t="s">
        <v>383</v>
      </c>
      <c r="C10" s="578" t="s">
        <v>384</v>
      </c>
    </row>
    <row r="11" spans="1:3">
      <c r="A11" s="578">
        <v>9</v>
      </c>
      <c r="B11" s="578" t="s">
        <v>385</v>
      </c>
      <c r="C11" s="578" t="s">
        <v>386</v>
      </c>
    </row>
    <row r="12" spans="1:3" ht="87" customHeight="1">
      <c r="A12" s="1102">
        <v>10</v>
      </c>
      <c r="B12" s="1102" t="s">
        <v>387</v>
      </c>
      <c r="C12" s="579" t="s">
        <v>431</v>
      </c>
    </row>
    <row r="13" spans="1:3" ht="57.75" customHeight="1">
      <c r="A13" s="1102"/>
      <c r="B13" s="1102"/>
      <c r="C13" s="579" t="s">
        <v>432</v>
      </c>
    </row>
    <row r="14" spans="1:3">
      <c r="A14" s="578">
        <v>11</v>
      </c>
      <c r="B14" s="578" t="s">
        <v>391</v>
      </c>
      <c r="C14" s="578" t="s">
        <v>433</v>
      </c>
    </row>
    <row r="15" spans="1:3">
      <c r="A15" s="578">
        <v>12</v>
      </c>
      <c r="B15" s="578" t="s">
        <v>392</v>
      </c>
      <c r="C15" s="578" t="s">
        <v>409</v>
      </c>
    </row>
    <row r="16" spans="1:3">
      <c r="A16" s="578">
        <v>13</v>
      </c>
      <c r="B16" s="578" t="s">
        <v>394</v>
      </c>
      <c r="C16" s="579"/>
    </row>
    <row r="17" spans="1:3" ht="27.75" customHeight="1">
      <c r="A17" s="1102">
        <v>14</v>
      </c>
      <c r="B17" s="1102" t="s">
        <v>395</v>
      </c>
      <c r="C17" s="579" t="s">
        <v>396</v>
      </c>
    </row>
    <row r="18" spans="1:3" ht="48.75" customHeight="1">
      <c r="A18" s="1102"/>
      <c r="B18" s="1102"/>
      <c r="C18" s="579" t="s">
        <v>410</v>
      </c>
    </row>
    <row r="19" spans="1:3">
      <c r="A19" s="578">
        <v>15</v>
      </c>
      <c r="B19" s="578" t="s">
        <v>398</v>
      </c>
      <c r="C19" s="579"/>
    </row>
    <row r="20" spans="1:3">
      <c r="A20" s="578">
        <v>16</v>
      </c>
      <c r="B20" s="578" t="s">
        <v>399</v>
      </c>
      <c r="C20" s="578"/>
    </row>
    <row r="21" spans="1:3">
      <c r="A21" s="578">
        <v>17</v>
      </c>
      <c r="B21" s="578" t="s">
        <v>400</v>
      </c>
      <c r="C21" s="579"/>
    </row>
  </sheetData>
  <mergeCells count="4">
    <mergeCell ref="A12:A13"/>
    <mergeCell ref="B12:B13"/>
    <mergeCell ref="A17:A18"/>
    <mergeCell ref="B17: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11"/>
  <sheetViews>
    <sheetView topLeftCell="H39" zoomScale="55" zoomScaleNormal="55" workbookViewId="0">
      <selection activeCell="P42" sqref="P42"/>
    </sheetView>
  </sheetViews>
  <sheetFormatPr defaultColWidth="9.140625" defaultRowHeight="15"/>
  <cols>
    <col min="1" max="1" width="19.140625" style="14" customWidth="1"/>
    <col min="2" max="2" width="18.28515625" style="70" customWidth="1"/>
    <col min="3" max="3" width="17.5703125" style="14" bestFit="1" customWidth="1"/>
    <col min="4" max="4" width="16" style="14" customWidth="1"/>
    <col min="5" max="5" width="20.28515625" style="14" customWidth="1"/>
    <col min="6" max="6" width="16.42578125" style="14" customWidth="1"/>
    <col min="7" max="7" width="19.140625" style="14" customWidth="1"/>
    <col min="8" max="8" width="17.140625" style="14" bestFit="1" customWidth="1"/>
    <col min="9" max="9" width="17.28515625" style="14" customWidth="1"/>
    <col min="10" max="10" width="16.42578125" style="14" customWidth="1"/>
    <col min="11" max="11" width="15.5703125" style="14" bestFit="1" customWidth="1"/>
    <col min="12" max="12" width="13.7109375" style="14" customWidth="1"/>
    <col min="13" max="13" width="14.7109375" style="14" customWidth="1"/>
    <col min="14" max="14" width="10.28515625" style="69" customWidth="1"/>
    <col min="15" max="15" width="11.7109375" style="69" customWidth="1"/>
    <col min="16" max="16" width="12.140625" style="14" customWidth="1"/>
    <col min="17" max="17" width="26.7109375" style="14" customWidth="1"/>
    <col min="18" max="18" width="77.85546875" style="14" customWidth="1"/>
    <col min="19" max="19" width="75" style="276" customWidth="1"/>
    <col min="20" max="20" width="9.140625" style="201"/>
    <col min="21" max="21" width="59.7109375" style="201" customWidth="1"/>
    <col min="22" max="22" width="15.140625" style="201" bestFit="1" customWidth="1"/>
    <col min="23" max="16384" width="9.140625" style="14"/>
  </cols>
  <sheetData>
    <row r="1" spans="1:22" s="123" customFormat="1">
      <c r="A1" s="900" t="s">
        <v>11</v>
      </c>
      <c r="B1" s="900"/>
      <c r="C1" s="900"/>
      <c r="D1" s="900"/>
      <c r="E1" s="900"/>
      <c r="I1" s="147" t="s">
        <v>129</v>
      </c>
      <c r="J1" s="147"/>
      <c r="K1" s="147"/>
      <c r="L1" s="147"/>
      <c r="M1" s="147"/>
      <c r="N1" s="147"/>
      <c r="O1" s="147"/>
      <c r="P1" s="147"/>
      <c r="S1" s="513"/>
      <c r="T1" s="143"/>
      <c r="U1" s="143"/>
      <c r="V1" s="143"/>
    </row>
    <row r="2" spans="1:22" s="125" customFormat="1" ht="16.5" customHeight="1">
      <c r="A2" s="125" t="s">
        <v>108</v>
      </c>
      <c r="S2" s="513"/>
      <c r="T2" s="239"/>
      <c r="U2" s="239"/>
      <c r="V2" s="239"/>
    </row>
    <row r="3" spans="1:22" s="123" customFormat="1" ht="16.5" customHeight="1">
      <c r="A3" s="907" t="s">
        <v>109</v>
      </c>
      <c r="B3" s="907"/>
      <c r="C3" s="907"/>
      <c r="D3" s="907"/>
      <c r="E3" s="907"/>
      <c r="F3" s="907"/>
      <c r="G3" s="907"/>
      <c r="J3" s="123" t="s">
        <v>128</v>
      </c>
      <c r="N3" s="124"/>
      <c r="O3" s="124"/>
      <c r="S3" s="513"/>
      <c r="T3" s="143"/>
      <c r="U3" s="143"/>
      <c r="V3" s="143"/>
    </row>
    <row r="4" spans="1:22" s="123" customFormat="1" ht="16.5" customHeight="1">
      <c r="A4" s="911" t="s">
        <v>136</v>
      </c>
      <c r="B4" s="911"/>
      <c r="C4" s="911"/>
      <c r="D4" s="911"/>
      <c r="E4" s="911"/>
      <c r="F4" s="911"/>
      <c r="G4" s="911"/>
      <c r="N4" s="124"/>
      <c r="O4" s="124"/>
      <c r="S4" s="513"/>
      <c r="T4" s="143"/>
      <c r="U4" s="143"/>
      <c r="V4" s="143"/>
    </row>
    <row r="5" spans="1:22" s="123" customFormat="1" ht="16.5" customHeight="1">
      <c r="A5" s="907" t="s">
        <v>111</v>
      </c>
      <c r="B5" s="907"/>
      <c r="C5" s="907"/>
      <c r="D5" s="907"/>
      <c r="E5" s="907"/>
      <c r="F5" s="907"/>
      <c r="G5" s="907"/>
      <c r="N5" s="124"/>
      <c r="O5" s="124"/>
      <c r="S5" s="513"/>
      <c r="T5" s="143"/>
      <c r="U5" s="143"/>
      <c r="V5" s="143"/>
    </row>
    <row r="6" spans="1:22" s="123" customFormat="1" ht="16.5" customHeight="1">
      <c r="A6" s="907" t="s">
        <v>102</v>
      </c>
      <c r="B6" s="907"/>
      <c r="C6" s="907"/>
      <c r="D6" s="907"/>
      <c r="E6" s="907"/>
      <c r="F6" s="907"/>
      <c r="G6" s="907"/>
      <c r="H6" s="907"/>
      <c r="N6" s="124"/>
      <c r="O6" s="124"/>
      <c r="S6" s="513"/>
      <c r="T6" s="143"/>
      <c r="U6" s="143"/>
      <c r="V6" s="143"/>
    </row>
    <row r="7" spans="1:22" s="123" customFormat="1" ht="16.5" customHeight="1">
      <c r="A7" s="907" t="s">
        <v>103</v>
      </c>
      <c r="B7" s="907"/>
      <c r="C7" s="907"/>
      <c r="D7" s="907"/>
      <c r="E7" s="907"/>
      <c r="F7" s="907"/>
      <c r="G7" s="907"/>
      <c r="N7" s="124"/>
      <c r="O7" s="124"/>
      <c r="S7" s="513"/>
      <c r="T7" s="143"/>
      <c r="U7" s="143"/>
      <c r="V7" s="143"/>
    </row>
    <row r="8" spans="1:22" s="123" customFormat="1" ht="16.5" customHeight="1">
      <c r="A8" s="907" t="s">
        <v>112</v>
      </c>
      <c r="B8" s="907"/>
      <c r="C8" s="907"/>
      <c r="D8" s="907"/>
      <c r="E8" s="907"/>
      <c r="F8" s="907"/>
      <c r="G8" s="907"/>
      <c r="N8" s="124"/>
      <c r="O8" s="124"/>
      <c r="S8" s="513"/>
      <c r="T8" s="143"/>
      <c r="U8" s="143"/>
      <c r="V8" s="143"/>
    </row>
    <row r="9" spans="1:22" s="123" customFormat="1" ht="16.5" customHeight="1">
      <c r="A9" s="907" t="s">
        <v>113</v>
      </c>
      <c r="B9" s="907"/>
      <c r="C9" s="907"/>
      <c r="D9" s="907"/>
      <c r="E9" s="907"/>
      <c r="F9" s="907"/>
      <c r="G9" s="907"/>
      <c r="N9" s="124"/>
      <c r="O9" s="124"/>
      <c r="S9" s="513"/>
      <c r="T9" s="143"/>
      <c r="U9" s="143"/>
      <c r="V9" s="143"/>
    </row>
    <row r="10" spans="1:22" ht="15.75" thickBot="1">
      <c r="A10" s="14" t="s">
        <v>135</v>
      </c>
    </row>
    <row r="11" spans="1:22" ht="15" customHeight="1">
      <c r="A11" s="916" t="s">
        <v>24</v>
      </c>
      <c r="B11" s="912" t="s">
        <v>132</v>
      </c>
      <c r="C11" s="918" t="s">
        <v>133</v>
      </c>
      <c r="D11" s="926" t="s">
        <v>4</v>
      </c>
      <c r="E11" s="927"/>
      <c r="F11" s="927"/>
      <c r="G11" s="916" t="s">
        <v>18</v>
      </c>
      <c r="H11" s="928" t="s">
        <v>19</v>
      </c>
      <c r="I11" s="928"/>
      <c r="J11" s="922" t="s">
        <v>31</v>
      </c>
      <c r="K11" s="914" t="s">
        <v>38</v>
      </c>
      <c r="L11" s="922" t="s">
        <v>32</v>
      </c>
      <c r="M11" s="927" t="s">
        <v>26</v>
      </c>
      <c r="N11" s="929"/>
      <c r="O11" s="922" t="s">
        <v>33</v>
      </c>
      <c r="P11" s="922" t="s">
        <v>30</v>
      </c>
      <c r="Q11" s="922" t="s">
        <v>39</v>
      </c>
      <c r="R11" s="924" t="s">
        <v>40</v>
      </c>
    </row>
    <row r="12" spans="1:22" ht="65.45" customHeight="1" thickBot="1">
      <c r="A12" s="917"/>
      <c r="B12" s="913"/>
      <c r="C12" s="919"/>
      <c r="D12" s="1" t="s">
        <v>7</v>
      </c>
      <c r="E12" s="6" t="s">
        <v>17</v>
      </c>
      <c r="F12" s="5" t="s">
        <v>25</v>
      </c>
      <c r="G12" s="917"/>
      <c r="H12" s="1" t="s">
        <v>20</v>
      </c>
      <c r="I12" s="2" t="s">
        <v>21</v>
      </c>
      <c r="J12" s="923"/>
      <c r="K12" s="915"/>
      <c r="L12" s="923"/>
      <c r="M12" s="2" t="s">
        <v>27</v>
      </c>
      <c r="N12" s="2" t="s">
        <v>28</v>
      </c>
      <c r="O12" s="923"/>
      <c r="P12" s="923"/>
      <c r="Q12" s="923"/>
      <c r="R12" s="925"/>
    </row>
    <row r="13" spans="1:22" ht="69.75" customHeight="1">
      <c r="A13" s="856" t="s">
        <v>63</v>
      </c>
      <c r="B13" s="170"/>
      <c r="C13" s="878">
        <v>81711019.799999997</v>
      </c>
      <c r="D13" s="901" t="s">
        <v>85</v>
      </c>
      <c r="E13" s="866">
        <v>49026611.899999999</v>
      </c>
      <c r="F13" s="869">
        <f>E13+(E13*0.3/0.7)</f>
        <v>70038017</v>
      </c>
      <c r="G13" s="942"/>
      <c r="H13" s="101" t="s">
        <v>92</v>
      </c>
      <c r="I13" s="31" t="s">
        <v>101</v>
      </c>
      <c r="J13" s="787" t="s">
        <v>84</v>
      </c>
      <c r="K13" s="782" t="s">
        <v>23</v>
      </c>
      <c r="L13" s="32" t="s">
        <v>66</v>
      </c>
      <c r="M13" s="74">
        <v>0</v>
      </c>
      <c r="N13" s="74">
        <v>2021</v>
      </c>
      <c r="O13" s="99" t="s">
        <v>8</v>
      </c>
      <c r="P13" s="99" t="s">
        <v>55</v>
      </c>
      <c r="Q13" s="75" t="s">
        <v>54</v>
      </c>
      <c r="R13" s="71"/>
    </row>
    <row r="14" spans="1:22" ht="75">
      <c r="A14" s="832"/>
      <c r="B14" s="171"/>
      <c r="C14" s="812"/>
      <c r="D14" s="902"/>
      <c r="E14" s="867"/>
      <c r="F14" s="827"/>
      <c r="G14" s="943"/>
      <c r="H14" s="24" t="s">
        <v>93</v>
      </c>
      <c r="I14" s="33" t="s">
        <v>99</v>
      </c>
      <c r="J14" s="788"/>
      <c r="K14" s="783"/>
      <c r="L14" s="34" t="s">
        <v>100</v>
      </c>
      <c r="M14" s="95" t="s">
        <v>62</v>
      </c>
      <c r="N14" s="77">
        <v>2021</v>
      </c>
      <c r="O14" s="29" t="s">
        <v>8</v>
      </c>
      <c r="P14" s="29" t="s">
        <v>55</v>
      </c>
      <c r="Q14" s="76" t="s">
        <v>54</v>
      </c>
      <c r="R14" s="72"/>
    </row>
    <row r="15" spans="1:22" ht="75" customHeight="1">
      <c r="A15" s="832"/>
      <c r="B15" s="171"/>
      <c r="C15" s="812"/>
      <c r="D15" s="902"/>
      <c r="E15" s="867"/>
      <c r="F15" s="827"/>
      <c r="G15" s="943"/>
      <c r="H15" s="24" t="s">
        <v>94</v>
      </c>
      <c r="I15" s="33" t="s">
        <v>96</v>
      </c>
      <c r="J15" s="788"/>
      <c r="K15" s="783"/>
      <c r="L15" s="34" t="s">
        <v>66</v>
      </c>
      <c r="M15" s="77">
        <v>0</v>
      </c>
      <c r="N15" s="8" t="s">
        <v>8</v>
      </c>
      <c r="O15" s="29" t="s">
        <v>55</v>
      </c>
      <c r="P15" s="27" t="s">
        <v>55</v>
      </c>
      <c r="Q15" s="76" t="s">
        <v>54</v>
      </c>
      <c r="R15" s="72"/>
    </row>
    <row r="16" spans="1:22" ht="60.75" thickBot="1">
      <c r="A16" s="832"/>
      <c r="B16" s="171"/>
      <c r="C16" s="812"/>
      <c r="D16" s="902"/>
      <c r="E16" s="867"/>
      <c r="F16" s="827"/>
      <c r="G16" s="943"/>
      <c r="H16" s="24" t="s">
        <v>95</v>
      </c>
      <c r="I16" s="33" t="s">
        <v>97</v>
      </c>
      <c r="J16" s="788"/>
      <c r="K16" s="783"/>
      <c r="L16" s="33" t="s">
        <v>98</v>
      </c>
      <c r="M16" s="77">
        <v>0</v>
      </c>
      <c r="N16" s="8" t="s">
        <v>8</v>
      </c>
      <c r="O16" s="8" t="s">
        <v>71</v>
      </c>
      <c r="P16" s="27" t="s">
        <v>55</v>
      </c>
      <c r="Q16" s="76" t="s">
        <v>54</v>
      </c>
      <c r="R16" s="72"/>
    </row>
    <row r="17" spans="1:19" ht="45.75" thickBot="1">
      <c r="A17" s="832"/>
      <c r="B17" s="171"/>
      <c r="C17" s="812"/>
      <c r="D17" s="903"/>
      <c r="E17" s="868"/>
      <c r="F17" s="904"/>
      <c r="G17" s="944"/>
      <c r="H17" s="96" t="s">
        <v>72</v>
      </c>
      <c r="I17" s="37" t="s">
        <v>82</v>
      </c>
      <c r="J17" s="789"/>
      <c r="K17" s="784"/>
      <c r="L17" s="40" t="s">
        <v>83</v>
      </c>
      <c r="M17" s="127" t="s">
        <v>55</v>
      </c>
      <c r="N17" s="21">
        <v>2021</v>
      </c>
      <c r="O17" s="19" t="s">
        <v>8</v>
      </c>
      <c r="P17" s="19" t="s">
        <v>55</v>
      </c>
      <c r="Q17" s="73" t="s">
        <v>54</v>
      </c>
      <c r="R17" s="83"/>
    </row>
    <row r="18" spans="1:19" ht="81.75" customHeight="1">
      <c r="A18" s="832"/>
      <c r="B18" s="171"/>
      <c r="C18" s="867"/>
      <c r="D18" s="905" t="s">
        <v>86</v>
      </c>
      <c r="E18" s="906">
        <v>32684407.899999999</v>
      </c>
      <c r="F18" s="826">
        <f>E18+(E18*0.3/0.7)</f>
        <v>46692011.285714284</v>
      </c>
      <c r="G18" s="945"/>
      <c r="H18" s="101" t="s">
        <v>92</v>
      </c>
      <c r="I18" s="31" t="s">
        <v>101</v>
      </c>
      <c r="J18" s="787" t="s">
        <v>84</v>
      </c>
      <c r="K18" s="782" t="s">
        <v>23</v>
      </c>
      <c r="L18" s="32" t="s">
        <v>66</v>
      </c>
      <c r="M18" s="74">
        <v>0</v>
      </c>
      <c r="N18" s="74">
        <v>2021</v>
      </c>
      <c r="O18" s="99" t="s">
        <v>8</v>
      </c>
      <c r="P18" s="99" t="s">
        <v>55</v>
      </c>
      <c r="Q18" s="75" t="s">
        <v>54</v>
      </c>
      <c r="R18" s="71"/>
    </row>
    <row r="19" spans="1:19" ht="75">
      <c r="A19" s="832"/>
      <c r="B19" s="171"/>
      <c r="C19" s="867"/>
      <c r="D19" s="852"/>
      <c r="E19" s="852"/>
      <c r="F19" s="852"/>
      <c r="G19" s="946"/>
      <c r="H19" s="24" t="s">
        <v>93</v>
      </c>
      <c r="I19" s="33" t="s">
        <v>99</v>
      </c>
      <c r="J19" s="788"/>
      <c r="K19" s="783"/>
      <c r="L19" s="34" t="s">
        <v>100</v>
      </c>
      <c r="M19" s="95" t="s">
        <v>62</v>
      </c>
      <c r="N19" s="77">
        <v>2021</v>
      </c>
      <c r="O19" s="29" t="s">
        <v>8</v>
      </c>
      <c r="P19" s="29" t="s">
        <v>55</v>
      </c>
      <c r="Q19" s="76" t="s">
        <v>54</v>
      </c>
      <c r="R19" s="72"/>
    </row>
    <row r="20" spans="1:19" ht="81.95" customHeight="1">
      <c r="A20" s="832"/>
      <c r="B20" s="171"/>
      <c r="C20" s="867"/>
      <c r="D20" s="852"/>
      <c r="E20" s="852"/>
      <c r="F20" s="852"/>
      <c r="G20" s="946"/>
      <c r="H20" s="24" t="s">
        <v>94</v>
      </c>
      <c r="I20" s="33" t="s">
        <v>96</v>
      </c>
      <c r="J20" s="788"/>
      <c r="K20" s="783"/>
      <c r="L20" s="34" t="s">
        <v>66</v>
      </c>
      <c r="M20" s="77">
        <v>0</v>
      </c>
      <c r="N20" s="8" t="s">
        <v>8</v>
      </c>
      <c r="O20" s="29" t="s">
        <v>55</v>
      </c>
      <c r="P20" s="27" t="s">
        <v>55</v>
      </c>
      <c r="Q20" s="76" t="s">
        <v>54</v>
      </c>
      <c r="R20" s="72"/>
    </row>
    <row r="21" spans="1:19" ht="60">
      <c r="A21" s="832"/>
      <c r="B21" s="171"/>
      <c r="C21" s="867"/>
      <c r="D21" s="852"/>
      <c r="E21" s="852"/>
      <c r="F21" s="852"/>
      <c r="G21" s="946"/>
      <c r="H21" s="24" t="s">
        <v>95</v>
      </c>
      <c r="I21" s="33" t="s">
        <v>97</v>
      </c>
      <c r="J21" s="788"/>
      <c r="K21" s="783"/>
      <c r="L21" s="33" t="s">
        <v>98</v>
      </c>
      <c r="M21" s="77">
        <v>0</v>
      </c>
      <c r="N21" s="8" t="s">
        <v>8</v>
      </c>
      <c r="O21" s="8" t="s">
        <v>71</v>
      </c>
      <c r="P21" s="27" t="s">
        <v>55</v>
      </c>
      <c r="Q21" s="76" t="s">
        <v>54</v>
      </c>
      <c r="R21" s="72"/>
      <c r="S21" s="514"/>
    </row>
    <row r="22" spans="1:19" ht="45.75" thickBot="1">
      <c r="A22" s="859"/>
      <c r="B22" s="171"/>
      <c r="C22" s="867"/>
      <c r="D22" s="852"/>
      <c r="E22" s="852"/>
      <c r="F22" s="852"/>
      <c r="G22" s="946"/>
      <c r="H22" s="102" t="s">
        <v>72</v>
      </c>
      <c r="I22" s="35" t="s">
        <v>82</v>
      </c>
      <c r="J22" s="789"/>
      <c r="K22" s="784"/>
      <c r="L22" s="36" t="s">
        <v>83</v>
      </c>
      <c r="M22" s="128" t="s">
        <v>55</v>
      </c>
      <c r="N22" s="79">
        <v>2021</v>
      </c>
      <c r="O22" s="100" t="s">
        <v>8</v>
      </c>
      <c r="P22" s="100" t="s">
        <v>55</v>
      </c>
      <c r="Q22" s="82" t="s">
        <v>54</v>
      </c>
      <c r="R22" s="80"/>
    </row>
    <row r="23" spans="1:19" ht="113.25" customHeight="1" thickBot="1">
      <c r="A23" s="930" t="s">
        <v>73</v>
      </c>
      <c r="B23" s="160"/>
      <c r="C23" s="908">
        <v>15014039</v>
      </c>
      <c r="D23" s="933" t="s">
        <v>60</v>
      </c>
      <c r="E23" s="878">
        <v>3002807.8</v>
      </c>
      <c r="F23" s="880">
        <f>E23+(E23*0.3/0.7)</f>
        <v>4289725.4285714282</v>
      </c>
      <c r="G23" s="882"/>
      <c r="H23" s="894" t="s">
        <v>94</v>
      </c>
      <c r="I23" s="936" t="s">
        <v>96</v>
      </c>
      <c r="J23" s="787" t="s">
        <v>84</v>
      </c>
      <c r="K23" s="782" t="s">
        <v>23</v>
      </c>
      <c r="L23" s="936" t="s">
        <v>66</v>
      </c>
      <c r="M23" s="22">
        <v>0</v>
      </c>
      <c r="N23" s="20" t="s">
        <v>8</v>
      </c>
      <c r="O23" s="39" t="s">
        <v>55</v>
      </c>
      <c r="P23" s="97" t="s">
        <v>55</v>
      </c>
      <c r="Q23" s="23" t="s">
        <v>54</v>
      </c>
      <c r="R23" s="81"/>
    </row>
    <row r="24" spans="1:19" ht="12.6" hidden="1" customHeight="1">
      <c r="A24" s="931"/>
      <c r="B24" s="161"/>
      <c r="C24" s="909"/>
      <c r="D24" s="934"/>
      <c r="E24" s="812"/>
      <c r="F24" s="813"/>
      <c r="G24" s="883"/>
      <c r="H24" s="896"/>
      <c r="I24" s="773"/>
      <c r="J24" s="788"/>
      <c r="K24" s="783"/>
      <c r="L24" s="773"/>
      <c r="M24" s="77">
        <v>0</v>
      </c>
      <c r="N24" s="8" t="s">
        <v>8</v>
      </c>
      <c r="O24" s="29" t="s">
        <v>55</v>
      </c>
      <c r="P24" s="27" t="s">
        <v>55</v>
      </c>
      <c r="Q24" s="76" t="s">
        <v>53</v>
      </c>
      <c r="R24" s="72"/>
    </row>
    <row r="25" spans="1:19" ht="0.95" hidden="1" customHeight="1">
      <c r="A25" s="931"/>
      <c r="B25" s="161"/>
      <c r="C25" s="909"/>
      <c r="D25" s="934"/>
      <c r="E25" s="812"/>
      <c r="F25" s="813"/>
      <c r="G25" s="883"/>
      <c r="H25" s="896"/>
      <c r="I25" s="773"/>
      <c r="J25" s="788"/>
      <c r="K25" s="783"/>
      <c r="L25" s="773"/>
      <c r="M25" s="77">
        <v>0</v>
      </c>
      <c r="N25" s="8" t="s">
        <v>8</v>
      </c>
      <c r="O25" s="29" t="s">
        <v>55</v>
      </c>
      <c r="P25" s="27" t="s">
        <v>55</v>
      </c>
      <c r="Q25" s="76" t="s">
        <v>53</v>
      </c>
      <c r="R25" s="72"/>
    </row>
    <row r="26" spans="1:19" ht="78" customHeight="1" thickBot="1">
      <c r="A26" s="931"/>
      <c r="B26" s="161"/>
      <c r="C26" s="910"/>
      <c r="D26" s="935"/>
      <c r="E26" s="879"/>
      <c r="F26" s="881"/>
      <c r="G26" s="884"/>
      <c r="H26" s="96" t="s">
        <v>72</v>
      </c>
      <c r="I26" s="37" t="s">
        <v>82</v>
      </c>
      <c r="J26" s="789"/>
      <c r="K26" s="784"/>
      <c r="L26" s="40" t="s">
        <v>83</v>
      </c>
      <c r="M26" s="129" t="s">
        <v>55</v>
      </c>
      <c r="N26" s="21">
        <v>2021</v>
      </c>
      <c r="O26" s="19" t="s">
        <v>8</v>
      </c>
      <c r="P26" s="19" t="s">
        <v>55</v>
      </c>
      <c r="Q26" s="73" t="s">
        <v>54</v>
      </c>
      <c r="R26" s="83"/>
    </row>
    <row r="27" spans="1:19" ht="57.95" customHeight="1">
      <c r="A27" s="931"/>
      <c r="B27" s="161"/>
      <c r="C27" s="908"/>
      <c r="D27" s="875" t="s">
        <v>87</v>
      </c>
      <c r="E27" s="878">
        <v>6005615.5999999996</v>
      </c>
      <c r="F27" s="880">
        <f>E27+(E27*0.3/0.7)</f>
        <v>8579450.8571428563</v>
      </c>
      <c r="G27" s="882"/>
      <c r="H27" s="892" t="s">
        <v>94</v>
      </c>
      <c r="I27" s="890" t="s">
        <v>96</v>
      </c>
      <c r="J27" s="787" t="s">
        <v>84</v>
      </c>
      <c r="K27" s="782" t="s">
        <v>23</v>
      </c>
      <c r="L27" s="890" t="s">
        <v>66</v>
      </c>
      <c r="M27" s="772">
        <v>0</v>
      </c>
      <c r="N27" s="891" t="s">
        <v>8</v>
      </c>
      <c r="O27" s="891" t="s">
        <v>55</v>
      </c>
      <c r="P27" s="772" t="s">
        <v>55</v>
      </c>
      <c r="Q27" s="880" t="s">
        <v>54</v>
      </c>
      <c r="R27" s="885"/>
    </row>
    <row r="28" spans="1:19" ht="15.6" customHeight="1">
      <c r="A28" s="931"/>
      <c r="B28" s="161"/>
      <c r="C28" s="909"/>
      <c r="D28" s="876"/>
      <c r="E28" s="812"/>
      <c r="F28" s="813"/>
      <c r="G28" s="883"/>
      <c r="H28" s="893"/>
      <c r="I28" s="889"/>
      <c r="J28" s="788"/>
      <c r="K28" s="783"/>
      <c r="L28" s="889"/>
      <c r="M28" s="773"/>
      <c r="N28" s="847"/>
      <c r="O28" s="847"/>
      <c r="P28" s="773"/>
      <c r="Q28" s="813"/>
      <c r="R28" s="886"/>
    </row>
    <row r="29" spans="1:19" ht="15" customHeight="1" thickBot="1">
      <c r="A29" s="931"/>
      <c r="B29" s="161"/>
      <c r="C29" s="909"/>
      <c r="D29" s="876"/>
      <c r="E29" s="812"/>
      <c r="F29" s="813"/>
      <c r="G29" s="883"/>
      <c r="H29" s="894"/>
      <c r="I29" s="889"/>
      <c r="J29" s="788"/>
      <c r="K29" s="783"/>
      <c r="L29" s="889"/>
      <c r="M29" s="773"/>
      <c r="N29" s="847"/>
      <c r="O29" s="847"/>
      <c r="P29" s="773"/>
      <c r="Q29" s="813"/>
      <c r="R29" s="886"/>
    </row>
    <row r="30" spans="1:19" ht="75" customHeight="1" thickBot="1">
      <c r="A30" s="931"/>
      <c r="B30" s="161"/>
      <c r="C30" s="910"/>
      <c r="D30" s="877"/>
      <c r="E30" s="879"/>
      <c r="F30" s="881"/>
      <c r="G30" s="884"/>
      <c r="H30" s="96" t="s">
        <v>72</v>
      </c>
      <c r="I30" s="37" t="s">
        <v>82</v>
      </c>
      <c r="J30" s="789"/>
      <c r="K30" s="784"/>
      <c r="L30" s="40" t="s">
        <v>83</v>
      </c>
      <c r="M30" s="129" t="s">
        <v>55</v>
      </c>
      <c r="N30" s="21">
        <v>2021</v>
      </c>
      <c r="O30" s="19" t="s">
        <v>55</v>
      </c>
      <c r="P30" s="19" t="s">
        <v>55</v>
      </c>
      <c r="Q30" s="73" t="s">
        <v>54</v>
      </c>
      <c r="R30" s="83"/>
    </row>
    <row r="31" spans="1:19" ht="65.45" customHeight="1">
      <c r="A31" s="931"/>
      <c r="B31" s="161"/>
      <c r="C31" s="908"/>
      <c r="D31" s="875" t="s">
        <v>88</v>
      </c>
      <c r="E31" s="878">
        <v>6005615.5999999996</v>
      </c>
      <c r="F31" s="880">
        <f>E31+(E31*0.3/0.7)</f>
        <v>8579450.8571428563</v>
      </c>
      <c r="G31" s="882"/>
      <c r="H31" s="895" t="s">
        <v>72</v>
      </c>
      <c r="I31" s="890" t="s">
        <v>82</v>
      </c>
      <c r="J31" s="787" t="s">
        <v>84</v>
      </c>
      <c r="K31" s="782" t="s">
        <v>23</v>
      </c>
      <c r="L31" s="897" t="s">
        <v>83</v>
      </c>
      <c r="M31" s="898" t="s">
        <v>55</v>
      </c>
      <c r="N31" s="772">
        <v>2021</v>
      </c>
      <c r="O31" s="891" t="s">
        <v>8</v>
      </c>
      <c r="P31" s="772" t="s">
        <v>55</v>
      </c>
      <c r="Q31" s="75" t="s">
        <v>54</v>
      </c>
      <c r="R31" s="885"/>
    </row>
    <row r="32" spans="1:19" ht="52.5" hidden="1" customHeight="1">
      <c r="A32" s="931"/>
      <c r="B32" s="161"/>
      <c r="C32" s="909"/>
      <c r="D32" s="876"/>
      <c r="E32" s="812"/>
      <c r="F32" s="813"/>
      <c r="G32" s="883"/>
      <c r="H32" s="896"/>
      <c r="I32" s="773"/>
      <c r="J32" s="788"/>
      <c r="K32" s="783"/>
      <c r="L32" s="773"/>
      <c r="M32" s="899"/>
      <c r="N32" s="773"/>
      <c r="O32" s="847"/>
      <c r="P32" s="773"/>
      <c r="Q32" s="76" t="s">
        <v>53</v>
      </c>
      <c r="R32" s="886"/>
    </row>
    <row r="33" spans="1:37" ht="59.1" customHeight="1">
      <c r="A33" s="931"/>
      <c r="B33" s="161"/>
      <c r="C33" s="909"/>
      <c r="D33" s="876"/>
      <c r="E33" s="812"/>
      <c r="F33" s="813"/>
      <c r="G33" s="883"/>
      <c r="H33" s="887" t="s">
        <v>94</v>
      </c>
      <c r="I33" s="889" t="s">
        <v>96</v>
      </c>
      <c r="J33" s="788"/>
      <c r="K33" s="783"/>
      <c r="L33" s="889" t="s">
        <v>66</v>
      </c>
      <c r="M33" s="773">
        <v>0</v>
      </c>
      <c r="N33" s="773" t="s">
        <v>8</v>
      </c>
      <c r="O33" s="847" t="s">
        <v>55</v>
      </c>
      <c r="P33" s="773" t="s">
        <v>55</v>
      </c>
      <c r="Q33" s="813" t="s">
        <v>54</v>
      </c>
      <c r="R33" s="886"/>
    </row>
    <row r="34" spans="1:37" ht="15.75" thickBot="1">
      <c r="A34" s="932"/>
      <c r="B34" s="162"/>
      <c r="C34" s="910"/>
      <c r="D34" s="877"/>
      <c r="E34" s="879"/>
      <c r="F34" s="881"/>
      <c r="G34" s="884"/>
      <c r="H34" s="888"/>
      <c r="I34" s="846"/>
      <c r="J34" s="789"/>
      <c r="K34" s="784"/>
      <c r="L34" s="846"/>
      <c r="M34" s="846"/>
      <c r="N34" s="846"/>
      <c r="O34" s="848"/>
      <c r="P34" s="846"/>
      <c r="Q34" s="846"/>
      <c r="R34" s="829"/>
    </row>
    <row r="35" spans="1:37" ht="75" customHeight="1">
      <c r="A35" s="856" t="s">
        <v>110</v>
      </c>
      <c r="B35" s="172"/>
      <c r="C35" s="860">
        <v>32049198.600000001</v>
      </c>
      <c r="D35" s="863" t="s">
        <v>87</v>
      </c>
      <c r="E35" s="866">
        <v>32049198.600000001</v>
      </c>
      <c r="F35" s="869">
        <f>E35+(E35*0.3/0.7)</f>
        <v>45784569.428571433</v>
      </c>
      <c r="G35" s="870"/>
      <c r="H35" s="101" t="s">
        <v>93</v>
      </c>
      <c r="I35" s="158" t="s">
        <v>99</v>
      </c>
      <c r="J35" s="787" t="s">
        <v>84</v>
      </c>
      <c r="K35" s="782" t="s">
        <v>23</v>
      </c>
      <c r="L35" s="41" t="s">
        <v>100</v>
      </c>
      <c r="M35" s="163" t="s">
        <v>62</v>
      </c>
      <c r="N35" s="74">
        <v>2021</v>
      </c>
      <c r="O35" s="156" t="s">
        <v>8</v>
      </c>
      <c r="P35" s="156" t="s">
        <v>55</v>
      </c>
      <c r="Q35" s="157" t="s">
        <v>54</v>
      </c>
      <c r="R35" s="71"/>
    </row>
    <row r="36" spans="1:37" ht="75">
      <c r="A36" s="832"/>
      <c r="B36" s="173"/>
      <c r="C36" s="861"/>
      <c r="D36" s="864"/>
      <c r="E36" s="867"/>
      <c r="F36" s="827"/>
      <c r="G36" s="871"/>
      <c r="H36" s="24" t="s">
        <v>92</v>
      </c>
      <c r="I36" s="155" t="s">
        <v>101</v>
      </c>
      <c r="J36" s="788"/>
      <c r="K36" s="783"/>
      <c r="L36" s="34" t="s">
        <v>66</v>
      </c>
      <c r="M36" s="168">
        <v>0</v>
      </c>
      <c r="N36" s="168">
        <v>2021</v>
      </c>
      <c r="O36" s="154" t="s">
        <v>8</v>
      </c>
      <c r="P36" s="154" t="s">
        <v>55</v>
      </c>
      <c r="Q36" s="153" t="s">
        <v>54</v>
      </c>
      <c r="R36" s="78"/>
    </row>
    <row r="37" spans="1:37" ht="14.45" customHeight="1">
      <c r="A37" s="857"/>
      <c r="B37" s="173"/>
      <c r="C37" s="861"/>
      <c r="D37" s="864"/>
      <c r="E37" s="867"/>
      <c r="F37" s="827"/>
      <c r="G37" s="871"/>
      <c r="H37" s="815" t="s">
        <v>94</v>
      </c>
      <c r="I37" s="874" t="s">
        <v>96</v>
      </c>
      <c r="J37" s="788"/>
      <c r="K37" s="783"/>
      <c r="L37" s="849" t="s">
        <v>66</v>
      </c>
      <c r="M37" s="846">
        <v>0</v>
      </c>
      <c r="N37" s="848" t="s">
        <v>8</v>
      </c>
      <c r="O37" s="848" t="s">
        <v>55</v>
      </c>
      <c r="P37" s="846" t="s">
        <v>55</v>
      </c>
      <c r="Q37" s="826" t="s">
        <v>54</v>
      </c>
      <c r="R37" s="829"/>
    </row>
    <row r="38" spans="1:37" ht="22.5" customHeight="1">
      <c r="A38" s="858"/>
      <c r="B38" s="173"/>
      <c r="C38" s="861"/>
      <c r="D38" s="864"/>
      <c r="E38" s="867"/>
      <c r="F38" s="827"/>
      <c r="G38" s="871"/>
      <c r="H38" s="873"/>
      <c r="I38" s="783"/>
      <c r="J38" s="788"/>
      <c r="K38" s="783"/>
      <c r="L38" s="850"/>
      <c r="M38" s="852"/>
      <c r="N38" s="854"/>
      <c r="O38" s="854"/>
      <c r="P38" s="852"/>
      <c r="Q38" s="827"/>
      <c r="R38" s="830"/>
    </row>
    <row r="39" spans="1:37" ht="27.75" customHeight="1">
      <c r="A39" s="832"/>
      <c r="B39" s="173"/>
      <c r="C39" s="861"/>
      <c r="D39" s="864"/>
      <c r="E39" s="867"/>
      <c r="F39" s="827"/>
      <c r="G39" s="871"/>
      <c r="H39" s="873"/>
      <c r="I39" s="783"/>
      <c r="J39" s="788"/>
      <c r="K39" s="783"/>
      <c r="L39" s="850"/>
      <c r="M39" s="852"/>
      <c r="N39" s="854"/>
      <c r="O39" s="854"/>
      <c r="P39" s="852"/>
      <c r="Q39" s="827"/>
      <c r="R39" s="830"/>
    </row>
    <row r="40" spans="1:37" ht="66.75" customHeight="1" thickBot="1">
      <c r="A40" s="859"/>
      <c r="B40" s="173"/>
      <c r="C40" s="862"/>
      <c r="D40" s="865"/>
      <c r="E40" s="868"/>
      <c r="F40" s="836"/>
      <c r="G40" s="872"/>
      <c r="H40" s="816"/>
      <c r="I40" s="784"/>
      <c r="J40" s="789"/>
      <c r="K40" s="784"/>
      <c r="L40" s="851"/>
      <c r="M40" s="853"/>
      <c r="N40" s="855"/>
      <c r="O40" s="855"/>
      <c r="P40" s="853"/>
      <c r="Q40" s="828"/>
      <c r="R40" s="831"/>
    </row>
    <row r="41" spans="1:37" customFormat="1" ht="112.15" customHeight="1">
      <c r="A41" s="752" t="s">
        <v>102</v>
      </c>
      <c r="B41" s="748">
        <f>F41</f>
        <v>126618185.41176471</v>
      </c>
      <c r="C41" s="755">
        <f>0.8*'Intervencijų lėšos (2)'!J3</f>
        <v>107625457.60000001</v>
      </c>
      <c r="D41" s="757" t="s">
        <v>137</v>
      </c>
      <c r="E41" s="760">
        <f>C41/0.85*0.15</f>
        <v>18992727.81176471</v>
      </c>
      <c r="F41" s="755">
        <f>C41+E41</f>
        <v>126618185.41176471</v>
      </c>
      <c r="G41" s="762">
        <f>F41</f>
        <v>126618185.41176471</v>
      </c>
      <c r="H41" s="265" t="s">
        <v>141</v>
      </c>
      <c r="I41" s="325" t="s">
        <v>183</v>
      </c>
      <c r="J41" s="757" t="s">
        <v>45</v>
      </c>
      <c r="K41" s="757" t="s">
        <v>41</v>
      </c>
      <c r="L41" s="325" t="s">
        <v>184</v>
      </c>
      <c r="M41" s="325" t="s">
        <v>8</v>
      </c>
      <c r="N41" s="325" t="s">
        <v>46</v>
      </c>
      <c r="O41" s="522">
        <f>P41*0.1</f>
        <v>158.2727317647059</v>
      </c>
      <c r="P41" s="522">
        <f>G41/80000</f>
        <v>1582.727317647059</v>
      </c>
      <c r="Q41" s="325" t="s">
        <v>34</v>
      </c>
      <c r="R41" s="541" t="s">
        <v>283</v>
      </c>
      <c r="S41" s="547" t="s">
        <v>310</v>
      </c>
      <c r="T41" s="238"/>
      <c r="U41" s="238"/>
      <c r="V41" s="238"/>
      <c r="W41" s="169"/>
      <c r="X41" s="169"/>
      <c r="Y41" s="169"/>
      <c r="Z41" s="169"/>
      <c r="AA41" s="169"/>
      <c r="AB41" s="11"/>
      <c r="AC41" s="11"/>
      <c r="AD41" s="11"/>
      <c r="AE41" s="11"/>
      <c r="AF41" s="11"/>
      <c r="AG41" s="11"/>
      <c r="AH41" s="11"/>
      <c r="AI41" s="11"/>
      <c r="AJ41" s="11"/>
      <c r="AK41" s="11"/>
    </row>
    <row r="42" spans="1:37" customFormat="1" ht="202.15" customHeight="1">
      <c r="A42" s="753"/>
      <c r="B42" s="749"/>
      <c r="C42" s="756"/>
      <c r="D42" s="758"/>
      <c r="E42" s="761"/>
      <c r="F42" s="756"/>
      <c r="G42" s="763"/>
      <c r="H42" s="216" t="s">
        <v>72</v>
      </c>
      <c r="I42" s="324" t="s">
        <v>82</v>
      </c>
      <c r="J42" s="798"/>
      <c r="K42" s="790"/>
      <c r="L42" s="267" t="s">
        <v>83</v>
      </c>
      <c r="M42" s="523">
        <f>6.21/1000*0.955</f>
        <v>5.9305499999999997E-3</v>
      </c>
      <c r="N42" s="326" t="s">
        <v>46</v>
      </c>
      <c r="O42" s="266" t="s">
        <v>8</v>
      </c>
      <c r="P42" s="523">
        <f>131.51/1000*0.955</f>
        <v>0.12559204999999998</v>
      </c>
      <c r="Q42" s="326" t="s">
        <v>34</v>
      </c>
      <c r="R42" s="542" t="s">
        <v>284</v>
      </c>
      <c r="S42" s="548" t="s">
        <v>311</v>
      </c>
      <c r="T42" s="238"/>
      <c r="U42" s="238"/>
      <c r="V42" s="238"/>
      <c r="W42" s="169"/>
      <c r="X42" s="169"/>
      <c r="Y42" s="169"/>
      <c r="Z42" s="169"/>
      <c r="AA42" s="169"/>
      <c r="AB42" s="11"/>
      <c r="AC42" s="11"/>
      <c r="AD42" s="11"/>
      <c r="AE42" s="11"/>
      <c r="AF42" s="11"/>
      <c r="AG42" s="11"/>
      <c r="AH42" s="11"/>
      <c r="AI42" s="11"/>
      <c r="AJ42" s="11"/>
      <c r="AK42" s="11"/>
    </row>
    <row r="43" spans="1:37" customFormat="1" ht="97.9" customHeight="1">
      <c r="A43" s="753"/>
      <c r="B43" s="770">
        <f>F43</f>
        <v>6023529.4117647056</v>
      </c>
      <c r="C43" s="764">
        <f>0.8*'Intervencijų lėšos (2)'!J4</f>
        <v>5120000</v>
      </c>
      <c r="D43" s="758"/>
      <c r="E43" s="766">
        <f>(C43*100/85)-C43</f>
        <v>903529.41176470555</v>
      </c>
      <c r="F43" s="768">
        <f>C43+E43</f>
        <v>6023529.4117647056</v>
      </c>
      <c r="G43" s="768">
        <f>F43</f>
        <v>6023529.4117647056</v>
      </c>
      <c r="H43" s="216" t="s">
        <v>138</v>
      </c>
      <c r="I43" s="326" t="s">
        <v>183</v>
      </c>
      <c r="J43" s="799" t="s">
        <v>84</v>
      </c>
      <c r="K43" s="791" t="s">
        <v>298</v>
      </c>
      <c r="L43" s="326" t="s">
        <v>184</v>
      </c>
      <c r="M43" s="326" t="s">
        <v>8</v>
      </c>
      <c r="N43" s="326" t="s">
        <v>46</v>
      </c>
      <c r="O43" s="126">
        <f>P43*0.1</f>
        <v>7.5294117647058831</v>
      </c>
      <c r="P43" s="126">
        <f>G43/80000</f>
        <v>75.294117647058826</v>
      </c>
      <c r="Q43" s="326" t="s">
        <v>34</v>
      </c>
      <c r="R43" s="543" t="s">
        <v>285</v>
      </c>
      <c r="S43" s="547" t="s">
        <v>309</v>
      </c>
      <c r="T43" s="238"/>
      <c r="U43" s="238"/>
      <c r="V43" s="238"/>
      <c r="W43" s="169"/>
      <c r="X43" s="169"/>
      <c r="Y43" s="169"/>
      <c r="Z43" s="169"/>
      <c r="AA43" s="169"/>
      <c r="AB43" s="11"/>
      <c r="AC43" s="11"/>
      <c r="AD43" s="11"/>
      <c r="AE43" s="11"/>
      <c r="AF43" s="11"/>
      <c r="AG43" s="11"/>
      <c r="AH43" s="11"/>
      <c r="AI43" s="11"/>
      <c r="AJ43" s="11"/>
      <c r="AK43" s="11"/>
    </row>
    <row r="44" spans="1:37" customFormat="1" ht="168.6" customHeight="1" thickBot="1">
      <c r="A44" s="754"/>
      <c r="B44" s="771"/>
      <c r="C44" s="765"/>
      <c r="D44" s="759"/>
      <c r="E44" s="767"/>
      <c r="F44" s="769"/>
      <c r="G44" s="769"/>
      <c r="H44" s="177" t="s">
        <v>57</v>
      </c>
      <c r="I44" s="327" t="s">
        <v>82</v>
      </c>
      <c r="J44" s="800"/>
      <c r="K44" s="759"/>
      <c r="L44" s="121" t="s">
        <v>83</v>
      </c>
      <c r="M44" s="524">
        <f>6.21/1000*0.045</f>
        <v>2.7944999999999999E-4</v>
      </c>
      <c r="N44" s="327" t="s">
        <v>46</v>
      </c>
      <c r="O44" s="330" t="s">
        <v>8</v>
      </c>
      <c r="P44" s="524">
        <f>131.51/1000*0.045</f>
        <v>5.9179499999999991E-3</v>
      </c>
      <c r="Q44" s="327" t="s">
        <v>34</v>
      </c>
      <c r="R44" s="544" t="s">
        <v>286</v>
      </c>
      <c r="S44" s="549" t="s">
        <v>282</v>
      </c>
      <c r="T44" s="238"/>
      <c r="U44" s="535"/>
      <c r="V44" s="331"/>
      <c r="W44" s="169"/>
      <c r="X44" s="169"/>
      <c r="Y44" s="169"/>
      <c r="Z44" s="169"/>
      <c r="AA44" s="169"/>
      <c r="AB44" s="11"/>
      <c r="AC44" s="11"/>
      <c r="AD44" s="11"/>
      <c r="AE44" s="11"/>
      <c r="AF44" s="11"/>
      <c r="AG44" s="11"/>
      <c r="AH44" s="11"/>
      <c r="AI44" s="11"/>
      <c r="AJ44" s="11"/>
      <c r="AK44" s="11"/>
    </row>
    <row r="45" spans="1:37" customFormat="1" ht="78" customHeight="1" thickBot="1">
      <c r="A45" s="779" t="s">
        <v>103</v>
      </c>
      <c r="B45" s="750">
        <f>F45</f>
        <v>31654546.352941178</v>
      </c>
      <c r="C45" s="792">
        <f>0.2*'Intervencijų lėšos (2)'!J3</f>
        <v>26906364.400000002</v>
      </c>
      <c r="D45" s="772" t="s">
        <v>137</v>
      </c>
      <c r="E45" s="750">
        <f>C45/0.85*0.15</f>
        <v>4748181.9529411774</v>
      </c>
      <c r="F45" s="792">
        <f>C45+E45</f>
        <v>31654546.352941178</v>
      </c>
      <c r="G45" s="792">
        <f>F45</f>
        <v>31654546.352941178</v>
      </c>
      <c r="H45" s="137" t="s">
        <v>72</v>
      </c>
      <c r="I45" s="165" t="s">
        <v>82</v>
      </c>
      <c r="J45" s="794" t="s">
        <v>45</v>
      </c>
      <c r="K45" s="796" t="s">
        <v>41</v>
      </c>
      <c r="L45" s="323" t="s">
        <v>83</v>
      </c>
      <c r="M45" s="165"/>
      <c r="N45" s="165" t="s">
        <v>46</v>
      </c>
      <c r="O45" s="320" t="s">
        <v>8</v>
      </c>
      <c r="P45" s="165"/>
      <c r="Q45" s="165" t="s">
        <v>34</v>
      </c>
      <c r="R45" s="545" t="s">
        <v>307</v>
      </c>
      <c r="S45" s="937" t="s">
        <v>308</v>
      </c>
      <c r="T45" s="238"/>
      <c r="U45" s="238"/>
      <c r="V45" s="238"/>
      <c r="W45" s="169"/>
      <c r="X45" s="169"/>
      <c r="Y45" s="169"/>
      <c r="Z45" s="169"/>
      <c r="AA45" s="169"/>
      <c r="AB45" s="11"/>
      <c r="AC45" s="11"/>
      <c r="AD45" s="11"/>
      <c r="AE45" s="11"/>
      <c r="AF45" s="11"/>
      <c r="AG45" s="11"/>
      <c r="AH45" s="11"/>
      <c r="AI45" s="11"/>
      <c r="AJ45" s="11"/>
      <c r="AK45" s="11"/>
    </row>
    <row r="46" spans="1:37" customFormat="1" ht="109.5" customHeight="1" thickBot="1">
      <c r="A46" s="780"/>
      <c r="B46" s="751"/>
      <c r="C46" s="793"/>
      <c r="D46" s="773"/>
      <c r="E46" s="751"/>
      <c r="F46" s="776"/>
      <c r="G46" s="793"/>
      <c r="H46" s="216" t="s">
        <v>52</v>
      </c>
      <c r="I46" s="326" t="s">
        <v>139</v>
      </c>
      <c r="J46" s="795"/>
      <c r="K46" s="797"/>
      <c r="L46" s="326" t="s">
        <v>300</v>
      </c>
      <c r="M46" s="328"/>
      <c r="N46" s="328"/>
      <c r="O46" s="321"/>
      <c r="P46" s="328"/>
      <c r="Q46" s="328" t="s">
        <v>34</v>
      </c>
      <c r="R46" s="545" t="s">
        <v>307</v>
      </c>
      <c r="S46" s="937"/>
      <c r="T46" s="238"/>
      <c r="U46" s="238"/>
      <c r="V46" s="238"/>
      <c r="W46" s="169"/>
      <c r="X46" s="169"/>
      <c r="Y46" s="169"/>
      <c r="Z46" s="169"/>
      <c r="AA46" s="169"/>
      <c r="AB46" s="11"/>
      <c r="AC46" s="11"/>
      <c r="AD46" s="11"/>
      <c r="AE46" s="11"/>
      <c r="AF46" s="11"/>
      <c r="AG46" s="11"/>
      <c r="AH46" s="11"/>
      <c r="AI46" s="11"/>
      <c r="AJ46" s="11"/>
      <c r="AK46" s="11"/>
    </row>
    <row r="47" spans="1:37" customFormat="1" ht="109.5" customHeight="1" thickBot="1">
      <c r="A47" s="780"/>
      <c r="B47" s="751">
        <f>F47</f>
        <v>1505882.3529411764</v>
      </c>
      <c r="C47" s="776">
        <f>0.2*'Intervencijų lėšos (2)'!J4</f>
        <v>1280000</v>
      </c>
      <c r="D47" s="773"/>
      <c r="E47" s="751">
        <f>C47/0.85*0.15</f>
        <v>225882.35294117648</v>
      </c>
      <c r="F47" s="776">
        <f>C47+E47</f>
        <v>1505882.3529411764</v>
      </c>
      <c r="G47" s="776">
        <f>F47</f>
        <v>1505882.3529411764</v>
      </c>
      <c r="H47" s="135" t="s">
        <v>72</v>
      </c>
      <c r="I47" s="328" t="s">
        <v>82</v>
      </c>
      <c r="J47" s="803" t="s">
        <v>84</v>
      </c>
      <c r="K47" s="801" t="s">
        <v>298</v>
      </c>
      <c r="L47" s="148" t="s">
        <v>83</v>
      </c>
      <c r="M47" s="328"/>
      <c r="N47" s="328"/>
      <c r="O47" s="321"/>
      <c r="P47" s="328"/>
      <c r="Q47" s="328" t="s">
        <v>34</v>
      </c>
      <c r="R47" s="545" t="s">
        <v>307</v>
      </c>
      <c r="S47" s="937"/>
      <c r="T47" s="238"/>
      <c r="U47" s="238"/>
      <c r="V47" s="238"/>
      <c r="W47" s="169"/>
      <c r="X47" s="169"/>
      <c r="Y47" s="169"/>
      <c r="Z47" s="169"/>
      <c r="AA47" s="169"/>
      <c r="AB47" s="11"/>
      <c r="AC47" s="11"/>
      <c r="AD47" s="11"/>
      <c r="AE47" s="11"/>
      <c r="AF47" s="11"/>
      <c r="AG47" s="11"/>
      <c r="AH47" s="11"/>
      <c r="AI47" s="11"/>
      <c r="AJ47" s="11"/>
      <c r="AK47" s="11"/>
    </row>
    <row r="48" spans="1:37" customFormat="1" ht="109.5" customHeight="1" thickBot="1">
      <c r="A48" s="781"/>
      <c r="B48" s="775"/>
      <c r="C48" s="778"/>
      <c r="D48" s="774"/>
      <c r="E48" s="775"/>
      <c r="F48" s="778"/>
      <c r="G48" s="777"/>
      <c r="H48" s="177" t="s">
        <v>52</v>
      </c>
      <c r="I48" s="327" t="s">
        <v>139</v>
      </c>
      <c r="J48" s="804"/>
      <c r="K48" s="802"/>
      <c r="L48" s="327" t="s">
        <v>299</v>
      </c>
      <c r="M48" s="167"/>
      <c r="N48" s="167"/>
      <c r="O48" s="322"/>
      <c r="P48" s="167"/>
      <c r="Q48" s="167" t="s">
        <v>34</v>
      </c>
      <c r="R48" s="546" t="s">
        <v>307</v>
      </c>
      <c r="S48" s="937"/>
      <c r="T48" s="238"/>
      <c r="U48" s="238"/>
      <c r="V48" s="238"/>
      <c r="W48" s="169"/>
      <c r="X48" s="169"/>
      <c r="Y48" s="169"/>
      <c r="Z48" s="169"/>
      <c r="AA48" s="169"/>
      <c r="AB48" s="11"/>
      <c r="AC48" s="11"/>
      <c r="AD48" s="11"/>
      <c r="AE48" s="11"/>
      <c r="AF48" s="11"/>
      <c r="AG48" s="11"/>
      <c r="AH48" s="11"/>
      <c r="AI48" s="11"/>
      <c r="AJ48" s="11"/>
      <c r="AK48" s="11"/>
    </row>
    <row r="49" spans="1:18" ht="75">
      <c r="A49" s="832" t="s">
        <v>104</v>
      </c>
      <c r="B49" s="171"/>
      <c r="C49" s="805">
        <v>46197043</v>
      </c>
      <c r="D49" s="834" t="s">
        <v>89</v>
      </c>
      <c r="E49" s="805">
        <v>11549260.699999999</v>
      </c>
      <c r="F49" s="836">
        <f>E49+(E49*0.3/0.7)</f>
        <v>16498943.857142856</v>
      </c>
      <c r="G49" s="837"/>
      <c r="H49" s="268" t="s">
        <v>93</v>
      </c>
      <c r="I49" s="260" t="s">
        <v>99</v>
      </c>
      <c r="J49" s="788" t="s">
        <v>84</v>
      </c>
      <c r="K49" s="783" t="s">
        <v>23</v>
      </c>
      <c r="L49" s="269" t="s">
        <v>100</v>
      </c>
      <c r="M49" s="26" t="s">
        <v>62</v>
      </c>
      <c r="N49" s="263">
        <v>2021</v>
      </c>
      <c r="O49" s="256" t="s">
        <v>8</v>
      </c>
      <c r="P49" s="256" t="s">
        <v>55</v>
      </c>
      <c r="Q49" s="254" t="s">
        <v>54</v>
      </c>
      <c r="R49" s="81"/>
    </row>
    <row r="50" spans="1:18" ht="75">
      <c r="A50" s="832"/>
      <c r="B50" s="171"/>
      <c r="C50" s="806"/>
      <c r="D50" s="835"/>
      <c r="E50" s="806"/>
      <c r="F50" s="813"/>
      <c r="G50" s="838"/>
      <c r="H50" s="117" t="s">
        <v>92</v>
      </c>
      <c r="I50" s="33" t="s">
        <v>101</v>
      </c>
      <c r="J50" s="788"/>
      <c r="K50" s="783"/>
      <c r="L50" s="34" t="s">
        <v>66</v>
      </c>
      <c r="M50" s="77">
        <v>0</v>
      </c>
      <c r="N50" s="77">
        <v>2021</v>
      </c>
      <c r="O50" s="29" t="s">
        <v>8</v>
      </c>
      <c r="P50" s="29" t="s">
        <v>55</v>
      </c>
      <c r="Q50" s="76" t="s">
        <v>54</v>
      </c>
      <c r="R50" s="72"/>
    </row>
    <row r="51" spans="1:18" ht="74.45" customHeight="1">
      <c r="A51" s="832"/>
      <c r="B51" s="171"/>
      <c r="C51" s="806"/>
      <c r="D51" s="835"/>
      <c r="E51" s="806"/>
      <c r="F51" s="813"/>
      <c r="G51" s="838"/>
      <c r="H51" s="920" t="s">
        <v>94</v>
      </c>
      <c r="I51" s="889" t="s">
        <v>96</v>
      </c>
      <c r="J51" s="788"/>
      <c r="K51" s="783"/>
      <c r="L51" s="844" t="s">
        <v>66</v>
      </c>
      <c r="M51" s="773">
        <v>0</v>
      </c>
      <c r="N51" s="847" t="s">
        <v>8</v>
      </c>
      <c r="O51" s="847" t="s">
        <v>55</v>
      </c>
      <c r="P51" s="773" t="s">
        <v>55</v>
      </c>
      <c r="Q51" s="813" t="s">
        <v>54</v>
      </c>
      <c r="R51" s="940"/>
    </row>
    <row r="52" spans="1:18" ht="15.75" thickBot="1">
      <c r="A52" s="832"/>
      <c r="B52" s="171"/>
      <c r="C52" s="806"/>
      <c r="D52" s="835"/>
      <c r="E52" s="806"/>
      <c r="F52" s="813"/>
      <c r="G52" s="838"/>
      <c r="H52" s="921"/>
      <c r="I52" s="846"/>
      <c r="J52" s="789"/>
      <c r="K52" s="784"/>
      <c r="L52" s="845"/>
      <c r="M52" s="846"/>
      <c r="N52" s="848"/>
      <c r="O52" s="848"/>
      <c r="P52" s="846"/>
      <c r="Q52" s="846"/>
      <c r="R52" s="941"/>
    </row>
    <row r="53" spans="1:18" ht="75">
      <c r="A53" s="832"/>
      <c r="B53" s="171"/>
      <c r="C53" s="807"/>
      <c r="D53" s="835" t="s">
        <v>90</v>
      </c>
      <c r="E53" s="806">
        <v>9239408.5999999996</v>
      </c>
      <c r="F53" s="813">
        <f>E53+(E53*0.3/0.7)</f>
        <v>13199155.142857142</v>
      </c>
      <c r="G53" s="838"/>
      <c r="H53" s="116" t="s">
        <v>92</v>
      </c>
      <c r="I53" s="31" t="s">
        <v>101</v>
      </c>
      <c r="J53" s="787" t="s">
        <v>84</v>
      </c>
      <c r="K53" s="782" t="s">
        <v>23</v>
      </c>
      <c r="L53" s="32" t="s">
        <v>66</v>
      </c>
      <c r="M53" s="74">
        <v>0</v>
      </c>
      <c r="N53" s="74">
        <v>2021</v>
      </c>
      <c r="O53" s="99" t="s">
        <v>8</v>
      </c>
      <c r="P53" s="99" t="s">
        <v>55</v>
      </c>
      <c r="Q53" s="75" t="s">
        <v>54</v>
      </c>
      <c r="R53" s="71"/>
    </row>
    <row r="54" spans="1:18" ht="75">
      <c r="A54" s="832"/>
      <c r="B54" s="171"/>
      <c r="C54" s="807"/>
      <c r="D54" s="835"/>
      <c r="E54" s="806"/>
      <c r="F54" s="813"/>
      <c r="G54" s="838"/>
      <c r="H54" s="117" t="s">
        <v>93</v>
      </c>
      <c r="I54" s="33" t="s">
        <v>99</v>
      </c>
      <c r="J54" s="788"/>
      <c r="K54" s="783"/>
      <c r="L54" s="98" t="s">
        <v>100</v>
      </c>
      <c r="M54" s="95" t="s">
        <v>62</v>
      </c>
      <c r="N54" s="77">
        <v>2021</v>
      </c>
      <c r="O54" s="29" t="s">
        <v>8</v>
      </c>
      <c r="P54" s="29" t="s">
        <v>55</v>
      </c>
      <c r="Q54" s="76" t="s">
        <v>54</v>
      </c>
      <c r="R54" s="72"/>
    </row>
    <row r="55" spans="1:18" ht="51.95" customHeight="1" thickBot="1">
      <c r="A55" s="832"/>
      <c r="B55" s="171"/>
      <c r="C55" s="807"/>
      <c r="D55" s="835"/>
      <c r="E55" s="806"/>
      <c r="F55" s="813"/>
      <c r="G55" s="838"/>
      <c r="H55" s="118" t="s">
        <v>94</v>
      </c>
      <c r="I55" s="44" t="s">
        <v>96</v>
      </c>
      <c r="J55" s="788"/>
      <c r="K55" s="783"/>
      <c r="L55" s="42" t="s">
        <v>66</v>
      </c>
      <c r="M55" s="77">
        <v>0</v>
      </c>
      <c r="N55" s="77">
        <v>2021</v>
      </c>
      <c r="O55" s="29" t="s">
        <v>55</v>
      </c>
      <c r="P55" s="27" t="s">
        <v>55</v>
      </c>
      <c r="Q55" s="76" t="s">
        <v>54</v>
      </c>
      <c r="R55" s="72"/>
    </row>
    <row r="56" spans="1:18" ht="45.75" thickBot="1">
      <c r="A56" s="832"/>
      <c r="B56" s="171"/>
      <c r="C56" s="807"/>
      <c r="D56" s="835"/>
      <c r="E56" s="806"/>
      <c r="F56" s="813"/>
      <c r="G56" s="838"/>
      <c r="H56" s="119" t="s">
        <v>72</v>
      </c>
      <c r="I56" s="45" t="s">
        <v>82</v>
      </c>
      <c r="J56" s="789"/>
      <c r="K56" s="784"/>
      <c r="L56" s="45" t="s">
        <v>83</v>
      </c>
      <c r="M56" s="129" t="s">
        <v>55</v>
      </c>
      <c r="N56" s="21">
        <v>2021</v>
      </c>
      <c r="O56" s="19" t="s">
        <v>8</v>
      </c>
      <c r="P56" s="19" t="s">
        <v>55</v>
      </c>
      <c r="Q56" s="73" t="s">
        <v>54</v>
      </c>
      <c r="R56" s="83"/>
    </row>
    <row r="57" spans="1:18" ht="75">
      <c r="A57" s="832"/>
      <c r="B57" s="171"/>
      <c r="C57" s="808"/>
      <c r="D57" s="835" t="s">
        <v>91</v>
      </c>
      <c r="E57" s="806">
        <v>11549260.699999999</v>
      </c>
      <c r="F57" s="813">
        <f>E57+(E57*0.3/0.7)</f>
        <v>16498943.857142856</v>
      </c>
      <c r="G57" s="841"/>
      <c r="H57" s="105" t="s">
        <v>93</v>
      </c>
      <c r="I57" s="106" t="s">
        <v>99</v>
      </c>
      <c r="J57" s="787" t="s">
        <v>84</v>
      </c>
      <c r="K57" s="782" t="s">
        <v>23</v>
      </c>
      <c r="L57" s="46" t="s">
        <v>100</v>
      </c>
      <c r="M57" s="94" t="s">
        <v>62</v>
      </c>
      <c r="N57" s="74">
        <v>2021</v>
      </c>
      <c r="O57" s="99" t="s">
        <v>8</v>
      </c>
      <c r="P57" s="99" t="s">
        <v>55</v>
      </c>
      <c r="Q57" s="75" t="s">
        <v>54</v>
      </c>
      <c r="R57" s="71"/>
    </row>
    <row r="58" spans="1:18" ht="75">
      <c r="A58" s="832"/>
      <c r="B58" s="171"/>
      <c r="C58" s="809"/>
      <c r="D58" s="835"/>
      <c r="E58" s="806"/>
      <c r="F58" s="813"/>
      <c r="G58" s="842"/>
      <c r="H58" s="103" t="s">
        <v>92</v>
      </c>
      <c r="I58" s="44" t="s">
        <v>101</v>
      </c>
      <c r="J58" s="788"/>
      <c r="K58" s="783"/>
      <c r="L58" s="42" t="s">
        <v>66</v>
      </c>
      <c r="M58" s="77">
        <v>0</v>
      </c>
      <c r="N58" s="77">
        <v>2021</v>
      </c>
      <c r="O58" s="29" t="s">
        <v>8</v>
      </c>
      <c r="P58" s="29" t="s">
        <v>55</v>
      </c>
      <c r="Q58" s="76" t="s">
        <v>54</v>
      </c>
      <c r="R58" s="72"/>
    </row>
    <row r="59" spans="1:18" ht="105.75" thickBot="1">
      <c r="A59" s="832"/>
      <c r="B59" s="171"/>
      <c r="C59" s="809"/>
      <c r="D59" s="835"/>
      <c r="E59" s="806"/>
      <c r="F59" s="813"/>
      <c r="G59" s="842"/>
      <c r="H59" s="103" t="s">
        <v>94</v>
      </c>
      <c r="I59" s="44" t="s">
        <v>96</v>
      </c>
      <c r="J59" s="788"/>
      <c r="K59" s="783"/>
      <c r="L59" s="42" t="s">
        <v>66</v>
      </c>
      <c r="M59" s="43">
        <v>0</v>
      </c>
      <c r="N59" s="77">
        <v>2021</v>
      </c>
      <c r="O59" s="29" t="s">
        <v>55</v>
      </c>
      <c r="P59" s="27" t="s">
        <v>55</v>
      </c>
      <c r="Q59" s="76" t="s">
        <v>54</v>
      </c>
      <c r="R59" s="72"/>
    </row>
    <row r="60" spans="1:18" ht="45.75" thickBot="1">
      <c r="A60" s="832"/>
      <c r="B60" s="171"/>
      <c r="C60" s="809"/>
      <c r="D60" s="839"/>
      <c r="E60" s="840"/>
      <c r="F60" s="826"/>
      <c r="G60" s="843"/>
      <c r="H60" s="104" t="s">
        <v>72</v>
      </c>
      <c r="I60" s="45" t="s">
        <v>82</v>
      </c>
      <c r="J60" s="789"/>
      <c r="K60" s="784"/>
      <c r="L60" s="45" t="s">
        <v>83</v>
      </c>
      <c r="M60" s="129" t="s">
        <v>55</v>
      </c>
      <c r="N60" s="21">
        <v>2021</v>
      </c>
      <c r="O60" s="19" t="s">
        <v>8</v>
      </c>
      <c r="P60" s="19" t="s">
        <v>55</v>
      </c>
      <c r="Q60" s="73" t="s">
        <v>54</v>
      </c>
      <c r="R60" s="83"/>
    </row>
    <row r="61" spans="1:18" ht="83.25" customHeight="1">
      <c r="A61" s="832"/>
      <c r="B61" s="171"/>
      <c r="C61" s="808"/>
      <c r="D61" s="811" t="s">
        <v>60</v>
      </c>
      <c r="E61" s="812">
        <v>13859112.9</v>
      </c>
      <c r="F61" s="813">
        <f>E61+(E61*0.3/0.7)</f>
        <v>19798732.714285716</v>
      </c>
      <c r="G61" s="814"/>
      <c r="H61" s="120" t="s">
        <v>93</v>
      </c>
      <c r="I61" s="106" t="s">
        <v>99</v>
      </c>
      <c r="J61" s="787" t="s">
        <v>84</v>
      </c>
      <c r="K61" s="782" t="s">
        <v>23</v>
      </c>
      <c r="L61" s="46" t="s">
        <v>100</v>
      </c>
      <c r="M61" s="94" t="s">
        <v>62</v>
      </c>
      <c r="N61" s="74">
        <v>2021</v>
      </c>
      <c r="O61" s="99" t="s">
        <v>8</v>
      </c>
      <c r="P61" s="99" t="s">
        <v>55</v>
      </c>
      <c r="Q61" s="75" t="s">
        <v>54</v>
      </c>
      <c r="R61" s="71"/>
    </row>
    <row r="62" spans="1:18" ht="71.45" customHeight="1">
      <c r="A62" s="832"/>
      <c r="B62" s="171"/>
      <c r="C62" s="809"/>
      <c r="D62" s="811"/>
      <c r="E62" s="812"/>
      <c r="F62" s="813"/>
      <c r="G62" s="814"/>
      <c r="H62" s="118" t="s">
        <v>92</v>
      </c>
      <c r="I62" s="44" t="s">
        <v>101</v>
      </c>
      <c r="J62" s="788"/>
      <c r="K62" s="783"/>
      <c r="L62" s="42" t="s">
        <v>66</v>
      </c>
      <c r="M62" s="77">
        <v>0</v>
      </c>
      <c r="N62" s="77">
        <v>2021</v>
      </c>
      <c r="O62" s="29" t="s">
        <v>8</v>
      </c>
      <c r="P62" s="29" t="s">
        <v>55</v>
      </c>
      <c r="Q62" s="76" t="s">
        <v>54</v>
      </c>
      <c r="R62" s="107"/>
    </row>
    <row r="63" spans="1:18" ht="71.45" customHeight="1" thickBot="1">
      <c r="A63" s="832"/>
      <c r="B63" s="171"/>
      <c r="C63" s="809"/>
      <c r="D63" s="773"/>
      <c r="E63" s="773"/>
      <c r="F63" s="773"/>
      <c r="G63" s="773"/>
      <c r="H63" s="118" t="s">
        <v>94</v>
      </c>
      <c r="I63" s="44" t="s">
        <v>96</v>
      </c>
      <c r="J63" s="788"/>
      <c r="K63" s="783"/>
      <c r="L63" s="42" t="s">
        <v>66</v>
      </c>
      <c r="M63" s="43">
        <v>0</v>
      </c>
      <c r="N63" s="77">
        <v>2021</v>
      </c>
      <c r="O63" s="29" t="s">
        <v>55</v>
      </c>
      <c r="P63" s="27" t="s">
        <v>55</v>
      </c>
      <c r="Q63" s="76" t="s">
        <v>54</v>
      </c>
      <c r="R63" s="48"/>
    </row>
    <row r="64" spans="1:18" ht="71.45" customHeight="1" thickBot="1">
      <c r="A64" s="833"/>
      <c r="B64" s="174"/>
      <c r="C64" s="825"/>
      <c r="D64" s="773"/>
      <c r="E64" s="773"/>
      <c r="F64" s="773"/>
      <c r="G64" s="773"/>
      <c r="H64" s="119" t="s">
        <v>72</v>
      </c>
      <c r="I64" s="45" t="s">
        <v>82</v>
      </c>
      <c r="J64" s="789"/>
      <c r="K64" s="784"/>
      <c r="L64" s="108" t="s">
        <v>83</v>
      </c>
      <c r="M64" s="129" t="s">
        <v>55</v>
      </c>
      <c r="N64" s="47">
        <v>2021</v>
      </c>
      <c r="O64" s="19" t="s">
        <v>8</v>
      </c>
      <c r="P64" s="19" t="s">
        <v>55</v>
      </c>
      <c r="Q64" s="73" t="s">
        <v>54</v>
      </c>
      <c r="R64" s="109"/>
    </row>
    <row r="65" spans="1:18" ht="60" customHeight="1">
      <c r="A65" s="815" t="s">
        <v>114</v>
      </c>
      <c r="B65" s="159"/>
      <c r="C65" s="817">
        <v>51971673.399999999</v>
      </c>
      <c r="D65" s="819" t="s">
        <v>76</v>
      </c>
      <c r="E65" s="817">
        <v>51971673.399999999</v>
      </c>
      <c r="F65" s="821">
        <f>E65+(E65*0.3/0.7)</f>
        <v>74245247.714285716</v>
      </c>
      <c r="G65" s="823"/>
      <c r="H65" s="110" t="s">
        <v>61</v>
      </c>
      <c r="I65" s="111" t="s">
        <v>77</v>
      </c>
      <c r="J65" s="938" t="s">
        <v>43</v>
      </c>
      <c r="K65" s="785" t="s">
        <v>16</v>
      </c>
      <c r="L65" s="112" t="s">
        <v>22</v>
      </c>
      <c r="M65" s="113">
        <v>0</v>
      </c>
      <c r="N65" s="113">
        <v>2021</v>
      </c>
      <c r="O65" s="113"/>
      <c r="P65" s="113"/>
      <c r="Q65" s="75" t="s">
        <v>54</v>
      </c>
      <c r="R65" s="114"/>
    </row>
    <row r="66" spans="1:18" ht="79.5" customHeight="1" thickBot="1">
      <c r="A66" s="816"/>
      <c r="B66" s="175"/>
      <c r="C66" s="818"/>
      <c r="D66" s="820"/>
      <c r="E66" s="818"/>
      <c r="F66" s="822"/>
      <c r="G66" s="824"/>
      <c r="H66" s="115" t="s">
        <v>61</v>
      </c>
      <c r="I66" s="52" t="s">
        <v>78</v>
      </c>
      <c r="J66" s="939"/>
      <c r="K66" s="786"/>
      <c r="L66" s="53" t="s">
        <v>79</v>
      </c>
      <c r="M66" s="51">
        <v>0</v>
      </c>
      <c r="N66" s="51">
        <v>2021</v>
      </c>
      <c r="O66" s="51"/>
      <c r="P66" s="51"/>
      <c r="Q66" s="82" t="s">
        <v>54</v>
      </c>
      <c r="R66" s="54"/>
    </row>
    <row r="67" spans="1:18">
      <c r="C67" s="200">
        <f>C41+C45</f>
        <v>134531822</v>
      </c>
      <c r="D67" s="85"/>
      <c r="E67" s="86"/>
      <c r="F67" s="87"/>
      <c r="G67" s="87"/>
      <c r="H67" s="55"/>
      <c r="I67" s="56"/>
      <c r="J67" s="56"/>
      <c r="K67" s="55"/>
      <c r="L67" s="88"/>
      <c r="P67" s="17"/>
    </row>
    <row r="68" spans="1:18">
      <c r="C68" s="200">
        <f>C41+C45</f>
        <v>134531822</v>
      </c>
      <c r="D68" s="85"/>
      <c r="E68" s="86"/>
      <c r="F68" s="87"/>
      <c r="G68" s="87"/>
      <c r="H68" s="55"/>
      <c r="I68" s="56"/>
      <c r="J68" s="56"/>
      <c r="K68" s="55"/>
    </row>
    <row r="69" spans="1:18">
      <c r="C69" s="200"/>
      <c r="D69" s="85"/>
      <c r="E69" s="86"/>
      <c r="F69" s="87"/>
      <c r="G69" s="87"/>
      <c r="H69" s="55"/>
      <c r="I69" s="56"/>
      <c r="J69" s="56"/>
      <c r="K69" s="55"/>
    </row>
    <row r="70" spans="1:18">
      <c r="A70" s="810"/>
      <c r="B70" s="89"/>
      <c r="C70" s="84"/>
      <c r="D70" s="85"/>
      <c r="E70" s="86"/>
      <c r="F70" s="87"/>
      <c r="G70" s="87"/>
      <c r="H70" s="55"/>
      <c r="I70" s="56"/>
      <c r="J70" s="56"/>
      <c r="K70" s="55"/>
    </row>
    <row r="71" spans="1:18">
      <c r="A71" s="810"/>
      <c r="B71" s="89"/>
      <c r="C71" s="84"/>
      <c r="D71" s="85"/>
      <c r="E71" s="86"/>
      <c r="F71" s="87"/>
      <c r="G71" s="87"/>
      <c r="H71" s="55"/>
      <c r="I71" s="56"/>
      <c r="J71" s="56"/>
      <c r="K71" s="55"/>
    </row>
    <row r="72" spans="1:18">
      <c r="A72" s="810"/>
      <c r="C72" s="84"/>
      <c r="D72" s="85"/>
      <c r="E72" s="86"/>
      <c r="F72" s="87"/>
      <c r="G72" s="87"/>
      <c r="H72" s="55"/>
      <c r="I72" s="56"/>
      <c r="J72" s="56"/>
      <c r="K72" s="55"/>
    </row>
    <row r="73" spans="1:18">
      <c r="A73" s="90"/>
      <c r="C73" s="84"/>
      <c r="D73" s="85"/>
      <c r="E73" s="86"/>
      <c r="F73" s="87"/>
      <c r="G73" s="87"/>
      <c r="H73" s="55"/>
      <c r="I73" s="56"/>
      <c r="J73" s="56"/>
      <c r="K73" s="55"/>
    </row>
    <row r="74" spans="1:18">
      <c r="A74" s="90"/>
      <c r="C74" s="84"/>
      <c r="D74" s="85"/>
      <c r="E74" s="86"/>
      <c r="F74" s="87"/>
      <c r="G74" s="87"/>
      <c r="H74" s="55"/>
      <c r="I74" s="56"/>
      <c r="J74" s="56"/>
      <c r="K74" s="55"/>
    </row>
    <row r="75" spans="1:18">
      <c r="C75" s="84"/>
      <c r="D75" s="85"/>
      <c r="E75" s="86"/>
      <c r="F75" s="87"/>
      <c r="G75" s="87"/>
      <c r="H75" s="55"/>
      <c r="I75" s="56"/>
      <c r="J75" s="56"/>
      <c r="K75" s="55"/>
    </row>
    <row r="76" spans="1:18">
      <c r="C76" s="84"/>
      <c r="D76" s="85"/>
      <c r="E76" s="86"/>
      <c r="F76" s="87"/>
      <c r="G76" s="87"/>
      <c r="H76" s="55"/>
      <c r="I76" s="56"/>
      <c r="J76" s="56"/>
      <c r="K76" s="55"/>
    </row>
    <row r="77" spans="1:18">
      <c r="A77" s="91"/>
      <c r="B77" s="92"/>
      <c r="C77" s="84"/>
      <c r="D77" s="85"/>
      <c r="E77" s="86"/>
      <c r="F77" s="87"/>
      <c r="G77" s="87"/>
      <c r="H77" s="55"/>
      <c r="I77" s="56"/>
      <c r="J77" s="56"/>
      <c r="K77" s="55"/>
    </row>
    <row r="78" spans="1:18" ht="45">
      <c r="A78" s="16" t="s">
        <v>5</v>
      </c>
      <c r="B78" s="30" t="s">
        <v>6</v>
      </c>
      <c r="C78" s="16" t="s">
        <v>1</v>
      </c>
      <c r="D78" s="16" t="s">
        <v>9</v>
      </c>
      <c r="E78" s="16" t="s">
        <v>15</v>
      </c>
      <c r="F78" s="16" t="s">
        <v>14</v>
      </c>
      <c r="G78" s="16" t="s">
        <v>10</v>
      </c>
      <c r="H78" s="16" t="s">
        <v>2</v>
      </c>
      <c r="I78" s="16" t="s">
        <v>3</v>
      </c>
      <c r="J78" s="56"/>
      <c r="K78" s="55"/>
    </row>
    <row r="79" spans="1:18" ht="60">
      <c r="A79" s="16" t="s">
        <v>57</v>
      </c>
      <c r="B79" s="30" t="s">
        <v>58</v>
      </c>
      <c r="C79" s="16" t="s">
        <v>80</v>
      </c>
      <c r="D79" s="57">
        <v>0</v>
      </c>
      <c r="E79" s="58" t="s">
        <v>50</v>
      </c>
      <c r="F79" s="16" t="s">
        <v>23</v>
      </c>
      <c r="G79" s="58">
        <v>2021</v>
      </c>
      <c r="H79" s="16"/>
      <c r="I79" s="16"/>
      <c r="J79" s="56"/>
      <c r="K79" s="55"/>
    </row>
    <row r="80" spans="1:18" ht="60">
      <c r="A80" s="15" t="s">
        <v>67</v>
      </c>
      <c r="B80" s="59" t="s">
        <v>65</v>
      </c>
      <c r="C80" s="25" t="s">
        <v>66</v>
      </c>
      <c r="D80" s="57">
        <v>0</v>
      </c>
      <c r="E80" s="58" t="s">
        <v>50</v>
      </c>
      <c r="F80" s="60" t="s">
        <v>23</v>
      </c>
      <c r="G80" s="58">
        <v>2021</v>
      </c>
      <c r="H80" s="60"/>
      <c r="I80" s="60"/>
      <c r="J80" s="17"/>
      <c r="K80" s="17"/>
    </row>
    <row r="81" spans="1:15" ht="75">
      <c r="A81" s="15" t="s">
        <v>64</v>
      </c>
      <c r="B81" s="59" t="s">
        <v>74</v>
      </c>
      <c r="C81" s="25" t="s">
        <v>56</v>
      </c>
      <c r="D81" s="58">
        <v>0</v>
      </c>
      <c r="E81" s="58" t="s">
        <v>50</v>
      </c>
      <c r="F81" s="58" t="s">
        <v>23</v>
      </c>
      <c r="G81" s="60">
        <v>2021</v>
      </c>
      <c r="H81" s="60"/>
      <c r="I81" s="60"/>
      <c r="J81" s="93"/>
      <c r="K81" s="17"/>
    </row>
    <row r="82" spans="1:15" ht="30">
      <c r="A82" s="15" t="s">
        <v>68</v>
      </c>
      <c r="B82" s="59" t="s">
        <v>75</v>
      </c>
      <c r="C82" s="25" t="s">
        <v>66</v>
      </c>
      <c r="D82" s="58">
        <v>0</v>
      </c>
      <c r="E82" s="58" t="s">
        <v>50</v>
      </c>
      <c r="F82" s="58" t="s">
        <v>23</v>
      </c>
      <c r="G82" s="60">
        <v>2021</v>
      </c>
      <c r="H82" s="60"/>
      <c r="I82" s="60"/>
      <c r="J82" s="93"/>
      <c r="K82" s="93"/>
    </row>
    <row r="83" spans="1:15" ht="45">
      <c r="A83" s="18" t="s">
        <v>69</v>
      </c>
      <c r="B83" s="61" t="s">
        <v>70</v>
      </c>
      <c r="C83" s="38" t="s">
        <v>70</v>
      </c>
      <c r="D83" s="62">
        <v>0</v>
      </c>
      <c r="E83" s="62" t="s">
        <v>50</v>
      </c>
      <c r="F83" s="62" t="s">
        <v>23</v>
      </c>
      <c r="G83" s="63">
        <v>2021</v>
      </c>
      <c r="H83" s="28" t="s">
        <v>62</v>
      </c>
      <c r="I83" s="63"/>
      <c r="J83" s="93"/>
      <c r="K83" s="17"/>
      <c r="N83" s="14"/>
      <c r="O83" s="14"/>
    </row>
    <row r="84" spans="1:15" ht="45">
      <c r="A84" s="49" t="s">
        <v>61</v>
      </c>
      <c r="B84" s="64" t="s">
        <v>77</v>
      </c>
      <c r="C84" s="65" t="s">
        <v>22</v>
      </c>
      <c r="D84" s="66">
        <v>0</v>
      </c>
      <c r="E84" s="50" t="s">
        <v>59</v>
      </c>
      <c r="F84" s="67" t="s">
        <v>16</v>
      </c>
      <c r="G84" s="9">
        <v>2021</v>
      </c>
      <c r="H84" s="49"/>
      <c r="I84" s="49"/>
      <c r="J84" s="93"/>
      <c r="K84" s="17"/>
      <c r="N84" s="14"/>
      <c r="O84" s="14"/>
    </row>
    <row r="85" spans="1:15" ht="45">
      <c r="A85" s="49" t="s">
        <v>61</v>
      </c>
      <c r="B85" s="64" t="s">
        <v>78</v>
      </c>
      <c r="C85" s="65" t="s">
        <v>79</v>
      </c>
      <c r="D85" s="9">
        <v>0</v>
      </c>
      <c r="E85" s="9" t="s">
        <v>59</v>
      </c>
      <c r="F85" s="49" t="s">
        <v>16</v>
      </c>
      <c r="G85" s="49">
        <v>2021</v>
      </c>
      <c r="H85" s="50"/>
      <c r="I85" s="68"/>
      <c r="J85" s="93"/>
      <c r="K85" s="17"/>
      <c r="N85" s="14"/>
      <c r="O85" s="14"/>
    </row>
    <row r="86" spans="1:15" ht="60">
      <c r="A86" s="248" t="s">
        <v>72</v>
      </c>
      <c r="B86" s="246" t="s">
        <v>58</v>
      </c>
      <c r="C86" s="247" t="s">
        <v>80</v>
      </c>
      <c r="D86" s="332">
        <f>M42+M45</f>
        <v>5.9305499999999997E-3</v>
      </c>
      <c r="E86" s="270" t="s">
        <v>59</v>
      </c>
      <c r="F86" s="262" t="s">
        <v>41</v>
      </c>
      <c r="G86" s="264">
        <v>2021</v>
      </c>
      <c r="H86" s="262" t="s">
        <v>8</v>
      </c>
      <c r="I86" s="275">
        <f>P42+P45</f>
        <v>0.12559204999999998</v>
      </c>
      <c r="J86" s="773" t="s">
        <v>35</v>
      </c>
      <c r="K86" s="17"/>
      <c r="N86" s="14"/>
      <c r="O86" s="14"/>
    </row>
    <row r="87" spans="1:15" ht="60">
      <c r="A87" s="248" t="s">
        <v>72</v>
      </c>
      <c r="B87" s="249" t="s">
        <v>58</v>
      </c>
      <c r="C87" s="250" t="s">
        <v>80</v>
      </c>
      <c r="D87" s="332">
        <f>M44+M47</f>
        <v>2.7944999999999999E-4</v>
      </c>
      <c r="E87" s="270" t="s">
        <v>50</v>
      </c>
      <c r="F87" s="262" t="s">
        <v>23</v>
      </c>
      <c r="G87" s="264">
        <v>2021</v>
      </c>
      <c r="H87" s="262" t="s">
        <v>8</v>
      </c>
      <c r="I87" s="275">
        <f>P44+P47</f>
        <v>5.9179499999999991E-3</v>
      </c>
      <c r="J87" s="773"/>
      <c r="K87" s="17"/>
      <c r="N87" s="14"/>
      <c r="O87" s="14"/>
    </row>
    <row r="88" spans="1:15" ht="60">
      <c r="A88" s="248" t="s">
        <v>138</v>
      </c>
      <c r="B88" s="261" t="s">
        <v>183</v>
      </c>
      <c r="C88" s="261" t="s">
        <v>184</v>
      </c>
      <c r="D88" s="259" t="s">
        <v>8</v>
      </c>
      <c r="E88" s="262" t="s">
        <v>50</v>
      </c>
      <c r="F88" s="262" t="s">
        <v>41</v>
      </c>
      <c r="G88" s="264">
        <v>2021</v>
      </c>
      <c r="H88" s="245">
        <f>O41</f>
        <v>158.2727317647059</v>
      </c>
      <c r="I88" s="245">
        <f>P41</f>
        <v>1582.727317647059</v>
      </c>
      <c r="J88" s="773"/>
      <c r="K88" s="17"/>
      <c r="N88" s="14"/>
      <c r="O88" s="14"/>
    </row>
    <row r="89" spans="1:15" ht="60">
      <c r="A89" s="248" t="s">
        <v>138</v>
      </c>
      <c r="B89" s="255" t="s">
        <v>183</v>
      </c>
      <c r="C89" s="255" t="s">
        <v>184</v>
      </c>
      <c r="D89" s="259" t="s">
        <v>8</v>
      </c>
      <c r="E89" s="262" t="s">
        <v>50</v>
      </c>
      <c r="F89" s="262" t="s">
        <v>23</v>
      </c>
      <c r="G89" s="264">
        <v>2021</v>
      </c>
      <c r="H89" s="245">
        <f>O43</f>
        <v>7.5294117647058831</v>
      </c>
      <c r="I89" s="245">
        <f>P43</f>
        <v>75.294117647058826</v>
      </c>
      <c r="J89" s="773"/>
      <c r="K89" s="17"/>
      <c r="N89" s="14"/>
      <c r="O89" s="14"/>
    </row>
    <row r="90" spans="1:15" ht="90">
      <c r="A90" s="248" t="s">
        <v>52</v>
      </c>
      <c r="B90" s="258" t="s">
        <v>139</v>
      </c>
      <c r="C90" s="257" t="s">
        <v>140</v>
      </c>
      <c r="D90" s="259" t="s">
        <v>8</v>
      </c>
      <c r="E90" s="262" t="s">
        <v>50</v>
      </c>
      <c r="F90" s="262" t="s">
        <v>23</v>
      </c>
      <c r="G90" s="264">
        <v>2021</v>
      </c>
      <c r="H90" s="259" t="str">
        <f>O45</f>
        <v>n/a</v>
      </c>
      <c r="I90" s="245">
        <f>P46</f>
        <v>0</v>
      </c>
      <c r="J90" s="773"/>
      <c r="K90" s="17"/>
      <c r="N90" s="14"/>
      <c r="O90" s="14"/>
    </row>
    <row r="91" spans="1:15" ht="90">
      <c r="A91" s="248" t="s">
        <v>52</v>
      </c>
      <c r="B91" s="227" t="s">
        <v>139</v>
      </c>
      <c r="C91" s="229" t="s">
        <v>140</v>
      </c>
      <c r="D91" s="259" t="s">
        <v>8</v>
      </c>
      <c r="E91" s="262" t="s">
        <v>50</v>
      </c>
      <c r="F91" s="262" t="s">
        <v>23</v>
      </c>
      <c r="G91" s="264">
        <v>2021</v>
      </c>
      <c r="H91" s="259">
        <f>O46</f>
        <v>0</v>
      </c>
      <c r="I91" s="245">
        <f>P48</f>
        <v>0</v>
      </c>
      <c r="J91" s="773"/>
      <c r="K91" s="17"/>
      <c r="N91" s="14"/>
      <c r="O91" s="14"/>
    </row>
    <row r="92" spans="1:15">
      <c r="A92" s="17"/>
      <c r="B92" s="243"/>
      <c r="C92" s="242"/>
      <c r="D92" s="271"/>
      <c r="E92" s="272"/>
      <c r="F92" s="272"/>
      <c r="G92" s="273"/>
      <c r="H92" s="274"/>
      <c r="I92" s="274"/>
      <c r="J92" s="17"/>
      <c r="K92" s="17"/>
      <c r="N92" s="14"/>
      <c r="O92" s="14"/>
    </row>
    <row r="93" spans="1:15">
      <c r="A93" s="17"/>
      <c r="B93" s="243"/>
      <c r="C93" s="242"/>
      <c r="D93" s="271"/>
      <c r="E93" s="272"/>
      <c r="F93" s="272"/>
      <c r="G93" s="273"/>
      <c r="H93" s="274"/>
      <c r="I93" s="274"/>
      <c r="J93" s="17"/>
      <c r="K93" s="17"/>
      <c r="N93" s="14"/>
      <c r="O93" s="14"/>
    </row>
    <row r="94" spans="1:15">
      <c r="A94" s="17"/>
      <c r="B94" s="243"/>
      <c r="C94" s="240"/>
      <c r="D94" s="12"/>
      <c r="E94" s="244"/>
      <c r="F94" s="236"/>
      <c r="G94" s="241"/>
      <c r="H94" s="13"/>
      <c r="I94" s="13"/>
      <c r="J94" s="17"/>
      <c r="K94" s="17"/>
      <c r="N94" s="14"/>
      <c r="O94" s="14"/>
    </row>
    <row r="95" spans="1:15">
      <c r="A95" s="17"/>
      <c r="B95" s="243"/>
      <c r="C95" s="240"/>
      <c r="D95" s="12"/>
      <c r="E95" s="244"/>
      <c r="F95" s="236"/>
      <c r="G95" s="241"/>
      <c r="H95" s="13"/>
      <c r="I95" s="13"/>
      <c r="J95" s="17"/>
      <c r="K95" s="17"/>
      <c r="N95" s="14"/>
      <c r="O95" s="14"/>
    </row>
    <row r="96" spans="1:15">
      <c r="A96" s="17"/>
      <c r="B96" s="243"/>
      <c r="C96" s="240"/>
      <c r="D96" s="12"/>
      <c r="E96" s="244"/>
      <c r="F96" s="236"/>
      <c r="G96" s="241"/>
      <c r="H96" s="13"/>
      <c r="I96" s="13"/>
      <c r="J96" s="17"/>
      <c r="K96" s="17"/>
      <c r="N96" s="14"/>
      <c r="O96" s="14"/>
    </row>
    <row r="97" spans="1:15">
      <c r="A97" s="17"/>
      <c r="B97" s="243"/>
      <c r="C97" s="122"/>
      <c r="D97" s="12"/>
      <c r="E97" s="244"/>
      <c r="F97" s="236"/>
      <c r="G97" s="241"/>
      <c r="H97" s="13"/>
      <c r="I97" s="13"/>
      <c r="J97" s="17"/>
      <c r="K97" s="17"/>
      <c r="N97" s="14"/>
      <c r="O97" s="14"/>
    </row>
    <row r="98" spans="1:15">
      <c r="A98" s="17"/>
      <c r="B98" s="243"/>
      <c r="C98" s="241"/>
      <c r="D98" s="241"/>
      <c r="E98" s="241"/>
      <c r="F98" s="241"/>
      <c r="G98" s="241"/>
      <c r="H98" s="241"/>
      <c r="I98" s="241"/>
      <c r="J98" s="17"/>
      <c r="K98" s="17"/>
      <c r="N98" s="14"/>
      <c r="O98" s="14"/>
    </row>
    <row r="99" spans="1:15">
      <c r="A99" s="17"/>
      <c r="B99" s="243"/>
      <c r="C99" s="241"/>
      <c r="D99" s="241"/>
      <c r="E99" s="241"/>
      <c r="F99" s="241"/>
      <c r="G99" s="241"/>
      <c r="H99" s="241"/>
      <c r="I99" s="241"/>
      <c r="J99" s="17"/>
      <c r="K99" s="17"/>
      <c r="N99" s="14"/>
      <c r="O99" s="14"/>
    </row>
    <row r="100" spans="1:15">
      <c r="A100" s="17"/>
      <c r="B100" s="89"/>
      <c r="C100" s="91"/>
      <c r="D100" s="91"/>
      <c r="E100" s="91"/>
      <c r="F100" s="91"/>
      <c r="G100" s="91"/>
      <c r="H100" s="91"/>
      <c r="I100" s="91"/>
      <c r="J100" s="17"/>
      <c r="K100" s="17"/>
      <c r="N100" s="14"/>
      <c r="O100" s="14"/>
    </row>
    <row r="101" spans="1:15">
      <c r="A101" s="17"/>
      <c r="B101" s="89"/>
      <c r="C101" s="17"/>
      <c r="D101" s="17"/>
      <c r="E101" s="17"/>
      <c r="F101" s="17"/>
      <c r="G101" s="17"/>
      <c r="H101" s="17"/>
      <c r="I101" s="17"/>
      <c r="J101" s="17"/>
      <c r="K101" s="17"/>
      <c r="N101" s="14"/>
      <c r="O101" s="14"/>
    </row>
    <row r="102" spans="1:15">
      <c r="A102" s="17"/>
      <c r="B102" s="89"/>
      <c r="C102" s="17"/>
      <c r="D102" s="17"/>
      <c r="E102" s="17"/>
      <c r="F102" s="17"/>
      <c r="G102" s="17"/>
      <c r="H102" s="17"/>
      <c r="I102" s="17"/>
      <c r="J102" s="17"/>
      <c r="K102" s="17"/>
      <c r="N102" s="14"/>
      <c r="O102" s="14"/>
    </row>
    <row r="103" spans="1:15">
      <c r="A103" s="17"/>
      <c r="B103" s="89"/>
      <c r="C103" s="93"/>
      <c r="D103" s="17"/>
      <c r="E103" s="17"/>
      <c r="F103" s="17"/>
      <c r="G103" s="17"/>
      <c r="H103" s="17"/>
      <c r="I103" s="17"/>
      <c r="J103" s="17"/>
      <c r="K103" s="17"/>
      <c r="N103" s="14"/>
      <c r="O103" s="14"/>
    </row>
    <row r="104" spans="1:15">
      <c r="A104" s="17"/>
      <c r="B104" s="89"/>
      <c r="C104" s="17"/>
      <c r="D104" s="17"/>
      <c r="E104" s="17"/>
      <c r="F104" s="17"/>
      <c r="G104" s="17"/>
      <c r="H104" s="17"/>
      <c r="I104" s="17"/>
      <c r="J104" s="17"/>
      <c r="K104" s="17"/>
      <c r="N104" s="14"/>
      <c r="O104" s="14"/>
    </row>
    <row r="105" spans="1:15">
      <c r="A105" s="17"/>
      <c r="B105" s="89"/>
      <c r="C105" s="93"/>
      <c r="D105" s="17"/>
      <c r="E105" s="17"/>
      <c r="F105" s="17"/>
      <c r="G105" s="17"/>
      <c r="H105" s="17"/>
      <c r="I105" s="17"/>
      <c r="N105" s="14"/>
      <c r="O105" s="14"/>
    </row>
    <row r="106" spans="1:15">
      <c r="A106" s="17"/>
      <c r="B106" s="89"/>
      <c r="C106" s="17"/>
      <c r="D106" s="17"/>
      <c r="E106" s="17"/>
      <c r="F106" s="17"/>
      <c r="G106" s="17"/>
      <c r="H106" s="17"/>
      <c r="I106" s="17"/>
      <c r="N106" s="14"/>
      <c r="O106" s="14"/>
    </row>
    <row r="107" spans="1:15">
      <c r="A107" s="17"/>
      <c r="B107" s="89"/>
      <c r="C107" s="17"/>
      <c r="D107" s="17"/>
      <c r="E107" s="17"/>
      <c r="F107" s="17"/>
      <c r="G107" s="17"/>
      <c r="H107" s="17"/>
      <c r="I107" s="17"/>
      <c r="N107" s="14"/>
      <c r="O107" s="14"/>
    </row>
    <row r="108" spans="1:15">
      <c r="A108" s="17"/>
      <c r="B108" s="89"/>
      <c r="C108" s="17"/>
      <c r="D108" s="17"/>
      <c r="E108" s="17"/>
      <c r="F108" s="17"/>
      <c r="G108" s="17"/>
      <c r="H108" s="17"/>
      <c r="I108" s="17"/>
      <c r="N108" s="14"/>
      <c r="O108" s="14"/>
    </row>
    <row r="109" spans="1:15">
      <c r="A109" s="17"/>
      <c r="B109" s="89"/>
      <c r="C109" s="17"/>
      <c r="D109" s="17"/>
      <c r="E109" s="17"/>
      <c r="F109" s="17"/>
      <c r="G109" s="17"/>
      <c r="H109" s="17"/>
      <c r="I109" s="17"/>
      <c r="N109" s="14"/>
      <c r="O109" s="14"/>
    </row>
    <row r="110" spans="1:15">
      <c r="A110" s="17"/>
      <c r="B110" s="89"/>
      <c r="C110" s="17"/>
      <c r="D110" s="17"/>
      <c r="E110" s="17"/>
      <c r="F110" s="17"/>
      <c r="G110" s="17"/>
      <c r="H110" s="17"/>
      <c r="I110" s="17"/>
      <c r="N110" s="14"/>
      <c r="O110" s="14"/>
    </row>
    <row r="111" spans="1:15">
      <c r="A111" s="17"/>
      <c r="B111" s="89"/>
      <c r="C111" s="17"/>
      <c r="D111" s="17"/>
      <c r="E111" s="17"/>
      <c r="F111" s="17"/>
      <c r="G111" s="17"/>
      <c r="H111" s="17"/>
      <c r="I111" s="17"/>
      <c r="N111" s="14"/>
      <c r="O111" s="14"/>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48"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1"/>
  <sheetViews>
    <sheetView topLeftCell="A6" zoomScale="55" zoomScaleNormal="55" workbookViewId="0">
      <selection activeCell="P42" sqref="P42"/>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30" bestFit="1" customWidth="1"/>
    <col min="22" max="23" width="8.85546875" style="130"/>
    <col min="24" max="24" width="10.42578125" bestFit="1" customWidth="1"/>
  </cols>
  <sheetData>
    <row r="1" spans="1:37">
      <c r="A1" s="10" t="s">
        <v>12</v>
      </c>
      <c r="L1" s="146" t="s">
        <v>130</v>
      </c>
    </row>
    <row r="2" spans="1:37">
      <c r="A2" t="s">
        <v>105</v>
      </c>
    </row>
    <row r="3" spans="1:37">
      <c r="A3" t="s">
        <v>106</v>
      </c>
    </row>
    <row r="4" spans="1:37" ht="15.75" thickBot="1">
      <c r="A4" s="10" t="s">
        <v>35</v>
      </c>
    </row>
    <row r="5" spans="1:37" ht="15" customHeight="1">
      <c r="A5" s="975" t="s">
        <v>0</v>
      </c>
      <c r="B5" s="912" t="s">
        <v>132</v>
      </c>
      <c r="C5" s="918" t="s">
        <v>133</v>
      </c>
      <c r="D5" s="970" t="s">
        <v>4</v>
      </c>
      <c r="E5" s="970"/>
      <c r="F5" s="970"/>
      <c r="G5" s="973" t="s">
        <v>18</v>
      </c>
      <c r="H5" s="971" t="s">
        <v>145</v>
      </c>
      <c r="I5" s="971"/>
      <c r="J5" s="970" t="s">
        <v>15</v>
      </c>
      <c r="K5" s="970" t="s">
        <v>14</v>
      </c>
      <c r="L5" s="970" t="s">
        <v>1</v>
      </c>
      <c r="M5" s="970" t="s">
        <v>146</v>
      </c>
      <c r="N5" s="970"/>
      <c r="O5" s="973" t="s">
        <v>2</v>
      </c>
      <c r="P5" s="970" t="s">
        <v>3</v>
      </c>
      <c r="Q5" s="970" t="s">
        <v>147</v>
      </c>
      <c r="R5" s="968" t="s">
        <v>148</v>
      </c>
      <c r="S5" s="169"/>
      <c r="T5" s="169"/>
      <c r="U5" s="238"/>
      <c r="V5" s="238"/>
      <c r="W5" s="238"/>
      <c r="X5" s="169"/>
      <c r="Y5" s="169"/>
      <c r="Z5" s="169"/>
      <c r="AA5" s="169"/>
      <c r="AB5" s="11"/>
      <c r="AC5" s="11"/>
      <c r="AD5" s="11"/>
      <c r="AE5" s="11"/>
      <c r="AF5" s="11"/>
      <c r="AG5" s="11"/>
      <c r="AH5" s="11"/>
      <c r="AI5" s="11"/>
      <c r="AJ5" s="11"/>
      <c r="AK5" s="11"/>
    </row>
    <row r="6" spans="1:37" ht="84" customHeight="1" thickBot="1">
      <c r="A6" s="976"/>
      <c r="B6" s="913"/>
      <c r="C6" s="919"/>
      <c r="D6" s="181" t="s">
        <v>7</v>
      </c>
      <c r="E6" s="182" t="s">
        <v>17</v>
      </c>
      <c r="F6" s="183" t="s">
        <v>149</v>
      </c>
      <c r="G6" s="974"/>
      <c r="H6" s="181" t="s">
        <v>5</v>
      </c>
      <c r="I6" s="181" t="s">
        <v>6</v>
      </c>
      <c r="J6" s="972"/>
      <c r="K6" s="972"/>
      <c r="L6" s="972"/>
      <c r="M6" s="181" t="s">
        <v>150</v>
      </c>
      <c r="N6" s="181" t="s">
        <v>151</v>
      </c>
      <c r="O6" s="974"/>
      <c r="P6" s="972"/>
      <c r="Q6" s="972"/>
      <c r="R6" s="969"/>
      <c r="S6" s="169"/>
      <c r="T6" s="169"/>
      <c r="U6" s="238"/>
      <c r="V6" s="238"/>
      <c r="W6" s="238"/>
      <c r="X6" s="169"/>
      <c r="Y6" s="169"/>
      <c r="Z6" s="169"/>
      <c r="AA6" s="169"/>
      <c r="AB6" s="11"/>
      <c r="AC6" s="11"/>
      <c r="AD6" s="11"/>
      <c r="AE6" s="11"/>
      <c r="AF6" s="11"/>
      <c r="AG6" s="11"/>
      <c r="AH6" s="11"/>
      <c r="AI6" s="11"/>
      <c r="AJ6" s="11"/>
      <c r="AK6" s="11"/>
    </row>
    <row r="7" spans="1:37" ht="115.15" customHeight="1">
      <c r="A7" s="959" t="s">
        <v>105</v>
      </c>
      <c r="B7" s="957">
        <f>F7</f>
        <v>143212698.82352942</v>
      </c>
      <c r="C7" s="947">
        <f>'Intervencijų lėšos (2)'!J5</f>
        <v>121730794</v>
      </c>
      <c r="D7" s="962" t="s">
        <v>157</v>
      </c>
      <c r="E7" s="965">
        <f>C7/0.85*0.15</f>
        <v>21481904.823529411</v>
      </c>
      <c r="F7" s="947">
        <f>C7+E7</f>
        <v>143212698.82352942</v>
      </c>
      <c r="G7" s="947">
        <f>F7</f>
        <v>143212698.82352942</v>
      </c>
      <c r="H7" s="137" t="s">
        <v>72</v>
      </c>
      <c r="I7" s="138" t="s">
        <v>82</v>
      </c>
      <c r="J7" s="977" t="s">
        <v>84</v>
      </c>
      <c r="K7" s="980" t="s">
        <v>298</v>
      </c>
      <c r="L7" s="165" t="s">
        <v>181</v>
      </c>
      <c r="M7" s="319">
        <f>60.96/1000</f>
        <v>6.096E-2</v>
      </c>
      <c r="N7" s="165" t="s">
        <v>46</v>
      </c>
      <c r="O7" s="279" t="s">
        <v>8</v>
      </c>
      <c r="P7" s="319">
        <f>223.54/1000</f>
        <v>0.22353999999999999</v>
      </c>
      <c r="Q7" s="165" t="s">
        <v>34</v>
      </c>
      <c r="R7" s="502" t="s">
        <v>189</v>
      </c>
      <c r="S7" s="536" t="s">
        <v>294</v>
      </c>
      <c r="T7" s="169"/>
      <c r="U7" s="238"/>
      <c r="V7" s="238"/>
      <c r="W7" s="238"/>
      <c r="X7" s="169"/>
      <c r="Y7" s="169"/>
      <c r="Z7" s="169"/>
      <c r="AA7" s="169"/>
      <c r="AB7" s="11"/>
      <c r="AC7" s="11"/>
      <c r="AD7" s="11"/>
      <c r="AE7" s="11"/>
      <c r="AF7" s="11"/>
      <c r="AG7" s="11"/>
      <c r="AH7" s="11"/>
      <c r="AI7" s="11"/>
      <c r="AJ7" s="11"/>
      <c r="AK7" s="11"/>
    </row>
    <row r="8" spans="1:37" ht="88.9" customHeight="1">
      <c r="A8" s="960"/>
      <c r="B8" s="958"/>
      <c r="C8" s="948"/>
      <c r="D8" s="963"/>
      <c r="E8" s="966"/>
      <c r="F8" s="948"/>
      <c r="G8" s="948"/>
      <c r="H8" s="235" t="s">
        <v>52</v>
      </c>
      <c r="I8" s="166" t="s">
        <v>287</v>
      </c>
      <c r="J8" s="978"/>
      <c r="K8" s="963"/>
      <c r="L8" s="166" t="s">
        <v>300</v>
      </c>
      <c r="M8" s="166" t="s">
        <v>8</v>
      </c>
      <c r="N8" s="278" t="s">
        <v>46</v>
      </c>
      <c r="O8" s="131">
        <f>P8*0.1</f>
        <v>5.1000000000000005</v>
      </c>
      <c r="P8" s="131">
        <f>ROUND(G7*0.67/1900000,0)</f>
        <v>51</v>
      </c>
      <c r="Q8" s="166" t="s">
        <v>34</v>
      </c>
      <c r="R8" s="503" t="s">
        <v>289</v>
      </c>
      <c r="S8" s="537" t="s">
        <v>291</v>
      </c>
      <c r="T8" s="525"/>
      <c r="U8" s="238"/>
      <c r="V8" s="238"/>
      <c r="W8" s="238"/>
      <c r="X8" s="169"/>
      <c r="Y8" s="169"/>
      <c r="Z8" s="169"/>
      <c r="AA8" s="169"/>
      <c r="AB8" s="11"/>
      <c r="AC8" s="11"/>
      <c r="AD8" s="11"/>
      <c r="AE8" s="11"/>
      <c r="AF8" s="11"/>
      <c r="AG8" s="11"/>
      <c r="AH8" s="11"/>
      <c r="AI8" s="11"/>
      <c r="AJ8" s="11"/>
      <c r="AK8" s="11"/>
    </row>
    <row r="9" spans="1:37" ht="78.599999999999994" customHeight="1" thickBot="1">
      <c r="A9" s="961"/>
      <c r="B9" s="822"/>
      <c r="C9" s="949"/>
      <c r="D9" s="964"/>
      <c r="E9" s="967"/>
      <c r="F9" s="949"/>
      <c r="G9" s="949"/>
      <c r="H9" s="230" t="s">
        <v>52</v>
      </c>
      <c r="I9" s="184" t="s">
        <v>288</v>
      </c>
      <c r="J9" s="979"/>
      <c r="K9" s="964"/>
      <c r="L9" s="184" t="s">
        <v>300</v>
      </c>
      <c r="M9" s="184" t="s">
        <v>8</v>
      </c>
      <c r="N9" s="277" t="s">
        <v>46</v>
      </c>
      <c r="O9" s="526">
        <f>P9*0.1</f>
        <v>2.5</v>
      </c>
      <c r="P9" s="527">
        <f>ROUND(G7*0.33/1900000,0)</f>
        <v>25</v>
      </c>
      <c r="Q9" s="184" t="s">
        <v>34</v>
      </c>
      <c r="R9" s="528" t="s">
        <v>290</v>
      </c>
      <c r="S9" s="537" t="s">
        <v>292</v>
      </c>
      <c r="T9" s="525"/>
      <c r="U9" s="238"/>
      <c r="V9" s="238"/>
      <c r="W9" s="238"/>
      <c r="X9" s="169"/>
      <c r="Y9" s="169"/>
      <c r="Z9" s="169"/>
      <c r="AA9" s="169"/>
      <c r="AB9" s="11"/>
      <c r="AC9" s="11"/>
      <c r="AD9" s="11"/>
      <c r="AE9" s="11"/>
      <c r="AF9" s="11"/>
      <c r="AG9" s="11"/>
      <c r="AH9" s="11"/>
      <c r="AI9" s="11"/>
      <c r="AJ9" s="11"/>
      <c r="AK9" s="11"/>
    </row>
    <row r="10" spans="1:37" ht="91.15" customHeight="1" thickBot="1">
      <c r="A10" s="959" t="s">
        <v>106</v>
      </c>
      <c r="B10" s="957">
        <f>F10</f>
        <v>53764705.882352941</v>
      </c>
      <c r="C10" s="957">
        <v>45700000</v>
      </c>
      <c r="D10" s="962" t="s">
        <v>158</v>
      </c>
      <c r="E10" s="965">
        <f>C10/0.85*0.15</f>
        <v>8064705.8823529407</v>
      </c>
      <c r="F10" s="957">
        <f>C10+E10</f>
        <v>53764705.882352941</v>
      </c>
      <c r="G10" s="957">
        <f>F10</f>
        <v>53764705.882352941</v>
      </c>
      <c r="H10" s="165" t="s">
        <v>152</v>
      </c>
      <c r="I10" s="165" t="s">
        <v>177</v>
      </c>
      <c r="J10" s="977" t="s">
        <v>84</v>
      </c>
      <c r="K10" s="980" t="s">
        <v>298</v>
      </c>
      <c r="L10" s="138" t="s">
        <v>180</v>
      </c>
      <c r="M10" s="165" t="s">
        <v>8</v>
      </c>
      <c r="N10" s="138" t="s">
        <v>46</v>
      </c>
      <c r="O10" s="196">
        <f>P10*0.1</f>
        <v>990</v>
      </c>
      <c r="P10" s="138" t="s">
        <v>182</v>
      </c>
      <c r="Q10" s="165" t="s">
        <v>34</v>
      </c>
      <c r="R10" s="179" t="s">
        <v>185</v>
      </c>
      <c r="S10" s="538" t="s">
        <v>293</v>
      </c>
      <c r="T10" s="180"/>
      <c r="U10" s="238"/>
      <c r="V10" s="238"/>
      <c r="W10" s="238"/>
      <c r="X10" s="169"/>
      <c r="Y10" s="169"/>
      <c r="Z10" s="169"/>
      <c r="AA10" s="169"/>
      <c r="AB10" s="11"/>
      <c r="AC10" s="11"/>
      <c r="AD10" s="11"/>
      <c r="AE10" s="11"/>
      <c r="AF10" s="11"/>
      <c r="AG10" s="11"/>
      <c r="AH10" s="11"/>
      <c r="AI10" s="11"/>
      <c r="AJ10" s="11"/>
      <c r="AK10" s="11"/>
    </row>
    <row r="11" spans="1:37" ht="72" customHeight="1">
      <c r="A11" s="960"/>
      <c r="B11" s="958"/>
      <c r="C11" s="958"/>
      <c r="D11" s="963"/>
      <c r="E11" s="966"/>
      <c r="F11" s="958"/>
      <c r="G11" s="958"/>
      <c r="H11" s="166" t="s">
        <v>72</v>
      </c>
      <c r="I11" s="235" t="s">
        <v>82</v>
      </c>
      <c r="J11" s="978"/>
      <c r="K11" s="852"/>
      <c r="L11" s="165" t="s">
        <v>181</v>
      </c>
      <c r="M11" s="185" t="s">
        <v>42</v>
      </c>
      <c r="N11" s="136" t="s">
        <v>46</v>
      </c>
      <c r="O11" s="186" t="s">
        <v>8</v>
      </c>
      <c r="P11" s="529">
        <f>99*0.005/1000</f>
        <v>4.95E-4</v>
      </c>
      <c r="Q11" s="166" t="s">
        <v>34</v>
      </c>
      <c r="R11" s="199" t="s">
        <v>190</v>
      </c>
      <c r="S11" s="539" t="s">
        <v>295</v>
      </c>
      <c r="T11" s="180"/>
      <c r="U11" s="238"/>
      <c r="V11" s="238"/>
      <c r="W11" s="238"/>
      <c r="X11" s="169"/>
      <c r="Y11" s="169"/>
      <c r="Z11" s="169"/>
      <c r="AA11" s="169"/>
      <c r="AB11" s="11"/>
      <c r="AC11" s="11"/>
      <c r="AD11" s="11"/>
      <c r="AE11" s="11"/>
      <c r="AF11" s="11"/>
      <c r="AG11" s="11"/>
      <c r="AH11" s="11"/>
      <c r="AI11" s="11"/>
      <c r="AJ11" s="11"/>
      <c r="AK11" s="11"/>
    </row>
    <row r="12" spans="1:37" ht="103.15" customHeight="1" thickBot="1">
      <c r="A12" s="960"/>
      <c r="B12" s="958"/>
      <c r="C12" s="981"/>
      <c r="D12" s="982"/>
      <c r="E12" s="983"/>
      <c r="F12" s="981"/>
      <c r="G12" s="981"/>
      <c r="H12" s="136" t="s">
        <v>153</v>
      </c>
      <c r="I12" s="234" t="s">
        <v>178</v>
      </c>
      <c r="J12" s="979"/>
      <c r="K12" s="904"/>
      <c r="L12" s="136" t="s">
        <v>179</v>
      </c>
      <c r="M12" s="136" t="s">
        <v>42</v>
      </c>
      <c r="N12" s="136" t="s">
        <v>46</v>
      </c>
      <c r="O12" s="530" t="s">
        <v>8</v>
      </c>
      <c r="P12" s="317">
        <f>39013*99</f>
        <v>3862287</v>
      </c>
      <c r="Q12" s="136" t="s">
        <v>297</v>
      </c>
      <c r="R12" s="318" t="s">
        <v>301</v>
      </c>
      <c r="S12" s="540" t="s">
        <v>305</v>
      </c>
      <c r="T12" s="169"/>
      <c r="U12" s="238"/>
      <c r="V12" s="238"/>
      <c r="W12" s="238"/>
      <c r="X12" s="238"/>
      <c r="Y12" s="169"/>
      <c r="Z12" s="169"/>
      <c r="AA12" s="169"/>
      <c r="AB12" s="11"/>
      <c r="AC12" s="11"/>
      <c r="AD12" s="11"/>
      <c r="AE12" s="11"/>
      <c r="AF12" s="11"/>
      <c r="AG12" s="11"/>
      <c r="AH12" s="11"/>
      <c r="AI12" s="11"/>
      <c r="AJ12" s="11"/>
      <c r="AK12" s="11"/>
    </row>
    <row r="13" spans="1:37" ht="42" hidden="1" customHeight="1">
      <c r="A13" s="960"/>
      <c r="B13" s="197"/>
      <c r="C13" s="950">
        <f>'[1]Intervencijų lėšos'!I8</f>
        <v>10000000</v>
      </c>
      <c r="D13" s="952" t="s">
        <v>137</v>
      </c>
      <c r="E13" s="954">
        <f>(C13*100/70)-C13</f>
        <v>4285714.2857142854</v>
      </c>
      <c r="F13" s="956">
        <f>C13+E13</f>
        <v>14285714.285714285</v>
      </c>
      <c r="G13" s="188">
        <f>F13</f>
        <v>14285714.285714285</v>
      </c>
      <c r="H13" s="189" t="s">
        <v>57</v>
      </c>
      <c r="I13" s="189" t="s">
        <v>58</v>
      </c>
      <c r="J13" s="190" t="s">
        <v>120</v>
      </c>
      <c r="K13" s="190" t="s">
        <v>23</v>
      </c>
      <c r="L13" s="189" t="s">
        <v>80</v>
      </c>
      <c r="M13" s="189"/>
      <c r="N13" s="189"/>
      <c r="O13" s="191"/>
      <c r="P13" s="189"/>
      <c r="Q13" s="189" t="s">
        <v>34</v>
      </c>
      <c r="R13" s="187"/>
      <c r="S13" s="169"/>
      <c r="T13" s="169"/>
      <c r="U13" s="238"/>
      <c r="V13" s="238"/>
      <c r="W13" s="238"/>
      <c r="X13" s="169"/>
      <c r="Y13" s="169"/>
      <c r="Z13" s="169"/>
      <c r="AA13" s="169"/>
      <c r="AB13" s="11"/>
      <c r="AC13" s="11"/>
      <c r="AD13" s="11"/>
      <c r="AE13" s="11"/>
      <c r="AF13" s="11"/>
      <c r="AG13" s="11"/>
      <c r="AH13" s="11"/>
      <c r="AI13" s="11"/>
      <c r="AJ13" s="11"/>
      <c r="AK13" s="11"/>
    </row>
    <row r="14" spans="1:37" ht="35.450000000000003" hidden="1" customHeight="1">
      <c r="A14" s="961"/>
      <c r="B14" s="198"/>
      <c r="C14" s="951"/>
      <c r="D14" s="953"/>
      <c r="E14" s="955"/>
      <c r="F14" s="951"/>
      <c r="G14" s="192"/>
      <c r="H14" s="193"/>
      <c r="I14" s="193"/>
      <c r="J14" s="193"/>
      <c r="K14" s="193"/>
      <c r="L14" s="193"/>
      <c r="M14" s="193"/>
      <c r="N14" s="193"/>
      <c r="O14" s="194"/>
      <c r="P14" s="193"/>
      <c r="Q14" s="193" t="s">
        <v>34</v>
      </c>
      <c r="R14" s="195"/>
      <c r="S14" s="169"/>
      <c r="T14" s="169"/>
      <c r="U14" s="238"/>
      <c r="V14" s="238"/>
      <c r="W14" s="238"/>
      <c r="X14" s="169"/>
      <c r="Y14" s="169"/>
      <c r="Z14" s="169"/>
      <c r="AA14" s="169"/>
      <c r="AB14" s="11"/>
      <c r="AC14" s="11"/>
      <c r="AD14" s="11"/>
      <c r="AE14" s="11"/>
      <c r="AF14" s="11"/>
      <c r="AG14" s="11"/>
      <c r="AH14" s="11"/>
      <c r="AI14" s="11"/>
      <c r="AJ14" s="11"/>
      <c r="AK14" s="11"/>
    </row>
    <row r="15" spans="1:37">
      <c r="B15" s="130"/>
      <c r="C15" s="130">
        <f>C10+C7</f>
        <v>167430794</v>
      </c>
    </row>
    <row r="16" spans="1:37">
      <c r="C16" s="130"/>
    </row>
    <row r="17" spans="1:22">
      <c r="C17" s="130">
        <f>C7+C10</f>
        <v>167430794</v>
      </c>
    </row>
    <row r="20" spans="1:22" s="14" customFormat="1" ht="45">
      <c r="A20" s="223" t="s">
        <v>5</v>
      </c>
      <c r="B20" s="30" t="s">
        <v>6</v>
      </c>
      <c r="C20" s="223" t="s">
        <v>1</v>
      </c>
      <c r="D20" s="223" t="s">
        <v>9</v>
      </c>
      <c r="E20" s="223" t="s">
        <v>15</v>
      </c>
      <c r="F20" s="223" t="s">
        <v>14</v>
      </c>
      <c r="G20" s="223" t="s">
        <v>10</v>
      </c>
      <c r="H20" s="223" t="s">
        <v>2</v>
      </c>
      <c r="I20" s="223" t="s">
        <v>3</v>
      </c>
      <c r="J20" s="56"/>
      <c r="K20" s="55"/>
      <c r="N20" s="69"/>
      <c r="O20" s="69"/>
      <c r="T20" s="201"/>
      <c r="U20" s="201"/>
      <c r="V20" s="201"/>
    </row>
    <row r="21" spans="1:22" s="14" customFormat="1" ht="60">
      <c r="A21" s="236" t="s">
        <v>72</v>
      </c>
      <c r="B21" s="249" t="s">
        <v>58</v>
      </c>
      <c r="C21" s="250" t="s">
        <v>80</v>
      </c>
      <c r="D21" s="176">
        <f>M7+M11</f>
        <v>6.096E-2</v>
      </c>
      <c r="E21" s="58" t="s">
        <v>50</v>
      </c>
      <c r="F21" s="233" t="s">
        <v>23</v>
      </c>
      <c r="G21" s="236">
        <v>2021</v>
      </c>
      <c r="H21" s="236" t="s">
        <v>8</v>
      </c>
      <c r="I21" s="275">
        <f>P7+P11</f>
        <v>0.22403499999999998</v>
      </c>
      <c r="J21" s="773" t="s">
        <v>35</v>
      </c>
      <c r="K21" s="17"/>
      <c r="S21" s="14" t="s">
        <v>279</v>
      </c>
      <c r="T21" s="201"/>
      <c r="U21" s="201"/>
      <c r="V21" s="201"/>
    </row>
    <row r="22" spans="1:22" s="14" customFormat="1" ht="45">
      <c r="A22" s="235" t="s">
        <v>52</v>
      </c>
      <c r="B22" s="235" t="s">
        <v>142</v>
      </c>
      <c r="C22" s="235" t="s">
        <v>140</v>
      </c>
      <c r="D22" s="228" t="s">
        <v>8</v>
      </c>
      <c r="E22" s="236" t="s">
        <v>50</v>
      </c>
      <c r="F22" s="236" t="s">
        <v>23</v>
      </c>
      <c r="G22" s="236">
        <v>2021</v>
      </c>
      <c r="H22" s="245">
        <f t="shared" ref="H22:I24" si="0">O8</f>
        <v>5.1000000000000005</v>
      </c>
      <c r="I22" s="245">
        <f t="shared" si="0"/>
        <v>51</v>
      </c>
      <c r="J22" s="773"/>
      <c r="K22" s="17"/>
      <c r="T22" s="201"/>
      <c r="U22" s="201"/>
      <c r="V22" s="201"/>
    </row>
    <row r="23" spans="1:22" s="14" customFormat="1" ht="70.900000000000006" customHeight="1">
      <c r="A23" s="235" t="s">
        <v>52</v>
      </c>
      <c r="B23" s="235" t="s">
        <v>143</v>
      </c>
      <c r="C23" s="229" t="s">
        <v>140</v>
      </c>
      <c r="D23" s="228" t="s">
        <v>8</v>
      </c>
      <c r="E23" s="236" t="s">
        <v>50</v>
      </c>
      <c r="F23" s="236" t="s">
        <v>23</v>
      </c>
      <c r="G23" s="236">
        <v>2021</v>
      </c>
      <c r="H23" s="245">
        <f t="shared" si="0"/>
        <v>2.5</v>
      </c>
      <c r="I23" s="245">
        <f t="shared" si="0"/>
        <v>25</v>
      </c>
      <c r="J23" s="773"/>
      <c r="K23" s="17"/>
      <c r="T23" s="201"/>
      <c r="U23" s="201"/>
      <c r="V23" s="201"/>
    </row>
    <row r="24" spans="1:22" s="14" customFormat="1" ht="75">
      <c r="A24" s="235" t="s">
        <v>152</v>
      </c>
      <c r="B24" s="235" t="s">
        <v>177</v>
      </c>
      <c r="C24" s="226" t="s">
        <v>180</v>
      </c>
      <c r="D24" s="228" t="str">
        <f>M10</f>
        <v>n/a</v>
      </c>
      <c r="E24" s="236" t="s">
        <v>50</v>
      </c>
      <c r="F24" s="236" t="s">
        <v>23</v>
      </c>
      <c r="G24" s="236">
        <v>2021</v>
      </c>
      <c r="H24" s="245">
        <f t="shared" si="0"/>
        <v>990</v>
      </c>
      <c r="I24" s="245" t="str">
        <f t="shared" si="0"/>
        <v>9900</v>
      </c>
      <c r="J24" s="773"/>
      <c r="K24" s="17"/>
      <c r="T24" s="201"/>
      <c r="U24" s="201"/>
      <c r="V24" s="201"/>
    </row>
    <row r="25" spans="1:22" ht="60">
      <c r="A25" s="235" t="s">
        <v>153</v>
      </c>
      <c r="B25" s="235" t="s">
        <v>178</v>
      </c>
      <c r="C25" s="235" t="s">
        <v>179</v>
      </c>
      <c r="D25" s="225" t="str">
        <f>M12</f>
        <v>0</v>
      </c>
      <c r="E25" s="222" t="s">
        <v>50</v>
      </c>
      <c r="F25" s="222" t="s">
        <v>23</v>
      </c>
      <c r="G25" s="222">
        <v>2021</v>
      </c>
      <c r="H25" s="150" t="str">
        <f>O12</f>
        <v>n/a</v>
      </c>
      <c r="I25" s="150">
        <f>P12</f>
        <v>3862287</v>
      </c>
      <c r="J25" s="773"/>
    </row>
    <row r="26" spans="1:22">
      <c r="A26" s="3"/>
      <c r="B26" s="3"/>
      <c r="C26" s="3"/>
      <c r="D26" s="4"/>
      <c r="E26" s="3"/>
      <c r="F26" s="3"/>
      <c r="G26" s="3"/>
      <c r="H26" s="3"/>
      <c r="I26" s="3"/>
      <c r="J26" s="773"/>
    </row>
    <row r="27" spans="1:22">
      <c r="A27" s="3"/>
      <c r="B27" s="3"/>
      <c r="C27" s="3"/>
      <c r="D27" s="4"/>
      <c r="E27" s="3"/>
      <c r="F27" s="3"/>
      <c r="G27" s="3"/>
      <c r="H27" s="3"/>
      <c r="I27" s="3"/>
      <c r="J27" s="773"/>
    </row>
    <row r="28" spans="1:22">
      <c r="A28" s="3"/>
      <c r="B28" s="3"/>
      <c r="C28" s="3"/>
      <c r="D28" s="4"/>
      <c r="E28" s="3"/>
      <c r="F28" s="3"/>
      <c r="G28" s="3"/>
      <c r="H28" s="3"/>
      <c r="I28" s="3"/>
      <c r="J28" s="773"/>
    </row>
    <row r="29" spans="1:22">
      <c r="A29" s="3"/>
      <c r="B29" s="3"/>
      <c r="C29" s="3"/>
      <c r="D29" s="4"/>
      <c r="E29" s="3"/>
      <c r="F29" s="3"/>
      <c r="G29" s="3"/>
      <c r="H29" s="3"/>
      <c r="I29" s="3"/>
      <c r="J29" s="773"/>
    </row>
    <row r="30" spans="1:22">
      <c r="A30" s="3"/>
      <c r="B30" s="3"/>
      <c r="C30" s="3"/>
      <c r="D30" s="4"/>
      <c r="E30" s="3"/>
      <c r="F30" s="3"/>
      <c r="G30" s="3"/>
      <c r="H30" s="3"/>
      <c r="I30" s="3"/>
      <c r="J30" s="773"/>
    </row>
    <row r="31" spans="1:22">
      <c r="A31" s="3"/>
      <c r="B31" s="3"/>
      <c r="C31" s="3"/>
      <c r="D31" s="4"/>
      <c r="E31" s="3"/>
      <c r="F31" s="3"/>
      <c r="G31" s="3"/>
      <c r="H31" s="3"/>
      <c r="I31" s="3"/>
      <c r="J31" s="773"/>
    </row>
    <row r="32" spans="1:22">
      <c r="A32" s="3"/>
      <c r="B32" s="3"/>
      <c r="C32" s="3"/>
      <c r="D32" s="4"/>
      <c r="E32" s="3"/>
      <c r="F32" s="3"/>
      <c r="G32" s="3"/>
      <c r="H32" s="3"/>
      <c r="I32" s="3"/>
      <c r="J32" s="773"/>
    </row>
    <row r="33" spans="4:4">
      <c r="D33" s="130"/>
    </row>
    <row r="34" spans="4:4">
      <c r="D34" s="130"/>
    </row>
    <row r="35" spans="4:4">
      <c r="D35" s="130"/>
    </row>
    <row r="36" spans="4:4">
      <c r="D36" s="130"/>
    </row>
    <row r="37" spans="4:4">
      <c r="D37" s="130"/>
    </row>
    <row r="38" spans="4:4">
      <c r="D38" s="130"/>
    </row>
    <row r="39" spans="4:4">
      <c r="D39" s="130"/>
    </row>
    <row r="40" spans="4:4">
      <c r="D40" s="130"/>
    </row>
    <row r="41" spans="4:4">
      <c r="D41" s="130"/>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140625" customWidth="1"/>
    <col min="9" max="9" width="19.42578125" customWidth="1"/>
    <col min="10" max="10" width="12.7109375" customWidth="1"/>
    <col min="11" max="11" width="13.28515625" customWidth="1"/>
    <col min="12" max="12" width="12.42578125" customWidth="1"/>
    <col min="13" max="13" width="14.140625" customWidth="1"/>
    <col min="14" max="14" width="11.42578125" customWidth="1"/>
    <col min="15" max="15" width="17.7109375" customWidth="1"/>
    <col min="16" max="16" width="20.85546875" style="286" customWidth="1"/>
    <col min="17" max="17" width="33.140625" customWidth="1"/>
    <col min="18" max="18" width="51.85546875" customWidth="1"/>
    <col min="19" max="19" width="52.7109375" customWidth="1"/>
    <col min="20" max="20" width="68" customWidth="1"/>
  </cols>
  <sheetData>
    <row r="1" spans="1:20">
      <c r="A1" s="10" t="s">
        <v>13</v>
      </c>
      <c r="E1" s="146" t="s">
        <v>131</v>
      </c>
    </row>
    <row r="2" spans="1:20">
      <c r="A2" t="s">
        <v>107</v>
      </c>
    </row>
    <row r="3" spans="1:20" ht="15.75" thickBot="1">
      <c r="A3" t="s">
        <v>35</v>
      </c>
    </row>
    <row r="4" spans="1:20" ht="15" customHeight="1">
      <c r="A4" s="917" t="s">
        <v>24</v>
      </c>
      <c r="B4" s="912" t="s">
        <v>132</v>
      </c>
      <c r="C4" s="918" t="s">
        <v>133</v>
      </c>
      <c r="D4" s="927" t="s">
        <v>4</v>
      </c>
      <c r="E4" s="1028"/>
      <c r="F4" s="929"/>
      <c r="G4" s="917" t="s">
        <v>18</v>
      </c>
      <c r="H4" s="1029" t="s">
        <v>19</v>
      </c>
      <c r="I4" s="1030"/>
      <c r="J4" s="922" t="s">
        <v>31</v>
      </c>
      <c r="K4" s="914" t="s">
        <v>38</v>
      </c>
      <c r="L4" s="922" t="s">
        <v>32</v>
      </c>
      <c r="M4" s="927" t="s">
        <v>26</v>
      </c>
      <c r="N4" s="929"/>
      <c r="O4" s="922" t="s">
        <v>29</v>
      </c>
      <c r="P4" s="1039" t="s">
        <v>30</v>
      </c>
      <c r="Q4" s="922" t="s">
        <v>39</v>
      </c>
      <c r="R4" s="924" t="s">
        <v>40</v>
      </c>
    </row>
    <row r="5" spans="1:20" ht="30.75" thickBot="1">
      <c r="A5" s="1018"/>
      <c r="B5" s="913"/>
      <c r="C5" s="919"/>
      <c r="D5" s="1" t="s">
        <v>7</v>
      </c>
      <c r="E5" s="6" t="s">
        <v>17</v>
      </c>
      <c r="F5" s="5" t="s">
        <v>25</v>
      </c>
      <c r="G5" s="1018"/>
      <c r="H5" s="1" t="s">
        <v>44</v>
      </c>
      <c r="I5" s="2" t="s">
        <v>51</v>
      </c>
      <c r="J5" s="913"/>
      <c r="K5" s="1041"/>
      <c r="L5" s="913"/>
      <c r="M5" s="2" t="s">
        <v>27</v>
      </c>
      <c r="N5" s="2" t="s">
        <v>48</v>
      </c>
      <c r="O5" s="913"/>
      <c r="P5" s="1040"/>
      <c r="Q5" s="1044"/>
      <c r="R5" s="1045"/>
    </row>
    <row r="6" spans="1:20" ht="116.45" customHeight="1">
      <c r="A6" s="959" t="s">
        <v>107</v>
      </c>
      <c r="B6" s="998">
        <f>F6</f>
        <v>14009564.705882352</v>
      </c>
      <c r="C6" s="1008">
        <v>11908130</v>
      </c>
      <c r="D6" s="757" t="s">
        <v>161</v>
      </c>
      <c r="E6" s="998">
        <f>C6/0.85*0.15</f>
        <v>2101434.7058823528</v>
      </c>
      <c r="F6" s="1024">
        <f>C6+E6</f>
        <v>14009564.705882352</v>
      </c>
      <c r="G6" s="1015">
        <f>F6</f>
        <v>14009564.705882352</v>
      </c>
      <c r="H6" s="302" t="s">
        <v>159</v>
      </c>
      <c r="I6" s="284" t="s">
        <v>173</v>
      </c>
      <c r="J6" s="1036" t="s">
        <v>45</v>
      </c>
      <c r="K6" s="757" t="s">
        <v>41</v>
      </c>
      <c r="L6" s="304" t="s">
        <v>81</v>
      </c>
      <c r="M6" s="284" t="s">
        <v>42</v>
      </c>
      <c r="N6" s="496" t="s">
        <v>271</v>
      </c>
      <c r="O6" s="305">
        <f>P6*0.2</f>
        <v>1900</v>
      </c>
      <c r="P6" s="305">
        <v>9500</v>
      </c>
      <c r="Q6" s="284" t="s">
        <v>34</v>
      </c>
      <c r="R6" s="989" t="s">
        <v>337</v>
      </c>
      <c r="S6" s="1046" t="s">
        <v>338</v>
      </c>
      <c r="T6" s="984"/>
    </row>
    <row r="7" spans="1:20" ht="200.45" customHeight="1">
      <c r="A7" s="960"/>
      <c r="B7" s="997"/>
      <c r="C7" s="1009"/>
      <c r="D7" s="758"/>
      <c r="E7" s="997"/>
      <c r="F7" s="1000"/>
      <c r="G7" s="1016"/>
      <c r="H7" s="298" t="s">
        <v>160</v>
      </c>
      <c r="I7" s="299" t="s">
        <v>174</v>
      </c>
      <c r="J7" s="1037"/>
      <c r="K7" s="758"/>
      <c r="L7" s="306" t="s">
        <v>36</v>
      </c>
      <c r="M7" s="299" t="s">
        <v>42</v>
      </c>
      <c r="N7" s="497" t="s">
        <v>271</v>
      </c>
      <c r="O7" s="307">
        <f>P7*0.2</f>
        <v>950</v>
      </c>
      <c r="P7" s="307">
        <v>4750</v>
      </c>
      <c r="Q7" s="299" t="s">
        <v>34</v>
      </c>
      <c r="R7" s="986"/>
      <c r="S7" s="1046"/>
      <c r="T7" s="984"/>
    </row>
    <row r="8" spans="1:20" ht="130.9" customHeight="1">
      <c r="A8" s="960"/>
      <c r="B8" s="997"/>
      <c r="C8" s="1009"/>
      <c r="D8" s="758"/>
      <c r="E8" s="997"/>
      <c r="F8" s="1000"/>
      <c r="G8" s="1016"/>
      <c r="H8" s="303" t="s">
        <v>167</v>
      </c>
      <c r="I8" s="299" t="s">
        <v>175</v>
      </c>
      <c r="J8" s="1037"/>
      <c r="K8" s="758"/>
      <c r="L8" s="306" t="s">
        <v>81</v>
      </c>
      <c r="M8" s="299" t="s">
        <v>42</v>
      </c>
      <c r="N8" s="497" t="s">
        <v>271</v>
      </c>
      <c r="O8" s="308" t="s">
        <v>8</v>
      </c>
      <c r="P8" s="307">
        <f>P6*0.8</f>
        <v>7600</v>
      </c>
      <c r="Q8" s="285" t="s">
        <v>34</v>
      </c>
      <c r="R8" s="301" t="s">
        <v>335</v>
      </c>
      <c r="S8" s="512" t="s">
        <v>339</v>
      </c>
    </row>
    <row r="9" spans="1:20" ht="141.6" customHeight="1">
      <c r="A9" s="960"/>
      <c r="B9" s="999"/>
      <c r="C9" s="1010"/>
      <c r="D9" s="758"/>
      <c r="E9" s="997"/>
      <c r="F9" s="1025"/>
      <c r="G9" s="1017"/>
      <c r="H9" s="298" t="s">
        <v>168</v>
      </c>
      <c r="I9" s="285" t="s">
        <v>176</v>
      </c>
      <c r="J9" s="1037"/>
      <c r="K9" s="758"/>
      <c r="L9" s="283" t="s">
        <v>36</v>
      </c>
      <c r="M9" s="309" t="s">
        <v>42</v>
      </c>
      <c r="N9" s="498" t="s">
        <v>271</v>
      </c>
      <c r="O9" s="308" t="s">
        <v>8</v>
      </c>
      <c r="P9" s="310">
        <f>P7*0.8</f>
        <v>3800</v>
      </c>
      <c r="Q9" s="311" t="s">
        <v>34</v>
      </c>
      <c r="R9" s="301" t="s">
        <v>336</v>
      </c>
      <c r="S9" s="512" t="s">
        <v>334</v>
      </c>
    </row>
    <row r="10" spans="1:20" ht="132" customHeight="1">
      <c r="A10" s="960"/>
      <c r="B10" s="993">
        <f>F10</f>
        <v>1176400</v>
      </c>
      <c r="C10" s="1001">
        <v>588200</v>
      </c>
      <c r="D10" s="758"/>
      <c r="E10" s="1004">
        <f>C10/0.5*0.5</f>
        <v>588200</v>
      </c>
      <c r="F10" s="1001">
        <f>C10+E10</f>
        <v>1176400</v>
      </c>
      <c r="G10" s="1001">
        <f>F10</f>
        <v>1176400</v>
      </c>
      <c r="H10" s="297" t="s">
        <v>159</v>
      </c>
      <c r="I10" s="289" t="s">
        <v>173</v>
      </c>
      <c r="J10" s="1005" t="s">
        <v>37</v>
      </c>
      <c r="K10" s="758"/>
      <c r="L10" s="291" t="s">
        <v>81</v>
      </c>
      <c r="M10" s="288" t="s">
        <v>42</v>
      </c>
      <c r="N10" s="495" t="s">
        <v>271</v>
      </c>
      <c r="O10" s="292">
        <f>P10*0.2</f>
        <v>160</v>
      </c>
      <c r="P10" s="292">
        <f>ROUND(48*25*0.667,0)</f>
        <v>800</v>
      </c>
      <c r="Q10" s="288" t="s">
        <v>34</v>
      </c>
      <c r="R10" s="987" t="s">
        <v>333</v>
      </c>
      <c r="S10" s="1042" t="s">
        <v>332</v>
      </c>
    </row>
    <row r="11" spans="1:20" ht="160.9" customHeight="1">
      <c r="A11" s="960"/>
      <c r="B11" s="994"/>
      <c r="C11" s="1002"/>
      <c r="D11" s="758"/>
      <c r="E11" s="1004"/>
      <c r="F11" s="1002"/>
      <c r="G11" s="1002"/>
      <c r="H11" s="287" t="s">
        <v>160</v>
      </c>
      <c r="I11" s="289" t="s">
        <v>174</v>
      </c>
      <c r="J11" s="1006"/>
      <c r="K11" s="758"/>
      <c r="L11" s="282" t="s">
        <v>36</v>
      </c>
      <c r="M11" s="288" t="s">
        <v>42</v>
      </c>
      <c r="N11" s="495" t="s">
        <v>271</v>
      </c>
      <c r="O11" s="292">
        <f>P11*0.2</f>
        <v>80</v>
      </c>
      <c r="P11" s="292">
        <f>ROUND(48*25*0.333,0)</f>
        <v>400</v>
      </c>
      <c r="Q11" s="288" t="s">
        <v>34</v>
      </c>
      <c r="R11" s="988"/>
      <c r="S11" s="1042"/>
    </row>
    <row r="12" spans="1:20" ht="144" customHeight="1">
      <c r="A12" s="960"/>
      <c r="B12" s="994"/>
      <c r="C12" s="1002"/>
      <c r="D12" s="758"/>
      <c r="E12" s="1004"/>
      <c r="F12" s="1002"/>
      <c r="G12" s="1002"/>
      <c r="H12" s="293" t="s">
        <v>167</v>
      </c>
      <c r="I12" s="289" t="s">
        <v>175</v>
      </c>
      <c r="J12" s="1006"/>
      <c r="K12" s="758"/>
      <c r="L12" s="282" t="s">
        <v>81</v>
      </c>
      <c r="M12" s="288" t="s">
        <v>42</v>
      </c>
      <c r="N12" s="495" t="s">
        <v>271</v>
      </c>
      <c r="O12" s="292" t="s">
        <v>8</v>
      </c>
      <c r="P12" s="292">
        <f>P10*0.8</f>
        <v>640</v>
      </c>
      <c r="Q12" s="288" t="s">
        <v>34</v>
      </c>
      <c r="R12" s="294" t="s">
        <v>272</v>
      </c>
      <c r="S12" s="512" t="s">
        <v>276</v>
      </c>
    </row>
    <row r="13" spans="1:20" ht="146.44999999999999" customHeight="1">
      <c r="A13" s="960"/>
      <c r="B13" s="995"/>
      <c r="C13" s="1003"/>
      <c r="D13" s="790"/>
      <c r="E13" s="1004"/>
      <c r="F13" s="1003"/>
      <c r="G13" s="1003"/>
      <c r="H13" s="293" t="s">
        <v>168</v>
      </c>
      <c r="I13" s="288" t="s">
        <v>176</v>
      </c>
      <c r="J13" s="1007"/>
      <c r="K13" s="790"/>
      <c r="L13" s="281" t="s">
        <v>36</v>
      </c>
      <c r="M13" s="288" t="s">
        <v>42</v>
      </c>
      <c r="N13" s="495" t="s">
        <v>271</v>
      </c>
      <c r="O13" s="292" t="s">
        <v>8</v>
      </c>
      <c r="P13" s="292">
        <f>P11*0.8</f>
        <v>320</v>
      </c>
      <c r="Q13" s="288" t="s">
        <v>34</v>
      </c>
      <c r="R13" s="295" t="s">
        <v>273</v>
      </c>
      <c r="S13" s="512" t="s">
        <v>330</v>
      </c>
    </row>
    <row r="14" spans="1:20" ht="110.45" customHeight="1">
      <c r="A14" s="960"/>
      <c r="B14" s="996">
        <f>F14</f>
        <v>7012070.5882352944</v>
      </c>
      <c r="C14" s="1011">
        <v>5960260</v>
      </c>
      <c r="D14" s="1012" t="s">
        <v>162</v>
      </c>
      <c r="E14" s="1038">
        <f>C14/0.85*0.15</f>
        <v>1051810.5882352942</v>
      </c>
      <c r="F14" s="1000">
        <f t="shared" ref="F14" si="0">C14+E14</f>
        <v>7012070.5882352944</v>
      </c>
      <c r="G14" s="1025">
        <f>F14</f>
        <v>7012070.5882352944</v>
      </c>
      <c r="H14" s="298" t="s">
        <v>159</v>
      </c>
      <c r="I14" s="299" t="s">
        <v>173</v>
      </c>
      <c r="J14" s="1034" t="s">
        <v>45</v>
      </c>
      <c r="K14" s="791" t="s">
        <v>41</v>
      </c>
      <c r="L14" s="280" t="s">
        <v>81</v>
      </c>
      <c r="M14" s="285" t="s">
        <v>42</v>
      </c>
      <c r="N14" s="499" t="s">
        <v>271</v>
      </c>
      <c r="O14" s="300">
        <f>P14*0.2</f>
        <v>940</v>
      </c>
      <c r="P14" s="300">
        <v>4700</v>
      </c>
      <c r="Q14" s="285" t="s">
        <v>34</v>
      </c>
      <c r="R14" s="985" t="s">
        <v>329</v>
      </c>
      <c r="S14" s="1046" t="s">
        <v>331</v>
      </c>
    </row>
    <row r="15" spans="1:20" ht="185.45" customHeight="1">
      <c r="A15" s="960"/>
      <c r="B15" s="997"/>
      <c r="C15" s="1009"/>
      <c r="D15" s="1013"/>
      <c r="E15" s="1038"/>
      <c r="F15" s="1000"/>
      <c r="G15" s="1016"/>
      <c r="H15" s="298" t="s">
        <v>160</v>
      </c>
      <c r="I15" s="299" t="s">
        <v>174</v>
      </c>
      <c r="J15" s="1035"/>
      <c r="K15" s="758"/>
      <c r="L15" s="280" t="s">
        <v>36</v>
      </c>
      <c r="M15" s="285" t="s">
        <v>42</v>
      </c>
      <c r="N15" s="499" t="s">
        <v>271</v>
      </c>
      <c r="O15" s="300">
        <f>P15*0.2</f>
        <v>460</v>
      </c>
      <c r="P15" s="300">
        <v>2300</v>
      </c>
      <c r="Q15" s="285" t="s">
        <v>34</v>
      </c>
      <c r="R15" s="986"/>
      <c r="S15" s="1046"/>
    </row>
    <row r="16" spans="1:20" ht="132" customHeight="1">
      <c r="A16" s="960"/>
      <c r="B16" s="997"/>
      <c r="C16" s="1009"/>
      <c r="D16" s="1013"/>
      <c r="E16" s="1038"/>
      <c r="F16" s="1000"/>
      <c r="G16" s="1016"/>
      <c r="H16" s="298" t="s">
        <v>167</v>
      </c>
      <c r="I16" s="299" t="s">
        <v>175</v>
      </c>
      <c r="J16" s="1035"/>
      <c r="K16" s="758"/>
      <c r="L16" s="280" t="s">
        <v>81</v>
      </c>
      <c r="M16" s="285" t="s">
        <v>42</v>
      </c>
      <c r="N16" s="499" t="s">
        <v>271</v>
      </c>
      <c r="O16" s="300" t="s">
        <v>8</v>
      </c>
      <c r="P16" s="300">
        <f>P14*0.8</f>
        <v>3760</v>
      </c>
      <c r="Q16" s="285" t="s">
        <v>34</v>
      </c>
      <c r="R16" s="301" t="s">
        <v>340</v>
      </c>
      <c r="S16" s="512" t="s">
        <v>277</v>
      </c>
    </row>
    <row r="17" spans="1:20" ht="139.15" customHeight="1">
      <c r="A17" s="960"/>
      <c r="B17" s="997"/>
      <c r="C17" s="1010"/>
      <c r="D17" s="1013"/>
      <c r="E17" s="1038"/>
      <c r="F17" s="1000"/>
      <c r="G17" s="1017"/>
      <c r="H17" s="298" t="s">
        <v>168</v>
      </c>
      <c r="I17" s="285" t="s">
        <v>176</v>
      </c>
      <c r="J17" s="1035"/>
      <c r="K17" s="758"/>
      <c r="L17" s="280" t="s">
        <v>36</v>
      </c>
      <c r="M17" s="285" t="s">
        <v>42</v>
      </c>
      <c r="N17" s="499" t="s">
        <v>271</v>
      </c>
      <c r="O17" s="300" t="s">
        <v>8</v>
      </c>
      <c r="P17" s="300">
        <f>P15*0.8</f>
        <v>1840</v>
      </c>
      <c r="Q17" s="285" t="s">
        <v>34</v>
      </c>
      <c r="R17" s="301" t="s">
        <v>341</v>
      </c>
      <c r="S17" s="512" t="s">
        <v>278</v>
      </c>
    </row>
    <row r="18" spans="1:20" ht="119.45" customHeight="1">
      <c r="A18" s="960"/>
      <c r="B18" s="993">
        <f>F18</f>
        <v>582400</v>
      </c>
      <c r="C18" s="1001">
        <v>291200</v>
      </c>
      <c r="D18" s="1013"/>
      <c r="E18" s="1004">
        <f>C18/0.5*0.5</f>
        <v>291200</v>
      </c>
      <c r="F18" s="1019">
        <f>C18+E18</f>
        <v>582400</v>
      </c>
      <c r="G18" s="1019">
        <f>F18</f>
        <v>582400</v>
      </c>
      <c r="H18" s="287" t="s">
        <v>159</v>
      </c>
      <c r="I18" s="289" t="s">
        <v>173</v>
      </c>
      <c r="J18" s="1005" t="s">
        <v>37</v>
      </c>
      <c r="K18" s="758"/>
      <c r="L18" s="291" t="s">
        <v>81</v>
      </c>
      <c r="M18" s="288" t="s">
        <v>42</v>
      </c>
      <c r="N18" s="495" t="s">
        <v>271</v>
      </c>
      <c r="O18" s="292">
        <f>P18*0.2</f>
        <v>80</v>
      </c>
      <c r="P18" s="292">
        <f>ROUND(30/2*40*0.667,0)</f>
        <v>400</v>
      </c>
      <c r="Q18" s="288" t="s">
        <v>34</v>
      </c>
      <c r="R18" s="990" t="s">
        <v>274</v>
      </c>
      <c r="S18" s="1042" t="s">
        <v>314</v>
      </c>
    </row>
    <row r="19" spans="1:20" ht="175.9" customHeight="1">
      <c r="A19" s="960"/>
      <c r="B19" s="994"/>
      <c r="C19" s="1002"/>
      <c r="D19" s="1013"/>
      <c r="E19" s="1004"/>
      <c r="F19" s="1019"/>
      <c r="G19" s="1019"/>
      <c r="H19" s="287" t="s">
        <v>160</v>
      </c>
      <c r="I19" s="289" t="s">
        <v>174</v>
      </c>
      <c r="J19" s="1006"/>
      <c r="K19" s="758"/>
      <c r="L19" s="291" t="s">
        <v>36</v>
      </c>
      <c r="M19" s="288" t="s">
        <v>42</v>
      </c>
      <c r="N19" s="495" t="s">
        <v>271</v>
      </c>
      <c r="O19" s="292">
        <f>P19*0.2</f>
        <v>40</v>
      </c>
      <c r="P19" s="292">
        <f>ROUND(30/2*40*0.333,0)</f>
        <v>200</v>
      </c>
      <c r="Q19" s="288" t="s">
        <v>34</v>
      </c>
      <c r="R19" s="991"/>
      <c r="S19" s="1043"/>
    </row>
    <row r="20" spans="1:20" ht="141.6" customHeight="1">
      <c r="A20" s="960"/>
      <c r="B20" s="994"/>
      <c r="C20" s="1002"/>
      <c r="D20" s="1013"/>
      <c r="E20" s="1004"/>
      <c r="F20" s="1019"/>
      <c r="G20" s="1019"/>
      <c r="H20" s="287" t="s">
        <v>167</v>
      </c>
      <c r="I20" s="289" t="s">
        <v>175</v>
      </c>
      <c r="J20" s="1006"/>
      <c r="K20" s="758"/>
      <c r="L20" s="291" t="s">
        <v>81</v>
      </c>
      <c r="M20" s="288" t="s">
        <v>42</v>
      </c>
      <c r="N20" s="495" t="s">
        <v>271</v>
      </c>
      <c r="O20" s="292" t="s">
        <v>8</v>
      </c>
      <c r="P20" s="292">
        <f>P18*0.8</f>
        <v>320</v>
      </c>
      <c r="Q20" s="288" t="s">
        <v>34</v>
      </c>
      <c r="R20" s="294" t="s">
        <v>316</v>
      </c>
      <c r="S20" s="512" t="s">
        <v>315</v>
      </c>
    </row>
    <row r="21" spans="1:20" ht="135.6" customHeight="1">
      <c r="A21" s="960"/>
      <c r="B21" s="995"/>
      <c r="C21" s="1003"/>
      <c r="D21" s="1014"/>
      <c r="E21" s="1004"/>
      <c r="F21" s="1019"/>
      <c r="G21" s="1019"/>
      <c r="H21" s="287" t="s">
        <v>168</v>
      </c>
      <c r="I21" s="288" t="s">
        <v>176</v>
      </c>
      <c r="J21" s="1007"/>
      <c r="K21" s="790"/>
      <c r="L21" s="291" t="s">
        <v>36</v>
      </c>
      <c r="M21" s="288" t="s">
        <v>42</v>
      </c>
      <c r="N21" s="495" t="s">
        <v>271</v>
      </c>
      <c r="O21" s="292" t="s">
        <v>8</v>
      </c>
      <c r="P21" s="292">
        <f>P19*0.8</f>
        <v>160</v>
      </c>
      <c r="Q21" s="288" t="s">
        <v>34</v>
      </c>
      <c r="R21" s="294" t="s">
        <v>275</v>
      </c>
      <c r="S21" s="512" t="s">
        <v>317</v>
      </c>
    </row>
    <row r="22" spans="1:20" ht="141" customHeight="1">
      <c r="A22" s="960"/>
      <c r="B22" s="1022">
        <f>F22</f>
        <v>7013776.4705882352</v>
      </c>
      <c r="C22" s="1023">
        <v>5961710</v>
      </c>
      <c r="D22" s="1031" t="s">
        <v>163</v>
      </c>
      <c r="E22" s="1022">
        <f>C22/0.85*0.15</f>
        <v>1052066.4705882352</v>
      </c>
      <c r="F22" s="1023">
        <f>C22+E22</f>
        <v>7013776.4705882352</v>
      </c>
      <c r="G22" s="1023">
        <f>F22</f>
        <v>7013776.4705882352</v>
      </c>
      <c r="H22" s="298" t="s">
        <v>159</v>
      </c>
      <c r="I22" s="299" t="s">
        <v>173</v>
      </c>
      <c r="J22" s="1034" t="s">
        <v>45</v>
      </c>
      <c r="K22" s="791" t="s">
        <v>41</v>
      </c>
      <c r="L22" s="280" t="s">
        <v>81</v>
      </c>
      <c r="M22" s="285" t="s">
        <v>42</v>
      </c>
      <c r="N22" s="499" t="s">
        <v>271</v>
      </c>
      <c r="O22" s="300">
        <f>P22*0.2</f>
        <v>960</v>
      </c>
      <c r="P22" s="300">
        <v>4800</v>
      </c>
      <c r="Q22" s="285" t="s">
        <v>34</v>
      </c>
      <c r="R22" s="985" t="s">
        <v>313</v>
      </c>
      <c r="S22" s="1042" t="s">
        <v>318</v>
      </c>
      <c r="T22" s="992"/>
    </row>
    <row r="23" spans="1:20" ht="184.15" customHeight="1">
      <c r="A23" s="960"/>
      <c r="B23" s="1022"/>
      <c r="C23" s="1023"/>
      <c r="D23" s="1031"/>
      <c r="E23" s="1022"/>
      <c r="F23" s="1023"/>
      <c r="G23" s="1023"/>
      <c r="H23" s="298" t="s">
        <v>160</v>
      </c>
      <c r="I23" s="299" t="s">
        <v>174</v>
      </c>
      <c r="J23" s="1035"/>
      <c r="K23" s="758"/>
      <c r="L23" s="280" t="s">
        <v>36</v>
      </c>
      <c r="M23" s="285" t="s">
        <v>42</v>
      </c>
      <c r="N23" s="499" t="s">
        <v>271</v>
      </c>
      <c r="O23" s="300">
        <f>P23*0.2</f>
        <v>480</v>
      </c>
      <c r="P23" s="300">
        <v>2400</v>
      </c>
      <c r="Q23" s="285" t="s">
        <v>34</v>
      </c>
      <c r="R23" s="986"/>
      <c r="S23" s="1043"/>
      <c r="T23" s="992"/>
    </row>
    <row r="24" spans="1:20" ht="133.9" customHeight="1">
      <c r="A24" s="960"/>
      <c r="B24" s="1022"/>
      <c r="C24" s="1023"/>
      <c r="D24" s="1031"/>
      <c r="E24" s="1022"/>
      <c r="F24" s="1023"/>
      <c r="G24" s="1023"/>
      <c r="H24" s="298" t="s">
        <v>167</v>
      </c>
      <c r="I24" s="299" t="s">
        <v>175</v>
      </c>
      <c r="J24" s="1035"/>
      <c r="K24" s="758"/>
      <c r="L24" s="280" t="s">
        <v>81</v>
      </c>
      <c r="M24" s="285" t="s">
        <v>42</v>
      </c>
      <c r="N24" s="499" t="s">
        <v>271</v>
      </c>
      <c r="O24" s="300" t="s">
        <v>8</v>
      </c>
      <c r="P24" s="300">
        <f>P22*0.8</f>
        <v>3840</v>
      </c>
      <c r="Q24" s="285" t="s">
        <v>34</v>
      </c>
      <c r="R24" s="301" t="s">
        <v>319</v>
      </c>
      <c r="S24" s="512" t="s">
        <v>320</v>
      </c>
    </row>
    <row r="25" spans="1:20" ht="132" customHeight="1">
      <c r="A25" s="960"/>
      <c r="B25" s="1022"/>
      <c r="C25" s="1023"/>
      <c r="D25" s="1031"/>
      <c r="E25" s="1022"/>
      <c r="F25" s="1023"/>
      <c r="G25" s="1023"/>
      <c r="H25" s="298" t="s">
        <v>168</v>
      </c>
      <c r="I25" s="285" t="s">
        <v>176</v>
      </c>
      <c r="J25" s="1035"/>
      <c r="K25" s="758"/>
      <c r="L25" s="280" t="s">
        <v>36</v>
      </c>
      <c r="M25" s="285" t="s">
        <v>42</v>
      </c>
      <c r="N25" s="499" t="s">
        <v>271</v>
      </c>
      <c r="O25" s="300" t="s">
        <v>8</v>
      </c>
      <c r="P25" s="300">
        <f>P23*0.8</f>
        <v>1920</v>
      </c>
      <c r="Q25" s="285" t="s">
        <v>34</v>
      </c>
      <c r="R25" s="301" t="s">
        <v>322</v>
      </c>
      <c r="S25" s="512" t="s">
        <v>321</v>
      </c>
    </row>
    <row r="26" spans="1:20" ht="125.45" customHeight="1">
      <c r="A26" s="960"/>
      <c r="B26" s="1026">
        <f>F26</f>
        <v>581000</v>
      </c>
      <c r="C26" s="1019">
        <v>290500</v>
      </c>
      <c r="D26" s="1031"/>
      <c r="E26" s="1004">
        <f>C26/0.5*0.5</f>
        <v>290500</v>
      </c>
      <c r="F26" s="1019">
        <f>C26+E26</f>
        <v>581000</v>
      </c>
      <c r="G26" s="1019">
        <f>F26</f>
        <v>581000</v>
      </c>
      <c r="H26" s="287" t="s">
        <v>159</v>
      </c>
      <c r="I26" s="288" t="s">
        <v>173</v>
      </c>
      <c r="J26" s="1005" t="s">
        <v>37</v>
      </c>
      <c r="K26" s="758"/>
      <c r="L26" s="291" t="s">
        <v>81</v>
      </c>
      <c r="M26" s="288" t="s">
        <v>42</v>
      </c>
      <c r="N26" s="495" t="s">
        <v>271</v>
      </c>
      <c r="O26" s="292">
        <f>P26*0.2</f>
        <v>76.800000000000011</v>
      </c>
      <c r="P26" s="292">
        <f>ROUND(32/5*90*0.667,0)</f>
        <v>384</v>
      </c>
      <c r="Q26" s="288" t="s">
        <v>34</v>
      </c>
      <c r="R26" s="990" t="s">
        <v>323</v>
      </c>
      <c r="S26" s="1042" t="s">
        <v>324</v>
      </c>
    </row>
    <row r="27" spans="1:20" ht="169.15" customHeight="1">
      <c r="A27" s="960"/>
      <c r="B27" s="1026"/>
      <c r="C27" s="1019"/>
      <c r="D27" s="1031"/>
      <c r="E27" s="1004"/>
      <c r="F27" s="1019"/>
      <c r="G27" s="1019"/>
      <c r="H27" s="287" t="s">
        <v>160</v>
      </c>
      <c r="I27" s="289" t="s">
        <v>174</v>
      </c>
      <c r="J27" s="1006"/>
      <c r="K27" s="758"/>
      <c r="L27" s="291" t="s">
        <v>36</v>
      </c>
      <c r="M27" s="288" t="s">
        <v>42</v>
      </c>
      <c r="N27" s="495" t="s">
        <v>271</v>
      </c>
      <c r="O27" s="292">
        <f>P27*0.2</f>
        <v>38.400000000000006</v>
      </c>
      <c r="P27" s="292">
        <f>ROUND(32/5*90*0.333,0)</f>
        <v>192</v>
      </c>
      <c r="Q27" s="288" t="s">
        <v>34</v>
      </c>
      <c r="R27" s="991"/>
      <c r="S27" s="1043"/>
    </row>
    <row r="28" spans="1:20" ht="131.44999999999999" customHeight="1">
      <c r="A28" s="960"/>
      <c r="B28" s="1026"/>
      <c r="C28" s="1019"/>
      <c r="D28" s="1031"/>
      <c r="E28" s="1004"/>
      <c r="F28" s="1019"/>
      <c r="G28" s="1019"/>
      <c r="H28" s="287" t="s">
        <v>167</v>
      </c>
      <c r="I28" s="289" t="s">
        <v>175</v>
      </c>
      <c r="J28" s="1006"/>
      <c r="K28" s="758"/>
      <c r="L28" s="291" t="s">
        <v>81</v>
      </c>
      <c r="M28" s="288" t="s">
        <v>42</v>
      </c>
      <c r="N28" s="495" t="s">
        <v>271</v>
      </c>
      <c r="O28" s="292" t="s">
        <v>8</v>
      </c>
      <c r="P28" s="292">
        <f>ROUND(P26*0.8,0)</f>
        <v>307</v>
      </c>
      <c r="Q28" s="288" t="s">
        <v>34</v>
      </c>
      <c r="R28" s="294" t="s">
        <v>325</v>
      </c>
      <c r="S28" s="512" t="s">
        <v>326</v>
      </c>
    </row>
    <row r="29" spans="1:20" ht="134.44999999999999" customHeight="1" thickBot="1">
      <c r="A29" s="961"/>
      <c r="B29" s="1027"/>
      <c r="C29" s="1020"/>
      <c r="D29" s="1032"/>
      <c r="E29" s="1021"/>
      <c r="F29" s="1020"/>
      <c r="G29" s="1020"/>
      <c r="H29" s="312" t="s">
        <v>168</v>
      </c>
      <c r="I29" s="290" t="s">
        <v>176</v>
      </c>
      <c r="J29" s="1033"/>
      <c r="K29" s="759"/>
      <c r="L29" s="313" t="s">
        <v>36</v>
      </c>
      <c r="M29" s="290" t="s">
        <v>42</v>
      </c>
      <c r="N29" s="500" t="s">
        <v>271</v>
      </c>
      <c r="O29" s="314" t="s">
        <v>8</v>
      </c>
      <c r="P29" s="314">
        <f>ROUND(P27*0.8,0)</f>
        <v>154</v>
      </c>
      <c r="Q29" s="290" t="s">
        <v>34</v>
      </c>
      <c r="R29" s="316" t="s">
        <v>327</v>
      </c>
      <c r="S29" s="512" t="s">
        <v>328</v>
      </c>
    </row>
    <row r="30" spans="1:20">
      <c r="A30" s="202"/>
      <c r="B30" s="211"/>
      <c r="C30" s="315">
        <f>C6+C10+C14+C18+C22+C26</f>
        <v>25000000</v>
      </c>
      <c r="D30" s="203"/>
      <c r="E30" s="204"/>
      <c r="F30" s="205"/>
      <c r="G30" s="206"/>
      <c r="H30" s="207"/>
      <c r="I30" s="149"/>
      <c r="J30" s="207"/>
      <c r="K30" s="208"/>
      <c r="L30" s="207"/>
      <c r="M30" s="207"/>
      <c r="N30" s="209"/>
      <c r="O30" s="207"/>
      <c r="P30" s="209"/>
      <c r="Q30" s="207"/>
    </row>
    <row r="31" spans="1:20">
      <c r="A31" s="202"/>
      <c r="B31" s="211"/>
      <c r="C31" s="212"/>
      <c r="D31" s="203"/>
      <c r="E31" s="204"/>
      <c r="F31" s="205"/>
      <c r="G31" s="206"/>
      <c r="H31" s="207"/>
      <c r="I31" s="149"/>
      <c r="J31" s="207"/>
      <c r="K31" s="208"/>
      <c r="L31" s="207"/>
      <c r="M31" s="207"/>
      <c r="N31" s="209"/>
      <c r="O31" s="207"/>
      <c r="P31" s="209"/>
      <c r="Q31" s="207"/>
    </row>
    <row r="32" spans="1:20">
      <c r="A32" s="202"/>
      <c r="B32" s="211" t="s">
        <v>188</v>
      </c>
      <c r="C32" s="333">
        <f>C6+C14+C22</f>
        <v>23830100</v>
      </c>
      <c r="D32" s="203"/>
      <c r="E32" s="204"/>
      <c r="F32" s="205"/>
      <c r="G32" s="206"/>
      <c r="H32" s="207"/>
      <c r="I32" s="149"/>
      <c r="J32" s="207"/>
      <c r="K32" s="208"/>
      <c r="L32" s="207"/>
      <c r="M32" s="207"/>
      <c r="N32" s="209"/>
      <c r="O32" s="207"/>
      <c r="P32" s="209"/>
      <c r="Q32" s="207"/>
    </row>
    <row r="33" spans="1:17">
      <c r="A33" s="202"/>
      <c r="B33" s="211"/>
      <c r="C33" s="333">
        <f>C10+C18+C26</f>
        <v>1169900</v>
      </c>
      <c r="D33" s="203"/>
      <c r="E33" s="204"/>
      <c r="F33" s="205"/>
      <c r="G33" s="206"/>
      <c r="H33" s="207"/>
      <c r="I33" s="149"/>
      <c r="J33" s="207"/>
      <c r="K33" s="208"/>
      <c r="L33" s="207"/>
      <c r="M33" s="207"/>
      <c r="N33" s="209"/>
      <c r="O33" s="207"/>
      <c r="P33" s="209"/>
      <c r="Q33" s="207"/>
    </row>
    <row r="34" spans="1:17">
      <c r="A34" s="202"/>
      <c r="B34" s="211"/>
      <c r="C34" s="333">
        <f>C32+C33</f>
        <v>25000000</v>
      </c>
      <c r="D34" s="203"/>
      <c r="E34" s="204"/>
      <c r="F34" s="205"/>
      <c r="G34" s="206"/>
      <c r="H34" s="207"/>
      <c r="I34" s="149"/>
      <c r="J34" s="207"/>
      <c r="K34" s="208"/>
      <c r="L34" s="207"/>
      <c r="M34" s="207"/>
      <c r="N34" s="209"/>
      <c r="O34" s="207"/>
      <c r="P34" s="209"/>
      <c r="Q34" s="207"/>
    </row>
    <row r="35" spans="1:17">
      <c r="A35" s="202"/>
      <c r="B35" s="211"/>
      <c r="C35" s="333"/>
      <c r="D35" s="203"/>
      <c r="E35" s="204"/>
      <c r="F35" s="205"/>
      <c r="G35" s="206"/>
      <c r="H35" s="207"/>
      <c r="I35" s="149"/>
      <c r="J35" s="207"/>
      <c r="K35" s="208"/>
      <c r="L35" s="207"/>
      <c r="M35" s="207"/>
      <c r="N35" s="209"/>
      <c r="O35" s="207"/>
      <c r="P35" s="209"/>
      <c r="Q35" s="207"/>
    </row>
    <row r="36" spans="1:17">
      <c r="A36" s="202"/>
      <c r="B36" s="211"/>
      <c r="C36" s="212"/>
      <c r="D36" s="203"/>
      <c r="E36" s="204"/>
      <c r="F36" s="205"/>
      <c r="G36" s="206"/>
      <c r="H36" s="207"/>
      <c r="I36" s="149"/>
      <c r="J36" s="207"/>
      <c r="K36" s="208"/>
      <c r="L36" s="207"/>
      <c r="M36" s="207"/>
      <c r="N36" s="209"/>
      <c r="O36" s="207"/>
      <c r="P36" s="209"/>
      <c r="Q36" s="207"/>
    </row>
    <row r="37" spans="1:17">
      <c r="A37" s="202"/>
      <c r="B37" s="211"/>
      <c r="C37" s="212"/>
      <c r="D37" s="203"/>
      <c r="E37" s="204"/>
      <c r="F37" s="205"/>
      <c r="G37" s="206"/>
      <c r="H37" s="207"/>
      <c r="I37" s="149"/>
      <c r="J37" s="207"/>
      <c r="K37" s="208"/>
      <c r="L37" s="207"/>
      <c r="M37" s="207"/>
      <c r="N37" s="209"/>
      <c r="O37" s="207"/>
      <c r="P37" s="209"/>
      <c r="Q37" s="207"/>
    </row>
    <row r="38" spans="1:17">
      <c r="A38" s="202"/>
      <c r="B38" s="211"/>
      <c r="C38" s="212"/>
      <c r="D38" s="203"/>
      <c r="E38" s="204"/>
      <c r="F38" s="205"/>
      <c r="G38" s="206"/>
      <c r="H38" s="207"/>
      <c r="I38" s="149"/>
      <c r="J38" s="207"/>
      <c r="K38" s="208"/>
      <c r="L38" s="207"/>
      <c r="M38" s="207"/>
      <c r="N38" s="209"/>
      <c r="O38" s="207"/>
      <c r="P38" s="209"/>
      <c r="Q38" s="207"/>
    </row>
    <row r="39" spans="1:17">
      <c r="A39" s="202"/>
      <c r="B39" s="211"/>
      <c r="C39" s="212"/>
      <c r="D39" s="203"/>
      <c r="E39" s="204"/>
      <c r="F39" s="205"/>
      <c r="G39" s="206"/>
      <c r="H39" s="207"/>
      <c r="I39" s="149"/>
      <c r="J39" s="207"/>
      <c r="K39" s="208"/>
      <c r="L39" s="207"/>
      <c r="M39" s="207"/>
      <c r="N39" s="209"/>
      <c r="O39" s="207"/>
      <c r="P39" s="209"/>
      <c r="Q39" s="207"/>
    </row>
    <row r="40" spans="1:17">
      <c r="A40" s="202"/>
      <c r="B40" s="211"/>
      <c r="C40" s="212"/>
      <c r="D40" s="203"/>
      <c r="E40" s="204"/>
      <c r="F40" s="205"/>
      <c r="G40" s="206" t="s">
        <v>134</v>
      </c>
      <c r="H40" s="207"/>
      <c r="I40" s="149"/>
      <c r="J40" s="207"/>
      <c r="K40" s="208"/>
      <c r="L40" s="207"/>
      <c r="M40" s="207"/>
      <c r="N40" s="209"/>
      <c r="O40" s="207"/>
      <c r="P40" s="209"/>
      <c r="Q40" s="207"/>
    </row>
    <row r="41" spans="1:17">
      <c r="A41" s="140" t="s">
        <v>16</v>
      </c>
      <c r="B41" s="210" t="s">
        <v>35</v>
      </c>
      <c r="C41" s="210" t="s">
        <v>127</v>
      </c>
      <c r="D41" s="218" t="s">
        <v>164</v>
      </c>
      <c r="E41" s="218" t="s">
        <v>165</v>
      </c>
      <c r="F41" s="218" t="s">
        <v>166</v>
      </c>
    </row>
    <row r="42" spans="1:17">
      <c r="A42" s="140" t="s">
        <v>124</v>
      </c>
      <c r="B42" s="145">
        <v>125080000</v>
      </c>
      <c r="C42" s="141">
        <f>SUM(B42:B42)</f>
        <v>125080000</v>
      </c>
      <c r="D42" s="130">
        <f>C30</f>
        <v>25000000</v>
      </c>
      <c r="F42" s="130" t="e">
        <f>#REF!</f>
        <v>#REF!</v>
      </c>
      <c r="G42" s="152" t="e">
        <f>D42+E42+F42</f>
        <v>#REF!</v>
      </c>
    </row>
    <row r="43" spans="1:17">
      <c r="A43" s="140" t="s">
        <v>125</v>
      </c>
      <c r="B43" s="144"/>
      <c r="C43" s="142"/>
    </row>
    <row r="44" spans="1:17">
      <c r="A44" s="140" t="s">
        <v>126</v>
      </c>
      <c r="B44" s="142"/>
      <c r="C44" s="142">
        <v>125000000</v>
      </c>
      <c r="D44" s="130">
        <f>C30</f>
        <v>25000000</v>
      </c>
      <c r="F44" s="130" t="e">
        <f>#REF!</f>
        <v>#REF!</v>
      </c>
    </row>
    <row r="45" spans="1:17">
      <c r="A45" s="140"/>
      <c r="B45" s="141"/>
      <c r="C45" s="141">
        <f>SUM(C43:C44)</f>
        <v>125000000</v>
      </c>
    </row>
    <row r="47" spans="1:17">
      <c r="A47" s="140" t="s">
        <v>23</v>
      </c>
      <c r="B47" s="140" t="s">
        <v>35</v>
      </c>
      <c r="C47" s="140" t="s">
        <v>127</v>
      </c>
    </row>
    <row r="48" spans="1:17">
      <c r="A48" s="140" t="s">
        <v>124</v>
      </c>
      <c r="B48" s="139">
        <v>401222250</v>
      </c>
      <c r="C48" s="141">
        <f>SUM(B48:B48)</f>
        <v>401222250</v>
      </c>
      <c r="E48" s="152">
        <f>'3.1.'!C30</f>
        <v>359741527</v>
      </c>
    </row>
    <row r="49" spans="1:9">
      <c r="A49" s="140" t="s">
        <v>50</v>
      </c>
      <c r="B49" s="142"/>
      <c r="C49" s="142">
        <v>401000000</v>
      </c>
    </row>
    <row r="50" spans="1:9">
      <c r="A50" s="140"/>
      <c r="B50" s="141"/>
      <c r="C50" s="141">
        <f>SUM(C49:C49)</f>
        <v>401000000</v>
      </c>
      <c r="I50" s="130"/>
    </row>
    <row r="51" spans="1:9">
      <c r="I51" s="130"/>
    </row>
    <row r="52" spans="1:9">
      <c r="I52" s="130"/>
    </row>
    <row r="53" spans="1:9" ht="45.75" thickBot="1">
      <c r="A53" s="223" t="s">
        <v>5</v>
      </c>
      <c r="B53" s="30" t="s">
        <v>6</v>
      </c>
      <c r="C53" s="223" t="s">
        <v>1</v>
      </c>
      <c r="D53" s="223" t="s">
        <v>9</v>
      </c>
      <c r="E53" s="223" t="s">
        <v>15</v>
      </c>
      <c r="F53" s="223" t="s">
        <v>14</v>
      </c>
      <c r="G53" s="223" t="s">
        <v>10</v>
      </c>
      <c r="H53" s="223" t="s">
        <v>2</v>
      </c>
      <c r="I53" s="252" t="s">
        <v>3</v>
      </c>
    </row>
    <row r="54" spans="1:9" ht="75.75" thickBot="1">
      <c r="A54" s="213" t="s">
        <v>159</v>
      </c>
      <c r="B54" s="214" t="s">
        <v>173</v>
      </c>
      <c r="C54" s="215" t="s">
        <v>81</v>
      </c>
      <c r="D54" s="176">
        <f>M6+M14+M22</f>
        <v>0</v>
      </c>
      <c r="E54" s="58" t="s">
        <v>45</v>
      </c>
      <c r="F54" s="233" t="s">
        <v>41</v>
      </c>
      <c r="G54" s="236">
        <v>2021</v>
      </c>
      <c r="H54" s="233">
        <f>O6+O14+O22</f>
        <v>3800</v>
      </c>
      <c r="I54" s="233">
        <f>P6+P14+P22</f>
        <v>19000</v>
      </c>
    </row>
    <row r="55" spans="1:9" ht="75">
      <c r="A55" s="213" t="s">
        <v>159</v>
      </c>
      <c r="B55" s="214" t="s">
        <v>173</v>
      </c>
      <c r="C55" s="215" t="s">
        <v>81</v>
      </c>
      <c r="D55" s="176">
        <f>M10+M18+M26</f>
        <v>0</v>
      </c>
      <c r="E55" s="58" t="s">
        <v>37</v>
      </c>
      <c r="F55" s="233" t="s">
        <v>41</v>
      </c>
      <c r="G55" s="236">
        <v>2021</v>
      </c>
      <c r="H55" s="264">
        <f>O10+O18+O26</f>
        <v>316.8</v>
      </c>
      <c r="I55" s="264">
        <f>P10+P18+P26</f>
        <v>1584</v>
      </c>
    </row>
    <row r="56" spans="1:9" ht="75">
      <c r="A56" s="216" t="s">
        <v>160</v>
      </c>
      <c r="B56" s="231" t="s">
        <v>174</v>
      </c>
      <c r="C56" s="232" t="s">
        <v>36</v>
      </c>
      <c r="D56" s="228">
        <f>M7+M15+M23</f>
        <v>0</v>
      </c>
      <c r="E56" s="58" t="s">
        <v>45</v>
      </c>
      <c r="F56" s="233" t="s">
        <v>41</v>
      </c>
      <c r="G56" s="236">
        <v>2021</v>
      </c>
      <c r="H56" s="233">
        <f>O7+O15+O23</f>
        <v>1890</v>
      </c>
      <c r="I56" s="233">
        <f>P7+P15+P23</f>
        <v>9450</v>
      </c>
    </row>
    <row r="57" spans="1:9" ht="75">
      <c r="A57" s="216" t="s">
        <v>160</v>
      </c>
      <c r="B57" s="231" t="s">
        <v>174</v>
      </c>
      <c r="C57" s="232" t="s">
        <v>36</v>
      </c>
      <c r="D57" s="228">
        <f>M11+M19+M27</f>
        <v>0</v>
      </c>
      <c r="E57" s="58" t="s">
        <v>37</v>
      </c>
      <c r="F57" s="233" t="s">
        <v>41</v>
      </c>
      <c r="G57" s="236">
        <v>2021</v>
      </c>
      <c r="H57" s="233">
        <f>O11+O19+O27</f>
        <v>158.4</v>
      </c>
      <c r="I57" s="264">
        <f>P11+P19+P27</f>
        <v>792</v>
      </c>
    </row>
    <row r="58" spans="1:9" ht="75">
      <c r="A58" s="217" t="s">
        <v>167</v>
      </c>
      <c r="B58" s="231" t="s">
        <v>175</v>
      </c>
      <c r="C58" s="235" t="s">
        <v>81</v>
      </c>
      <c r="D58" s="225">
        <f>M8+M16+M24</f>
        <v>0</v>
      </c>
      <c r="E58" s="58" t="s">
        <v>45</v>
      </c>
      <c r="F58" s="233" t="s">
        <v>41</v>
      </c>
      <c r="G58" s="222">
        <v>2021</v>
      </c>
      <c r="H58" s="233" t="s">
        <v>8</v>
      </c>
      <c r="I58" s="233">
        <f>P8+P16+P24</f>
        <v>15200</v>
      </c>
    </row>
    <row r="59" spans="1:9" ht="75">
      <c r="A59" s="217" t="s">
        <v>167</v>
      </c>
      <c r="B59" s="231" t="s">
        <v>175</v>
      </c>
      <c r="C59" s="235" t="s">
        <v>81</v>
      </c>
      <c r="D59" s="225">
        <f>M12+M20+M28</f>
        <v>0</v>
      </c>
      <c r="E59" s="58" t="s">
        <v>37</v>
      </c>
      <c r="F59" s="233" t="s">
        <v>41</v>
      </c>
      <c r="G59" s="222">
        <v>2021</v>
      </c>
      <c r="H59" s="233" t="s">
        <v>8</v>
      </c>
      <c r="I59" s="264">
        <f>P12+P20+P28</f>
        <v>1267</v>
      </c>
    </row>
    <row r="60" spans="1:9" ht="75.75" thickBot="1">
      <c r="A60" s="177" t="s">
        <v>168</v>
      </c>
      <c r="B60" s="178" t="s">
        <v>176</v>
      </c>
      <c r="C60" s="251" t="s">
        <v>36</v>
      </c>
      <c r="D60" s="225">
        <f>M9+M17+M25</f>
        <v>0</v>
      </c>
      <c r="E60" s="58" t="s">
        <v>45</v>
      </c>
      <c r="F60" s="222" t="s">
        <v>41</v>
      </c>
      <c r="G60" s="222">
        <v>2021</v>
      </c>
      <c r="H60" s="225" t="s">
        <v>8</v>
      </c>
      <c r="I60" s="233">
        <f>P9+P17+P25</f>
        <v>7560</v>
      </c>
    </row>
    <row r="61" spans="1:9" ht="75.75" thickBot="1">
      <c r="A61" s="177" t="s">
        <v>168</v>
      </c>
      <c r="B61" s="178" t="s">
        <v>176</v>
      </c>
      <c r="C61" s="251" t="s">
        <v>36</v>
      </c>
      <c r="D61" s="225">
        <f>M13+M21+M29</f>
        <v>0</v>
      </c>
      <c r="E61" s="58" t="s">
        <v>37</v>
      </c>
      <c r="F61" s="222" t="s">
        <v>41</v>
      </c>
      <c r="G61" s="222">
        <v>2021</v>
      </c>
      <c r="H61" s="225" t="s">
        <v>8</v>
      </c>
      <c r="I61" s="264">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30"/>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4"/>
  <sheetViews>
    <sheetView tabSelected="1" topLeftCell="J1" zoomScale="75" zoomScaleNormal="75" workbookViewId="0">
      <selection activeCell="S7" sqref="S7"/>
    </sheetView>
  </sheetViews>
  <sheetFormatPr defaultRowHeight="15"/>
  <cols>
    <col min="1" max="1" width="22.5703125" customWidth="1"/>
    <col min="2" max="2" width="33.7109375" customWidth="1"/>
    <col min="3" max="3" width="19" customWidth="1"/>
    <col min="4" max="4" width="20.5703125" customWidth="1"/>
    <col min="5" max="5" width="17.42578125" customWidth="1"/>
    <col min="6" max="6" width="18.5703125" customWidth="1"/>
    <col min="7" max="7" width="19.42578125" customWidth="1"/>
    <col min="8" max="8" width="20.5703125" customWidth="1"/>
    <col min="9" max="9" width="35.42578125" customWidth="1"/>
    <col min="10" max="10" width="15" customWidth="1"/>
    <col min="11" max="11" width="12.5703125" customWidth="1"/>
    <col min="12" max="12" width="17.140625" customWidth="1"/>
    <col min="13" max="13" width="19" customWidth="1"/>
    <col min="14" max="14" width="12.7109375" customWidth="1"/>
    <col min="15" max="15" width="12" customWidth="1"/>
    <col min="16" max="16" width="15" customWidth="1"/>
    <col min="17" max="17" width="19.5703125" customWidth="1"/>
    <col min="18" max="18" width="141.5703125" style="550" customWidth="1"/>
    <col min="19" max="19" width="58.28515625" style="533" customWidth="1"/>
  </cols>
  <sheetData>
    <row r="1" spans="1:30">
      <c r="A1" s="10" t="s">
        <v>456</v>
      </c>
    </row>
    <row r="2" spans="1:30">
      <c r="A2" s="666" t="s">
        <v>485</v>
      </c>
      <c r="B2" s="589"/>
      <c r="C2" s="589"/>
      <c r="D2" s="589"/>
      <c r="E2" s="589"/>
      <c r="F2" s="589"/>
    </row>
    <row r="3" spans="1:30" ht="15.75" thickBot="1">
      <c r="A3" t="s">
        <v>368</v>
      </c>
    </row>
    <row r="4" spans="1:30" ht="15" customHeight="1">
      <c r="A4" s="1078" t="s">
        <v>24</v>
      </c>
      <c r="B4" s="912" t="s">
        <v>132</v>
      </c>
      <c r="C4" s="1080" t="s">
        <v>133</v>
      </c>
      <c r="D4" s="1087" t="s">
        <v>4</v>
      </c>
      <c r="E4" s="1052"/>
      <c r="F4" s="1052"/>
      <c r="G4" s="1082" t="s">
        <v>18</v>
      </c>
      <c r="H4" s="1056" t="s">
        <v>19</v>
      </c>
      <c r="I4" s="1056"/>
      <c r="J4" s="912" t="s">
        <v>31</v>
      </c>
      <c r="K4" s="1076" t="s">
        <v>38</v>
      </c>
      <c r="L4" s="912" t="s">
        <v>32</v>
      </c>
      <c r="M4" s="1052" t="s">
        <v>26</v>
      </c>
      <c r="N4" s="1053"/>
      <c r="O4" s="912" t="s">
        <v>33</v>
      </c>
      <c r="P4" s="912" t="s">
        <v>49</v>
      </c>
      <c r="Q4" s="912" t="s">
        <v>39</v>
      </c>
      <c r="R4" s="1050" t="s">
        <v>40</v>
      </c>
    </row>
    <row r="5" spans="1:30" ht="29.45" customHeight="1" thickBot="1">
      <c r="A5" s="1079"/>
      <c r="B5" s="923"/>
      <c r="C5" s="1081"/>
      <c r="D5" s="628" t="s">
        <v>7</v>
      </c>
      <c r="E5" s="6" t="s">
        <v>17</v>
      </c>
      <c r="F5" s="5" t="s">
        <v>25</v>
      </c>
      <c r="G5" s="917"/>
      <c r="H5" s="1" t="s">
        <v>20</v>
      </c>
      <c r="I5" s="2" t="s">
        <v>21</v>
      </c>
      <c r="J5" s="923"/>
      <c r="K5" s="915"/>
      <c r="L5" s="923"/>
      <c r="M5" s="7" t="s">
        <v>47</v>
      </c>
      <c r="N5" s="7" t="s">
        <v>48</v>
      </c>
      <c r="O5" s="923"/>
      <c r="P5" s="923"/>
      <c r="Q5" s="923"/>
      <c r="R5" s="1051"/>
    </row>
    <row r="6" spans="1:30" s="221" customFormat="1" ht="251.45" customHeight="1">
      <c r="A6" s="1083" t="s">
        <v>360</v>
      </c>
      <c r="B6" s="1077">
        <f>F6+F10+F15</f>
        <v>167780016.47058824</v>
      </c>
      <c r="C6" s="1077">
        <f>72340684+21031288+2904294+8136439</f>
        <v>104412705</v>
      </c>
      <c r="D6" s="1090" t="s">
        <v>367</v>
      </c>
      <c r="E6" s="1077">
        <f>C6/0.85*0.15</f>
        <v>18425771.470588233</v>
      </c>
      <c r="F6" s="1077">
        <f>C6+E6</f>
        <v>122838476.47058824</v>
      </c>
      <c r="G6" s="1077">
        <f>F6*0.69283411</f>
        <v>85106686.519255936</v>
      </c>
      <c r="H6" s="643" t="s">
        <v>169</v>
      </c>
      <c r="I6" s="668" t="s">
        <v>353</v>
      </c>
      <c r="J6" s="1054" t="s">
        <v>84</v>
      </c>
      <c r="K6" s="796" t="s">
        <v>298</v>
      </c>
      <c r="L6" s="668" t="s">
        <v>115</v>
      </c>
      <c r="M6" s="668" t="s">
        <v>42</v>
      </c>
      <c r="N6" s="668" t="s">
        <v>8</v>
      </c>
      <c r="O6" s="196">
        <v>0</v>
      </c>
      <c r="P6" s="196">
        <v>111</v>
      </c>
      <c r="Q6" s="668" t="s">
        <v>470</v>
      </c>
      <c r="R6" s="657" t="s">
        <v>483</v>
      </c>
      <c r="S6" s="219"/>
      <c r="T6" s="219"/>
      <c r="U6" s="220"/>
      <c r="V6" s="220"/>
      <c r="W6" s="220"/>
      <c r="X6" s="220"/>
      <c r="Y6" s="220"/>
      <c r="Z6" s="220"/>
      <c r="AA6" s="220"/>
      <c r="AB6" s="220"/>
      <c r="AC6" s="220"/>
      <c r="AD6" s="220"/>
    </row>
    <row r="7" spans="1:30" s="221" customFormat="1" ht="238.9" customHeight="1">
      <c r="A7" s="1084"/>
      <c r="B7" s="1057"/>
      <c r="C7" s="1057"/>
      <c r="D7" s="801"/>
      <c r="E7" s="1057"/>
      <c r="F7" s="1057"/>
      <c r="G7" s="1057"/>
      <c r="H7" s="669" t="s">
        <v>72</v>
      </c>
      <c r="I7" s="669" t="s">
        <v>351</v>
      </c>
      <c r="J7" s="1055"/>
      <c r="K7" s="797"/>
      <c r="L7" s="669" t="s">
        <v>181</v>
      </c>
      <c r="M7" s="633">
        <v>19000</v>
      </c>
      <c r="N7" s="669" t="s">
        <v>123</v>
      </c>
      <c r="O7" s="131" t="s">
        <v>8</v>
      </c>
      <c r="P7" s="633">
        <v>0</v>
      </c>
      <c r="Q7" s="669" t="s">
        <v>470</v>
      </c>
      <c r="R7" s="634" t="s">
        <v>488</v>
      </c>
      <c r="S7" s="219"/>
      <c r="T7" s="219"/>
      <c r="U7" s="220"/>
      <c r="V7" s="220"/>
      <c r="W7" s="220"/>
      <c r="X7" s="220"/>
      <c r="Y7" s="220"/>
      <c r="Z7" s="220"/>
      <c r="AA7" s="220"/>
      <c r="AB7" s="220"/>
      <c r="AC7" s="220"/>
      <c r="AD7" s="220"/>
    </row>
    <row r="8" spans="1:30" s="221" customFormat="1" ht="176.45" customHeight="1">
      <c r="A8" s="1084"/>
      <c r="B8" s="1057"/>
      <c r="C8" s="1057"/>
      <c r="D8" s="801"/>
      <c r="E8" s="1057"/>
      <c r="F8" s="1057"/>
      <c r="G8" s="1057">
        <f>F6*0.201424609</f>
        <v>24742692.093243938</v>
      </c>
      <c r="H8" s="673" t="s">
        <v>465</v>
      </c>
      <c r="I8" s="669" t="s">
        <v>482</v>
      </c>
      <c r="J8" s="1055"/>
      <c r="K8" s="797"/>
      <c r="L8" s="669" t="s">
        <v>300</v>
      </c>
      <c r="M8" s="131">
        <v>0</v>
      </c>
      <c r="N8" s="675" t="s">
        <v>8</v>
      </c>
      <c r="O8" s="131">
        <v>0</v>
      </c>
      <c r="P8" s="676">
        <v>26</v>
      </c>
      <c r="Q8" s="669" t="s">
        <v>470</v>
      </c>
      <c r="R8" s="634" t="s">
        <v>484</v>
      </c>
      <c r="S8" s="219"/>
      <c r="T8" s="219"/>
      <c r="U8" s="220"/>
      <c r="V8" s="220"/>
      <c r="W8" s="220"/>
      <c r="X8" s="220"/>
      <c r="Y8" s="220"/>
      <c r="Z8" s="220"/>
      <c r="AA8" s="220"/>
      <c r="AB8" s="220"/>
      <c r="AC8" s="220"/>
      <c r="AD8" s="220"/>
    </row>
    <row r="9" spans="1:30" s="221" customFormat="1" ht="176.45" customHeight="1">
      <c r="A9" s="1084"/>
      <c r="B9" s="1057"/>
      <c r="C9" s="1057"/>
      <c r="D9" s="801"/>
      <c r="E9" s="1057"/>
      <c r="F9" s="1057"/>
      <c r="G9" s="1057"/>
      <c r="H9" s="644" t="s">
        <v>466</v>
      </c>
      <c r="I9" s="669" t="s">
        <v>460</v>
      </c>
      <c r="J9" s="1055"/>
      <c r="K9" s="797"/>
      <c r="L9" s="669" t="s">
        <v>342</v>
      </c>
      <c r="M9" s="670">
        <v>7.5</v>
      </c>
      <c r="N9" s="669" t="s">
        <v>123</v>
      </c>
      <c r="O9" s="131" t="s">
        <v>8</v>
      </c>
      <c r="P9" s="659">
        <v>26.9</v>
      </c>
      <c r="Q9" s="675" t="s">
        <v>457</v>
      </c>
      <c r="R9" s="634" t="s">
        <v>478</v>
      </c>
      <c r="S9" s="219"/>
      <c r="T9" s="219"/>
      <c r="U9" s="220"/>
      <c r="V9" s="220"/>
      <c r="W9" s="220"/>
      <c r="X9" s="220"/>
      <c r="Y9" s="220"/>
      <c r="Z9" s="220"/>
      <c r="AA9" s="220"/>
      <c r="AB9" s="220"/>
      <c r="AC9" s="220"/>
      <c r="AD9" s="220"/>
    </row>
    <row r="10" spans="1:30" s="221" customFormat="1" ht="281.45" customHeight="1">
      <c r="A10" s="1084"/>
      <c r="B10" s="1057"/>
      <c r="C10" s="1057"/>
      <c r="D10" s="801"/>
      <c r="E10" s="1057"/>
      <c r="F10" s="1057"/>
      <c r="G10" s="1057">
        <f>F6*0.10574128</f>
        <v>12989097.735249883</v>
      </c>
      <c r="H10" s="673" t="s">
        <v>465</v>
      </c>
      <c r="I10" s="671" t="s">
        <v>352</v>
      </c>
      <c r="J10" s="1055"/>
      <c r="K10" s="797"/>
      <c r="L10" s="669" t="s">
        <v>300</v>
      </c>
      <c r="M10" s="131">
        <v>0</v>
      </c>
      <c r="N10" s="667" t="s">
        <v>8</v>
      </c>
      <c r="O10" s="676">
        <f>P10</f>
        <v>13</v>
      </c>
      <c r="P10" s="645">
        <v>13</v>
      </c>
      <c r="Q10" s="669" t="s">
        <v>470</v>
      </c>
      <c r="R10" s="646" t="s">
        <v>479</v>
      </c>
      <c r="S10" s="219"/>
      <c r="T10" s="219"/>
      <c r="U10" s="220"/>
      <c r="V10" s="220"/>
      <c r="W10" s="220"/>
      <c r="X10" s="220"/>
      <c r="Y10" s="220"/>
      <c r="Z10" s="220"/>
      <c r="AA10" s="220"/>
      <c r="AB10" s="220"/>
      <c r="AC10" s="220"/>
      <c r="AD10" s="220"/>
    </row>
    <row r="11" spans="1:30" s="221" customFormat="1" ht="177" customHeight="1">
      <c r="A11" s="1084"/>
      <c r="B11" s="1057"/>
      <c r="C11" s="1057"/>
      <c r="D11" s="801"/>
      <c r="E11" s="1057"/>
      <c r="F11" s="1057"/>
      <c r="G11" s="1057"/>
      <c r="H11" s="644" t="s">
        <v>466</v>
      </c>
      <c r="I11" s="671" t="s">
        <v>363</v>
      </c>
      <c r="J11" s="1055"/>
      <c r="K11" s="797"/>
      <c r="L11" s="329" t="s">
        <v>306</v>
      </c>
      <c r="M11" s="151">
        <v>1</v>
      </c>
      <c r="N11" s="672">
        <v>2020</v>
      </c>
      <c r="O11" s="672" t="s">
        <v>8</v>
      </c>
      <c r="P11" s="151">
        <v>0</v>
      </c>
      <c r="Q11" s="675" t="s">
        <v>457</v>
      </c>
      <c r="R11" s="634" t="s">
        <v>486</v>
      </c>
      <c r="S11" s="219"/>
      <c r="T11" s="219"/>
      <c r="U11" s="220"/>
      <c r="V11" s="220"/>
      <c r="W11" s="220"/>
      <c r="X11" s="220"/>
      <c r="Y11" s="220"/>
      <c r="Z11" s="220"/>
      <c r="AA11" s="220"/>
      <c r="AB11" s="220"/>
      <c r="AC11" s="220"/>
      <c r="AD11" s="220"/>
    </row>
    <row r="12" spans="1:30" s="221" customFormat="1" ht="360" customHeight="1">
      <c r="A12" s="1084"/>
      <c r="B12" s="1057"/>
      <c r="C12" s="1057"/>
      <c r="D12" s="801"/>
      <c r="E12" s="1057"/>
      <c r="F12" s="1057"/>
      <c r="G12" s="1057"/>
      <c r="H12" s="672" t="s">
        <v>349</v>
      </c>
      <c r="I12" s="671" t="s">
        <v>440</v>
      </c>
      <c r="J12" s="1055"/>
      <c r="K12" s="797"/>
      <c r="L12" s="592" t="s">
        <v>342</v>
      </c>
      <c r="M12" s="151">
        <v>100</v>
      </c>
      <c r="N12" s="672">
        <v>2020</v>
      </c>
      <c r="O12" s="672" t="s">
        <v>8</v>
      </c>
      <c r="P12" s="151">
        <v>69</v>
      </c>
      <c r="Q12" s="669" t="s">
        <v>470</v>
      </c>
      <c r="R12" s="634" t="s">
        <v>361</v>
      </c>
      <c r="S12" s="219"/>
      <c r="T12" s="219"/>
      <c r="U12" s="220"/>
      <c r="V12" s="220"/>
      <c r="W12" s="220"/>
      <c r="X12" s="220"/>
      <c r="Y12" s="220"/>
      <c r="Z12" s="220"/>
      <c r="AA12" s="220"/>
      <c r="AB12" s="220"/>
      <c r="AC12" s="220"/>
      <c r="AD12" s="220"/>
    </row>
    <row r="13" spans="1:30" s="221" customFormat="1" ht="360" customHeight="1">
      <c r="A13" s="1084"/>
      <c r="B13" s="1057"/>
      <c r="C13" s="1057">
        <v>14614962</v>
      </c>
      <c r="D13" s="1031" t="s">
        <v>477</v>
      </c>
      <c r="E13" s="1057">
        <f>C13/0.85*0.15</f>
        <v>2579110.9411764704</v>
      </c>
      <c r="F13" s="1057">
        <f>C13+E13</f>
        <v>17194072.94117647</v>
      </c>
      <c r="G13" s="1057">
        <f>F13</f>
        <v>17194072.94117647</v>
      </c>
      <c r="H13" s="675" t="s">
        <v>465</v>
      </c>
      <c r="I13" s="675" t="s">
        <v>482</v>
      </c>
      <c r="J13" s="1055" t="s">
        <v>84</v>
      </c>
      <c r="K13" s="797" t="s">
        <v>298</v>
      </c>
      <c r="L13" s="592" t="s">
        <v>300</v>
      </c>
      <c r="M13" s="151">
        <v>0</v>
      </c>
      <c r="N13" s="667" t="s">
        <v>8</v>
      </c>
      <c r="O13" s="672">
        <v>0</v>
      </c>
      <c r="P13" s="151">
        <v>18</v>
      </c>
      <c r="Q13" s="669" t="s">
        <v>470</v>
      </c>
      <c r="R13" s="634" t="s">
        <v>480</v>
      </c>
      <c r="S13" s="219"/>
      <c r="T13" s="219"/>
      <c r="U13" s="220"/>
      <c r="V13" s="220"/>
      <c r="W13" s="220"/>
      <c r="X13" s="220"/>
      <c r="Y13" s="220"/>
      <c r="Z13" s="220"/>
      <c r="AA13" s="220"/>
      <c r="AB13" s="220"/>
      <c r="AC13" s="220"/>
      <c r="AD13" s="220"/>
    </row>
    <row r="14" spans="1:30" s="221" customFormat="1" ht="360" customHeight="1">
      <c r="A14" s="1084"/>
      <c r="B14" s="1057"/>
      <c r="C14" s="1057"/>
      <c r="D14" s="1031"/>
      <c r="E14" s="1057"/>
      <c r="F14" s="1057"/>
      <c r="G14" s="1057"/>
      <c r="H14" s="667" t="s">
        <v>466</v>
      </c>
      <c r="I14" s="675" t="s">
        <v>460</v>
      </c>
      <c r="J14" s="1055"/>
      <c r="K14" s="797"/>
      <c r="L14" s="592" t="s">
        <v>342</v>
      </c>
      <c r="M14" s="660">
        <v>5.2</v>
      </c>
      <c r="N14" s="672" t="s">
        <v>123</v>
      </c>
      <c r="O14" s="672" t="s">
        <v>8</v>
      </c>
      <c r="P14" s="660">
        <v>18.7</v>
      </c>
      <c r="Q14" s="669" t="s">
        <v>457</v>
      </c>
      <c r="R14" s="634" t="s">
        <v>481</v>
      </c>
      <c r="S14" s="219"/>
      <c r="T14" s="219"/>
      <c r="U14" s="220"/>
      <c r="V14" s="220"/>
      <c r="W14" s="220"/>
      <c r="X14" s="220"/>
      <c r="Y14" s="220"/>
      <c r="Z14" s="220"/>
      <c r="AA14" s="220"/>
      <c r="AB14" s="220"/>
      <c r="AC14" s="220"/>
      <c r="AD14" s="220"/>
    </row>
    <row r="15" spans="1:30" s="221" customFormat="1" ht="343.9" customHeight="1">
      <c r="A15" s="1084"/>
      <c r="B15" s="1057"/>
      <c r="C15" s="1057">
        <v>38200309</v>
      </c>
      <c r="D15" s="1088" t="s">
        <v>365</v>
      </c>
      <c r="E15" s="1057">
        <f>C15/0.85*0.15</f>
        <v>6741231</v>
      </c>
      <c r="F15" s="1057">
        <f>C15+E15</f>
        <v>44941540</v>
      </c>
      <c r="G15" s="1057">
        <f>F15</f>
        <v>44941540</v>
      </c>
      <c r="H15" s="673" t="s">
        <v>465</v>
      </c>
      <c r="I15" s="673" t="s">
        <v>459</v>
      </c>
      <c r="J15" s="1055" t="s">
        <v>84</v>
      </c>
      <c r="K15" s="797" t="s">
        <v>298</v>
      </c>
      <c r="L15" s="673" t="s">
        <v>300</v>
      </c>
      <c r="M15" s="673" t="s">
        <v>42</v>
      </c>
      <c r="N15" s="672" t="s">
        <v>8</v>
      </c>
      <c r="O15" s="676">
        <v>1</v>
      </c>
      <c r="P15" s="673" t="s">
        <v>461</v>
      </c>
      <c r="Q15" s="669" t="s">
        <v>470</v>
      </c>
      <c r="R15" s="647" t="s">
        <v>463</v>
      </c>
      <c r="S15" s="219"/>
      <c r="T15" s="219"/>
      <c r="U15" s="220"/>
      <c r="V15" s="220"/>
      <c r="W15" s="220"/>
      <c r="X15" s="220"/>
      <c r="Y15" s="220"/>
      <c r="Z15" s="220"/>
      <c r="AA15" s="220"/>
      <c r="AB15" s="220"/>
      <c r="AC15" s="220"/>
      <c r="AD15" s="220"/>
    </row>
    <row r="16" spans="1:30" s="221" customFormat="1" ht="149.25" customHeight="1" thickBot="1">
      <c r="A16" s="1085"/>
      <c r="B16" s="1086"/>
      <c r="C16" s="1086"/>
      <c r="D16" s="1089"/>
      <c r="E16" s="1086"/>
      <c r="F16" s="1086"/>
      <c r="G16" s="1086"/>
      <c r="H16" s="674" t="s">
        <v>466</v>
      </c>
      <c r="I16" s="674" t="s">
        <v>369</v>
      </c>
      <c r="J16" s="1058"/>
      <c r="K16" s="1048"/>
      <c r="L16" s="674" t="s">
        <v>370</v>
      </c>
      <c r="M16" s="674" t="s">
        <v>344</v>
      </c>
      <c r="N16" s="562">
        <v>2020</v>
      </c>
      <c r="O16" s="677" t="s">
        <v>8</v>
      </c>
      <c r="P16" s="678">
        <v>0</v>
      </c>
      <c r="Q16" s="674" t="s">
        <v>436</v>
      </c>
      <c r="R16" s="648" t="s">
        <v>487</v>
      </c>
      <c r="S16" s="219"/>
      <c r="T16" s="219"/>
      <c r="U16" s="220"/>
      <c r="V16" s="220"/>
      <c r="W16" s="220"/>
      <c r="X16" s="220"/>
      <c r="Y16" s="220"/>
      <c r="Z16" s="220"/>
      <c r="AA16" s="220"/>
      <c r="AB16" s="220"/>
      <c r="AC16" s="220"/>
      <c r="AD16" s="220"/>
    </row>
    <row r="17" spans="1:19" ht="245.45" customHeight="1">
      <c r="A17" s="1067" t="s">
        <v>458</v>
      </c>
      <c r="B17" s="1072">
        <f>F17+F20+F23+F26</f>
        <v>283571308.2352941</v>
      </c>
      <c r="C17" s="1059">
        <v>144545499</v>
      </c>
      <c r="D17" s="1070" t="s">
        <v>437</v>
      </c>
      <c r="E17" s="1059">
        <f>C17/0.85*0.15</f>
        <v>25508029.235294119</v>
      </c>
      <c r="F17" s="1059">
        <f>C17+E17</f>
        <v>170053528.2352941</v>
      </c>
      <c r="G17" s="1059">
        <f>F17</f>
        <v>170053528.2352941</v>
      </c>
      <c r="H17" s="566" t="s">
        <v>170</v>
      </c>
      <c r="I17" s="567" t="s">
        <v>350</v>
      </c>
      <c r="J17" s="1063" t="s">
        <v>84</v>
      </c>
      <c r="K17" s="1047" t="s">
        <v>298</v>
      </c>
      <c r="L17" s="567" t="s">
        <v>115</v>
      </c>
      <c r="M17" s="568">
        <v>0</v>
      </c>
      <c r="N17" s="567" t="s">
        <v>8</v>
      </c>
      <c r="O17" s="649">
        <f>P17</f>
        <v>29.35</v>
      </c>
      <c r="P17" s="650">
        <v>29.35</v>
      </c>
      <c r="Q17" s="567" t="s">
        <v>470</v>
      </c>
      <c r="R17" s="651" t="s">
        <v>442</v>
      </c>
      <c r="S17"/>
    </row>
    <row r="18" spans="1:19" ht="185.45" customHeight="1">
      <c r="A18" s="1068"/>
      <c r="B18" s="1073"/>
      <c r="C18" s="1049"/>
      <c r="D18" s="1071"/>
      <c r="E18" s="1049"/>
      <c r="F18" s="1049"/>
      <c r="G18" s="1049"/>
      <c r="H18" s="637" t="s">
        <v>116</v>
      </c>
      <c r="I18" s="637" t="s">
        <v>354</v>
      </c>
      <c r="J18" s="1055"/>
      <c r="K18" s="797"/>
      <c r="L18" s="637" t="s">
        <v>172</v>
      </c>
      <c r="M18" s="131">
        <v>219954364</v>
      </c>
      <c r="N18" s="637" t="s">
        <v>46</v>
      </c>
      <c r="O18" s="131" t="s">
        <v>8</v>
      </c>
      <c r="P18" s="131">
        <v>231171674</v>
      </c>
      <c r="Q18" s="637" t="s">
        <v>470</v>
      </c>
      <c r="R18" s="652" t="s">
        <v>446</v>
      </c>
      <c r="S18"/>
    </row>
    <row r="19" spans="1:19" ht="273.75" customHeight="1">
      <c r="A19" s="1068"/>
      <c r="B19" s="1073"/>
      <c r="C19" s="1049"/>
      <c r="D19" s="1071"/>
      <c r="E19" s="1049"/>
      <c r="F19" s="1049"/>
      <c r="G19" s="1049"/>
      <c r="H19" s="638" t="s">
        <v>117</v>
      </c>
      <c r="I19" s="638" t="s">
        <v>346</v>
      </c>
      <c r="J19" s="1055"/>
      <c r="K19" s="797"/>
      <c r="L19" s="638" t="s">
        <v>445</v>
      </c>
      <c r="M19" s="633">
        <v>0</v>
      </c>
      <c r="N19" s="552" t="s">
        <v>123</v>
      </c>
      <c r="O19" s="131" t="s">
        <v>8</v>
      </c>
      <c r="P19" s="131">
        <v>76620</v>
      </c>
      <c r="Q19" s="637" t="s">
        <v>470</v>
      </c>
      <c r="R19" s="652" t="s">
        <v>462</v>
      </c>
      <c r="S19"/>
    </row>
    <row r="20" spans="1:19" ht="229.15" customHeight="1">
      <c r="A20" s="1068"/>
      <c r="B20" s="1073"/>
      <c r="C20" s="1049">
        <v>40845339</v>
      </c>
      <c r="D20" s="1071"/>
      <c r="E20" s="1049">
        <f>C20/0.85*0.15</f>
        <v>7208001</v>
      </c>
      <c r="F20" s="1049">
        <f>C20+E20</f>
        <v>48053340</v>
      </c>
      <c r="G20" s="1049">
        <f>F20</f>
        <v>48053340</v>
      </c>
      <c r="H20" s="638" t="s">
        <v>170</v>
      </c>
      <c r="I20" s="638" t="s">
        <v>350</v>
      </c>
      <c r="J20" s="1055" t="s">
        <v>435</v>
      </c>
      <c r="K20" s="797" t="s">
        <v>41</v>
      </c>
      <c r="L20" s="638" t="s">
        <v>115</v>
      </c>
      <c r="M20" s="640">
        <v>0</v>
      </c>
      <c r="N20" s="638" t="s">
        <v>8</v>
      </c>
      <c r="O20" s="642">
        <v>12.06</v>
      </c>
      <c r="P20" s="591">
        <v>12.06</v>
      </c>
      <c r="Q20" s="637" t="s">
        <v>470</v>
      </c>
      <c r="R20" s="652" t="s">
        <v>474</v>
      </c>
      <c r="S20"/>
    </row>
    <row r="21" spans="1:19" ht="162" customHeight="1">
      <c r="A21" s="1068"/>
      <c r="B21" s="1073"/>
      <c r="C21" s="1049"/>
      <c r="D21" s="1071"/>
      <c r="E21" s="1049"/>
      <c r="F21" s="1049"/>
      <c r="G21" s="1049"/>
      <c r="H21" s="638" t="s">
        <v>116</v>
      </c>
      <c r="I21" s="638" t="s">
        <v>354</v>
      </c>
      <c r="J21" s="1055"/>
      <c r="K21" s="797"/>
      <c r="L21" s="638" t="s">
        <v>172</v>
      </c>
      <c r="M21" s="640">
        <v>70657577</v>
      </c>
      <c r="N21" s="638" t="s">
        <v>46</v>
      </c>
      <c r="O21" s="640" t="s">
        <v>8</v>
      </c>
      <c r="P21" s="640">
        <v>74226270</v>
      </c>
      <c r="Q21" s="637" t="s">
        <v>470</v>
      </c>
      <c r="R21" s="652" t="s">
        <v>447</v>
      </c>
      <c r="S21"/>
    </row>
    <row r="22" spans="1:19" ht="173.45" customHeight="1">
      <c r="A22" s="1068"/>
      <c r="B22" s="1073"/>
      <c r="C22" s="1049"/>
      <c r="D22" s="1071"/>
      <c r="E22" s="1049"/>
      <c r="F22" s="1049"/>
      <c r="G22" s="1049"/>
      <c r="H22" s="638" t="s">
        <v>117</v>
      </c>
      <c r="I22" s="638" t="s">
        <v>346</v>
      </c>
      <c r="J22" s="1055"/>
      <c r="K22" s="797"/>
      <c r="L22" s="638" t="s">
        <v>448</v>
      </c>
      <c r="M22" s="633">
        <v>0</v>
      </c>
      <c r="N22" s="552" t="s">
        <v>46</v>
      </c>
      <c r="O22" s="640" t="s">
        <v>8</v>
      </c>
      <c r="P22" s="640">
        <v>25886</v>
      </c>
      <c r="Q22" s="637" t="s">
        <v>470</v>
      </c>
      <c r="R22" s="652" t="s">
        <v>467</v>
      </c>
      <c r="S22"/>
    </row>
    <row r="23" spans="1:19" ht="219.6" customHeight="1">
      <c r="A23" s="1068"/>
      <c r="B23" s="1073"/>
      <c r="C23" s="1049">
        <v>53406724</v>
      </c>
      <c r="D23" s="1075" t="s">
        <v>438</v>
      </c>
      <c r="E23" s="1049">
        <f>C23/0.85*0.15</f>
        <v>9424716</v>
      </c>
      <c r="F23" s="1049">
        <f>C23+E23</f>
        <v>62831440</v>
      </c>
      <c r="G23" s="1049">
        <f>F23</f>
        <v>62831440</v>
      </c>
      <c r="H23" s="296" t="s">
        <v>170</v>
      </c>
      <c r="I23" s="637" t="s">
        <v>350</v>
      </c>
      <c r="J23" s="1055" t="s">
        <v>84</v>
      </c>
      <c r="K23" s="797" t="s">
        <v>298</v>
      </c>
      <c r="L23" s="637" t="s">
        <v>115</v>
      </c>
      <c r="M23" s="637" t="s">
        <v>42</v>
      </c>
      <c r="N23" s="637" t="s">
        <v>8</v>
      </c>
      <c r="O23" s="642">
        <f>P23</f>
        <v>30.68</v>
      </c>
      <c r="P23" s="591">
        <v>30.68</v>
      </c>
      <c r="Q23" s="637" t="s">
        <v>470</v>
      </c>
      <c r="R23" s="634" t="s">
        <v>475</v>
      </c>
      <c r="S23"/>
    </row>
    <row r="24" spans="1:19" ht="169.15" customHeight="1">
      <c r="A24" s="1068"/>
      <c r="B24" s="1073"/>
      <c r="C24" s="1049"/>
      <c r="D24" s="801"/>
      <c r="E24" s="1049"/>
      <c r="F24" s="1049"/>
      <c r="G24" s="1049"/>
      <c r="H24" s="637" t="s">
        <v>116</v>
      </c>
      <c r="I24" s="637" t="s">
        <v>345</v>
      </c>
      <c r="J24" s="1055"/>
      <c r="K24" s="797"/>
      <c r="L24" s="637" t="s">
        <v>172</v>
      </c>
      <c r="M24" s="131">
        <v>118440032</v>
      </c>
      <c r="N24" s="637" t="s">
        <v>46</v>
      </c>
      <c r="O24" s="131" t="s">
        <v>8</v>
      </c>
      <c r="P24" s="131">
        <v>125040811</v>
      </c>
      <c r="Q24" s="637" t="s">
        <v>470</v>
      </c>
      <c r="R24" s="647" t="s">
        <v>449</v>
      </c>
      <c r="S24"/>
    </row>
    <row r="25" spans="1:19" ht="178.15" customHeight="1">
      <c r="A25" s="1068"/>
      <c r="B25" s="1073"/>
      <c r="C25" s="1049"/>
      <c r="D25" s="801"/>
      <c r="E25" s="1049"/>
      <c r="F25" s="1049"/>
      <c r="G25" s="1049"/>
      <c r="H25" s="638" t="s">
        <v>117</v>
      </c>
      <c r="I25" s="638" t="s">
        <v>346</v>
      </c>
      <c r="J25" s="1055"/>
      <c r="K25" s="797"/>
      <c r="L25" s="653" t="s">
        <v>476</v>
      </c>
      <c r="M25" s="633">
        <v>0</v>
      </c>
      <c r="N25" s="552" t="s">
        <v>46</v>
      </c>
      <c r="O25" s="131" t="s">
        <v>8</v>
      </c>
      <c r="P25" s="131">
        <v>10532</v>
      </c>
      <c r="Q25" s="637" t="s">
        <v>470</v>
      </c>
      <c r="R25" s="652" t="s">
        <v>450</v>
      </c>
      <c r="S25"/>
    </row>
    <row r="26" spans="1:19" ht="199.9" customHeight="1">
      <c r="A26" s="1068"/>
      <c r="B26" s="1073"/>
      <c r="C26" s="1049">
        <v>2238050</v>
      </c>
      <c r="D26" s="801" t="s">
        <v>364</v>
      </c>
      <c r="E26" s="1049">
        <f>C26/0.85*0.15</f>
        <v>394950</v>
      </c>
      <c r="F26" s="1049">
        <f>C26+E26</f>
        <v>2633000</v>
      </c>
      <c r="G26" s="1049">
        <f>F26</f>
        <v>2633000</v>
      </c>
      <c r="H26" s="638" t="s">
        <v>465</v>
      </c>
      <c r="I26" s="637" t="s">
        <v>455</v>
      </c>
      <c r="J26" s="1055" t="s">
        <v>84</v>
      </c>
      <c r="K26" s="797" t="s">
        <v>298</v>
      </c>
      <c r="L26" s="637" t="s">
        <v>300</v>
      </c>
      <c r="M26" s="637" t="s">
        <v>42</v>
      </c>
      <c r="N26" s="658" t="s">
        <v>8</v>
      </c>
      <c r="O26" s="131">
        <v>0</v>
      </c>
      <c r="P26" s="131">
        <v>113</v>
      </c>
      <c r="Q26" s="637" t="s">
        <v>470</v>
      </c>
      <c r="R26" s="647" t="s">
        <v>451</v>
      </c>
      <c r="S26"/>
    </row>
    <row r="27" spans="1:19" ht="168.75" customHeight="1" thickBot="1">
      <c r="A27" s="1069"/>
      <c r="B27" s="1074"/>
      <c r="C27" s="1060"/>
      <c r="D27" s="802"/>
      <c r="E27" s="1060"/>
      <c r="F27" s="1060"/>
      <c r="G27" s="1060"/>
      <c r="H27" s="639" t="s">
        <v>466</v>
      </c>
      <c r="I27" s="635" t="s">
        <v>362</v>
      </c>
      <c r="J27" s="1058"/>
      <c r="K27" s="1048"/>
      <c r="L27" s="635" t="s">
        <v>306</v>
      </c>
      <c r="M27" s="635" t="s">
        <v>441</v>
      </c>
      <c r="N27" s="635" t="s">
        <v>271</v>
      </c>
      <c r="O27" s="654" t="s">
        <v>8</v>
      </c>
      <c r="P27" s="635" t="s">
        <v>443</v>
      </c>
      <c r="Q27" s="627" t="s">
        <v>436</v>
      </c>
      <c r="R27" s="655" t="s">
        <v>444</v>
      </c>
      <c r="S27"/>
    </row>
    <row r="28" spans="1:19" ht="181.5" customHeight="1">
      <c r="A28" s="1064" t="s">
        <v>348</v>
      </c>
      <c r="B28" s="1061">
        <f>F28</f>
        <v>2733268.2352941176</v>
      </c>
      <c r="C28" s="1059">
        <v>2323278</v>
      </c>
      <c r="D28" s="1066" t="s">
        <v>366</v>
      </c>
      <c r="E28" s="1061">
        <f>C28/0.85*0.15</f>
        <v>409990.23529411765</v>
      </c>
      <c r="F28" s="1061">
        <f>C28+E28</f>
        <v>2733268.2352941176</v>
      </c>
      <c r="G28" s="1061">
        <f>F28</f>
        <v>2733268.2352941176</v>
      </c>
      <c r="H28" s="567" t="s">
        <v>171</v>
      </c>
      <c r="I28" s="567" t="s">
        <v>347</v>
      </c>
      <c r="J28" s="1063" t="s">
        <v>84</v>
      </c>
      <c r="K28" s="1047" t="s">
        <v>298</v>
      </c>
      <c r="L28" s="567" t="s">
        <v>156</v>
      </c>
      <c r="M28" s="567" t="s">
        <v>42</v>
      </c>
      <c r="N28" s="567" t="s">
        <v>8</v>
      </c>
      <c r="O28" s="568">
        <v>0</v>
      </c>
      <c r="P28" s="567" t="s">
        <v>155</v>
      </c>
      <c r="Q28" s="567" t="s">
        <v>470</v>
      </c>
      <c r="R28" s="651" t="s">
        <v>464</v>
      </c>
      <c r="S28"/>
    </row>
    <row r="29" spans="1:19" ht="93.75" customHeight="1" thickBot="1">
      <c r="A29" s="1065"/>
      <c r="B29" s="1062"/>
      <c r="C29" s="1060"/>
      <c r="D29" s="802"/>
      <c r="E29" s="1062"/>
      <c r="F29" s="1062"/>
      <c r="G29" s="1062"/>
      <c r="H29" s="639" t="s">
        <v>466</v>
      </c>
      <c r="I29" s="639" t="s">
        <v>452</v>
      </c>
      <c r="J29" s="1058"/>
      <c r="K29" s="1048"/>
      <c r="L29" s="639" t="s">
        <v>439</v>
      </c>
      <c r="M29" s="656">
        <v>4802.25</v>
      </c>
      <c r="N29" s="639" t="s">
        <v>123</v>
      </c>
      <c r="O29" s="641" t="s">
        <v>8</v>
      </c>
      <c r="P29" s="641">
        <v>299225</v>
      </c>
      <c r="Q29" s="569" t="s">
        <v>436</v>
      </c>
      <c r="R29" s="655" t="s">
        <v>453</v>
      </c>
      <c r="S29"/>
    </row>
    <row r="30" spans="1:19">
      <c r="B30" t="s">
        <v>84</v>
      </c>
      <c r="C30" s="629">
        <f>SUM(C6:C19,C23:C29)</f>
        <v>359741527</v>
      </c>
      <c r="D30" s="630"/>
      <c r="E30" s="630">
        <f>SUM(E6:E19,E23:E29)</f>
        <v>63483798.882352941</v>
      </c>
      <c r="F30" s="630">
        <f>SUM(F6:F19,F23:F29)</f>
        <v>423225325.88235295</v>
      </c>
      <c r="G30" s="630">
        <f>SUM(G6:G19,G23:G29)</f>
        <v>423225325.75951445</v>
      </c>
      <c r="M30" s="590">
        <f>SUM(M6:M29)</f>
        <v>409075888.94999999</v>
      </c>
      <c r="O30" s="130">
        <f>SUM(O6:O29)</f>
        <v>86.09</v>
      </c>
      <c r="P30" s="130">
        <f>SUM(P6:P29)</f>
        <v>430851485.69</v>
      </c>
    </row>
    <row r="31" spans="1:19">
      <c r="B31" s="130" t="s">
        <v>371</v>
      </c>
      <c r="C31" s="286">
        <f>C20</f>
        <v>40845339</v>
      </c>
      <c r="D31" s="286"/>
      <c r="E31" s="286">
        <f t="shared" ref="E31" si="0">E20</f>
        <v>7208001</v>
      </c>
      <c r="F31" s="286">
        <f t="shared" ref="F31:G31" si="1">F20</f>
        <v>48053340</v>
      </c>
      <c r="G31" s="286">
        <f t="shared" si="1"/>
        <v>48053340</v>
      </c>
    </row>
    <row r="32" spans="1:19">
      <c r="C32" s="631">
        <f>SUM(C30:C31)</f>
        <v>400586866</v>
      </c>
      <c r="D32" s="286"/>
      <c r="E32" s="286"/>
      <c r="F32" s="632">
        <f>SUM(F30:F31)</f>
        <v>471278665.88235295</v>
      </c>
      <c r="G32" s="286"/>
    </row>
    <row r="33" spans="1:19" ht="15.75" thickBot="1"/>
    <row r="34" spans="1:19" s="14" customFormat="1" ht="30.75" thickBot="1">
      <c r="A34" s="582" t="s">
        <v>355</v>
      </c>
      <c r="B34" s="583" t="s">
        <v>356</v>
      </c>
      <c r="C34" s="583" t="s">
        <v>357</v>
      </c>
      <c r="D34" s="583" t="s">
        <v>358</v>
      </c>
      <c r="E34" s="583" t="s">
        <v>31</v>
      </c>
      <c r="F34" s="584" t="s">
        <v>38</v>
      </c>
      <c r="G34" s="583" t="s">
        <v>359</v>
      </c>
      <c r="H34" s="584" t="s">
        <v>29</v>
      </c>
      <c r="I34" s="585" t="s">
        <v>30</v>
      </c>
      <c r="J34" s="56"/>
      <c r="K34" s="55"/>
      <c r="N34" s="69"/>
      <c r="O34" s="69"/>
      <c r="R34" s="551"/>
      <c r="S34" s="534"/>
    </row>
    <row r="35" spans="1:19" s="557" customFormat="1" ht="111.75" customHeight="1">
      <c r="A35" s="593" t="str">
        <f>H6</f>
        <v>RCO49</v>
      </c>
      <c r="B35" s="597" t="str">
        <f>I6</f>
        <v>Length of rail reconstructed or modernised - TENT-T (rekonstruotų arba modernizuotų geležinkelių ilgis – TEN-T)</v>
      </c>
      <c r="C35" s="598" t="str">
        <f>L6</f>
        <v>Km</v>
      </c>
      <c r="D35" s="599" t="str">
        <f>M6</f>
        <v>0</v>
      </c>
      <c r="E35" s="600" t="s">
        <v>84</v>
      </c>
      <c r="F35" s="601" t="s">
        <v>298</v>
      </c>
      <c r="G35" s="602" t="s">
        <v>8</v>
      </c>
      <c r="H35" s="601">
        <f>O6</f>
        <v>0</v>
      </c>
      <c r="I35" s="603">
        <f>P6</f>
        <v>111</v>
      </c>
      <c r="J35" s="553"/>
      <c r="K35" s="556"/>
      <c r="R35" s="558"/>
      <c r="S35" s="559"/>
    </row>
    <row r="36" spans="1:19" s="557" customFormat="1" ht="75" customHeight="1">
      <c r="A36" s="588" t="str">
        <f>H7</f>
        <v>RCR29</v>
      </c>
      <c r="B36" s="604" t="str">
        <f>I7</f>
        <v>Estimated greenhouse emissions (numatomas išmetamas šiltnamio efektą sukeliančių dujų kiekis)</v>
      </c>
      <c r="C36" s="605" t="str">
        <f>L7</f>
        <v>Tons of CO2eq/year</v>
      </c>
      <c r="D36" s="626">
        <f>M7</f>
        <v>19000</v>
      </c>
      <c r="E36" s="606" t="s">
        <v>84</v>
      </c>
      <c r="F36" s="607" t="s">
        <v>298</v>
      </c>
      <c r="G36" s="607">
        <v>2020</v>
      </c>
      <c r="H36" s="607" t="s">
        <v>8</v>
      </c>
      <c r="I36" s="608">
        <f>P7</f>
        <v>0</v>
      </c>
      <c r="J36" s="553"/>
      <c r="K36" s="556"/>
      <c r="R36" s="558"/>
      <c r="S36" s="559"/>
    </row>
    <row r="37" spans="1:19" s="553" customFormat="1" ht="135" customHeight="1">
      <c r="A37" s="594" t="str">
        <f t="shared" ref="A37:B39" si="2">H10</f>
        <v>Specific output</v>
      </c>
      <c r="B37" s="604" t="str">
        <f t="shared" si="2"/>
        <v xml:space="preserve"> Implemented traffic safety improvement and environmental protection measures in railways (Įdiegtos saugų eismą gerinančios ir
aplinkosaugos priemonės
geležinkeliuose)</v>
      </c>
      <c r="C37" s="609" t="str">
        <f t="shared" ref="C37:D39" si="3">L10</f>
        <v>Number</v>
      </c>
      <c r="D37" s="554">
        <f t="shared" si="3"/>
        <v>0</v>
      </c>
      <c r="E37" s="606" t="s">
        <v>84</v>
      </c>
      <c r="F37" s="607" t="s">
        <v>298</v>
      </c>
      <c r="G37" s="610" t="s">
        <v>8</v>
      </c>
      <c r="H37" s="554">
        <f>O10</f>
        <v>13</v>
      </c>
      <c r="I37" s="587">
        <f>P10</f>
        <v>13</v>
      </c>
      <c r="R37" s="560"/>
      <c r="S37" s="561"/>
    </row>
    <row r="38" spans="1:19" s="553" customFormat="1" ht="102.75" customHeight="1">
      <c r="A38" s="594" t="str">
        <f t="shared" si="2"/>
        <v>Specific result</v>
      </c>
      <c r="B38" s="604" t="str">
        <f t="shared" si="2"/>
        <v>Number of fatalities and injuries at level crossings (Žuvusiųjų ir sužeistųjų geležinkelio pervažose skaičius)</v>
      </c>
      <c r="C38" s="554" t="str">
        <f t="shared" si="3"/>
        <v>Persons per year</v>
      </c>
      <c r="D38" s="554">
        <f t="shared" si="3"/>
        <v>1</v>
      </c>
      <c r="E38" s="606" t="s">
        <v>84</v>
      </c>
      <c r="F38" s="607" t="s">
        <v>298</v>
      </c>
      <c r="G38" s="607">
        <v>2020</v>
      </c>
      <c r="H38" s="554" t="str">
        <f>O11</f>
        <v>n/a</v>
      </c>
      <c r="I38" s="587">
        <f>P11</f>
        <v>0</v>
      </c>
      <c r="R38" s="560"/>
      <c r="S38" s="561"/>
    </row>
    <row r="39" spans="1:19" s="553" customFormat="1" ht="159" customHeight="1">
      <c r="A39" s="594" t="str">
        <f t="shared" si="2"/>
        <v>Special result</v>
      </c>
      <c r="B39" s="611" t="str">
        <f t="shared" si="2"/>
        <v>Proportion of the population living and operating in noise prevention areas with reduced railway noise (Gyventojų, gyvenančių ir veikiančių triukšmo prevencijos zonose, dalis, kuriai sumažintas geležinkelių keliamas triukšmas)</v>
      </c>
      <c r="C39" s="554" t="str">
        <f t="shared" si="3"/>
        <v>percent</v>
      </c>
      <c r="D39" s="554">
        <f t="shared" si="3"/>
        <v>100</v>
      </c>
      <c r="E39" s="606" t="s">
        <v>84</v>
      </c>
      <c r="F39" s="607" t="s">
        <v>298</v>
      </c>
      <c r="G39" s="607">
        <v>2020</v>
      </c>
      <c r="H39" s="554" t="s">
        <v>8</v>
      </c>
      <c r="I39" s="587">
        <f>P12</f>
        <v>69</v>
      </c>
      <c r="R39" s="560"/>
      <c r="S39" s="561"/>
    </row>
    <row r="40" spans="1:19" s="553" customFormat="1" ht="71.25" customHeight="1">
      <c r="A40" s="588" t="str">
        <f t="shared" ref="A40:B41" si="4">H15</f>
        <v>Specific output</v>
      </c>
      <c r="B40" s="604" t="str">
        <f>I15</f>
        <v>Installed or modernised digital
systems in railways (Įdiegtos ar modernizuotos skaitmeninės sistemos geležinkeliuose)</v>
      </c>
      <c r="C40" s="554" t="str">
        <f t="shared" ref="C40:C41" si="5">L15</f>
        <v>Number</v>
      </c>
      <c r="D40" s="554" t="str">
        <f t="shared" ref="D40:D41" si="6">M15</f>
        <v>0</v>
      </c>
      <c r="E40" s="606" t="s">
        <v>84</v>
      </c>
      <c r="F40" s="607" t="s">
        <v>298</v>
      </c>
      <c r="G40" s="610" t="s">
        <v>8</v>
      </c>
      <c r="H40" s="554">
        <v>0</v>
      </c>
      <c r="I40" s="587" t="str">
        <f t="shared" ref="I40:I41" si="7">P15</f>
        <v>3</v>
      </c>
      <c r="R40" s="560"/>
      <c r="S40" s="561"/>
    </row>
    <row r="41" spans="1:19" s="553" customFormat="1" ht="154.9" customHeight="1">
      <c r="A41" s="594" t="str">
        <f t="shared" si="4"/>
        <v>Specific result</v>
      </c>
      <c r="B41" s="611" t="str">
        <f t="shared" si="4"/>
        <v>Risks to society posed by rail transport (Geležinkelių transporto keliamas pavojus visuomenei)</v>
      </c>
      <c r="C41" s="611" t="str">
        <f t="shared" si="5"/>
        <v>Number of deaths and serious injuries / train-kilometers (km) (žūčių ir sunkių sužalojimų skaičiaus (vnt.)/ traukinių nuvažiuoti kilometrai (km))</v>
      </c>
      <c r="D41" s="554" t="str">
        <f t="shared" si="6"/>
        <v>0,26</v>
      </c>
      <c r="E41" s="606" t="s">
        <v>84</v>
      </c>
      <c r="F41" s="607" t="s">
        <v>298</v>
      </c>
      <c r="G41" s="607">
        <v>2020</v>
      </c>
      <c r="H41" s="554" t="s">
        <v>343</v>
      </c>
      <c r="I41" s="587">
        <f t="shared" si="7"/>
        <v>0</v>
      </c>
      <c r="R41" s="560"/>
      <c r="S41" s="561"/>
    </row>
    <row r="42" spans="1:19" s="553" customFormat="1" ht="154.9" customHeight="1">
      <c r="A42" s="594" t="s">
        <v>465</v>
      </c>
      <c r="B42" s="609" t="str">
        <f>I8</f>
        <v>Railway stations with reconstructed platforms using universal design principles (Geležinkelių stotys, kuriose peronai rekosntruoti taikant universalaus dizaino principus)</v>
      </c>
      <c r="C42" s="609" t="str">
        <f>L8</f>
        <v>Number</v>
      </c>
      <c r="D42" s="610">
        <f>M8+M13</f>
        <v>0</v>
      </c>
      <c r="E42" s="610" t="s">
        <v>84</v>
      </c>
      <c r="F42" s="610" t="s">
        <v>298</v>
      </c>
      <c r="G42" s="610" t="s">
        <v>8</v>
      </c>
      <c r="H42" s="610">
        <f>O8</f>
        <v>0</v>
      </c>
      <c r="I42" s="661">
        <f>P8+P13</f>
        <v>44</v>
      </c>
      <c r="R42" s="560"/>
      <c r="S42" s="561"/>
    </row>
    <row r="43" spans="1:19" s="553" customFormat="1" ht="154.9" customHeight="1">
      <c r="A43" s="594" t="s">
        <v>466</v>
      </c>
      <c r="B43" s="609" t="str">
        <f>I9</f>
        <v>Part of platforms adapted for people with individual needs (Peronų, pritaikytų  asmenims  turintiems individualių poreikių, dalis )</v>
      </c>
      <c r="C43" s="609" t="str">
        <f>L9</f>
        <v>percent</v>
      </c>
      <c r="D43" s="662">
        <f>M9+M14</f>
        <v>12.7</v>
      </c>
      <c r="E43" s="610" t="s">
        <v>84</v>
      </c>
      <c r="F43" s="610" t="s">
        <v>298</v>
      </c>
      <c r="G43" s="610">
        <v>2020</v>
      </c>
      <c r="H43" s="610" t="s">
        <v>8</v>
      </c>
      <c r="I43" s="663">
        <f>P9+P14</f>
        <v>45.599999999999994</v>
      </c>
      <c r="R43" s="560"/>
      <c r="S43" s="561"/>
    </row>
    <row r="44" spans="1:19" s="553" customFormat="1" ht="72.75" customHeight="1">
      <c r="A44" s="595" t="str">
        <f>H17</f>
        <v>RCO45</v>
      </c>
      <c r="B44" s="609" t="str">
        <f>I17</f>
        <v>Length of roads reconstructed or modernised - TEN-T (rekonstruotų arba modernizuotų kelių ilgis – TEN-T)</v>
      </c>
      <c r="C44" s="554" t="str">
        <f>L17</f>
        <v>Km</v>
      </c>
      <c r="D44" s="554">
        <f>M17+M23</f>
        <v>0</v>
      </c>
      <c r="E44" s="606" t="s">
        <v>84</v>
      </c>
      <c r="F44" s="607" t="s">
        <v>298</v>
      </c>
      <c r="G44" s="610" t="s">
        <v>8</v>
      </c>
      <c r="H44" s="622">
        <f>O17+O23</f>
        <v>60.03</v>
      </c>
      <c r="I44" s="623">
        <f>P17+P23</f>
        <v>60.03</v>
      </c>
      <c r="R44" s="560"/>
      <c r="S44" s="561"/>
    </row>
    <row r="45" spans="1:19" s="553" customFormat="1" ht="72.75" customHeight="1">
      <c r="A45" s="595" t="str">
        <f>H20</f>
        <v>RCO45</v>
      </c>
      <c r="B45" s="609" t="str">
        <f>I20</f>
        <v>Length of roads reconstructed or modernised - TEN-T (rekonstruotų arba modernizuotų kelių ilgis – TEN-T)</v>
      </c>
      <c r="C45" s="554" t="str">
        <f>L20</f>
        <v>Km</v>
      </c>
      <c r="D45" s="554">
        <f>M20</f>
        <v>0</v>
      </c>
      <c r="E45" s="612" t="s">
        <v>435</v>
      </c>
      <c r="F45" s="607" t="s">
        <v>41</v>
      </c>
      <c r="G45" s="610" t="s">
        <v>8</v>
      </c>
      <c r="H45" s="624">
        <f>O20</f>
        <v>12.06</v>
      </c>
      <c r="I45" s="625">
        <f>P20</f>
        <v>12.06</v>
      </c>
      <c r="R45" s="560"/>
      <c r="S45" s="561"/>
    </row>
    <row r="46" spans="1:19" s="553" customFormat="1" ht="90">
      <c r="A46" s="565" t="str">
        <f>H18</f>
        <v>RCR55</v>
      </c>
      <c r="B46" s="604" t="str">
        <f>I18</f>
        <v>Annual users of newly built, reconstructed, upgraded or modernised roads ((naujai pastatytų, rekonstruotų, atnaujintų arba modernizuotų kelių naudotojų skaičius per metus)</v>
      </c>
      <c r="C46" s="609" t="str">
        <f>L18</f>
        <v>road passenger-km/ year</v>
      </c>
      <c r="D46" s="555">
        <f>M18+M24</f>
        <v>338394396</v>
      </c>
      <c r="E46" s="606" t="s">
        <v>84</v>
      </c>
      <c r="F46" s="607" t="s">
        <v>298</v>
      </c>
      <c r="G46" s="607">
        <v>2021</v>
      </c>
      <c r="H46" s="554" t="s">
        <v>8</v>
      </c>
      <c r="I46" s="586">
        <f>P18+P24</f>
        <v>356212485</v>
      </c>
      <c r="R46" s="560"/>
      <c r="S46" s="561"/>
    </row>
    <row r="47" spans="1:19" s="553" customFormat="1" ht="90">
      <c r="A47" s="565" t="str">
        <f>H21</f>
        <v>RCR55</v>
      </c>
      <c r="B47" s="604" t="str">
        <f>I21</f>
        <v>Annual users of newly built, reconstructed, upgraded or modernised roads ((naujai pastatytų, rekonstruotų, atnaujintų arba modernizuotų kelių naudotojų skaičius per metus)</v>
      </c>
      <c r="C47" s="609" t="str">
        <f>L21</f>
        <v>road passenger-km/ year</v>
      </c>
      <c r="D47" s="555">
        <f>M21</f>
        <v>70657577</v>
      </c>
      <c r="E47" s="606" t="s">
        <v>435</v>
      </c>
      <c r="F47" s="607" t="s">
        <v>41</v>
      </c>
      <c r="G47" s="607">
        <v>2021</v>
      </c>
      <c r="H47" s="554" t="s">
        <v>8</v>
      </c>
      <c r="I47" s="586">
        <f>P21</f>
        <v>74226270</v>
      </c>
      <c r="R47" s="560"/>
      <c r="S47" s="561"/>
    </row>
    <row r="48" spans="1:19" s="553" customFormat="1" ht="60">
      <c r="A48" s="565" t="str">
        <f>H19</f>
        <v>RCR56</v>
      </c>
      <c r="B48" s="604" t="str">
        <f>I19</f>
        <v>Time savings due to improved road infrastructures (dėl patobulintos kelių infrastruktūros sutaupytas laikas)</v>
      </c>
      <c r="C48" s="609" t="str">
        <f>L19</f>
        <v>man-days/year</v>
      </c>
      <c r="D48" s="555">
        <f>M19+M25</f>
        <v>0</v>
      </c>
      <c r="E48" s="606" t="s">
        <v>84</v>
      </c>
      <c r="F48" s="607" t="s">
        <v>298</v>
      </c>
      <c r="G48" s="607" t="str">
        <f>N25</f>
        <v>2021</v>
      </c>
      <c r="H48" s="554" t="s">
        <v>8</v>
      </c>
      <c r="I48" s="586">
        <f>P19+P25</f>
        <v>87152</v>
      </c>
      <c r="R48" s="560"/>
      <c r="S48" s="561"/>
    </row>
    <row r="49" spans="1:19" s="553" customFormat="1" ht="60">
      <c r="A49" s="565" t="str">
        <f>H22</f>
        <v>RCR56</v>
      </c>
      <c r="B49" s="604" t="str">
        <f>I22</f>
        <v>Time savings due to improved road infrastructures (dėl patobulintos kelių infrastruktūros sutaupytas laikas)</v>
      </c>
      <c r="C49" s="609" t="str">
        <f>L22</f>
        <v xml:space="preserve">
man-days/year</v>
      </c>
      <c r="D49" s="555">
        <f>M22</f>
        <v>0</v>
      </c>
      <c r="E49" s="613" t="s">
        <v>435</v>
      </c>
      <c r="F49" s="607" t="s">
        <v>41</v>
      </c>
      <c r="G49" s="607">
        <v>2021</v>
      </c>
      <c r="H49" s="554" t="s">
        <v>8</v>
      </c>
      <c r="I49" s="586">
        <f>P22</f>
        <v>25886</v>
      </c>
      <c r="R49" s="560"/>
      <c r="S49" s="561"/>
    </row>
    <row r="50" spans="1:19" s="553" customFormat="1" ht="54" customHeight="1">
      <c r="A50" s="588" t="str">
        <f>H26</f>
        <v>Specific output</v>
      </c>
      <c r="B50" s="604" t="str">
        <f>I26</f>
        <v>Traffic control systems installed on roads (Įdiegtos eismo kontrolės sistemos keliuose)</v>
      </c>
      <c r="C50" s="554" t="str">
        <f>L26</f>
        <v>Number</v>
      </c>
      <c r="D50" s="554" t="str">
        <f>M26</f>
        <v>0</v>
      </c>
      <c r="E50" s="606" t="s">
        <v>84</v>
      </c>
      <c r="F50" s="607" t="s">
        <v>298</v>
      </c>
      <c r="G50" s="610" t="s">
        <v>8</v>
      </c>
      <c r="H50" s="554">
        <f>O26</f>
        <v>0</v>
      </c>
      <c r="I50" s="587">
        <f>P26</f>
        <v>113</v>
      </c>
      <c r="R50" s="560"/>
      <c r="S50" s="561"/>
    </row>
    <row r="51" spans="1:19" s="553" customFormat="1" ht="45">
      <c r="A51" s="588" t="str">
        <f>H28</f>
        <v>RCO54</v>
      </c>
      <c r="B51" s="604" t="str">
        <f>I28</f>
        <v>New or modernised intermodal connections (naujos arba modernizuotos įvairiarūšės jungtys)</v>
      </c>
      <c r="C51" s="609" t="str">
        <f>L28</f>
        <v>intermodal connections</v>
      </c>
      <c r="D51" s="554" t="str">
        <f>M28</f>
        <v>0</v>
      </c>
      <c r="E51" s="606" t="s">
        <v>84</v>
      </c>
      <c r="F51" s="607" t="s">
        <v>298</v>
      </c>
      <c r="G51" s="610" t="s">
        <v>8</v>
      </c>
      <c r="H51" s="554">
        <f t="shared" ref="H51:I52" si="8">O28</f>
        <v>0</v>
      </c>
      <c r="I51" s="587" t="str">
        <f t="shared" si="8"/>
        <v>1</v>
      </c>
      <c r="R51" s="560"/>
      <c r="S51" s="561"/>
    </row>
    <row r="52" spans="1:19" s="553" customFormat="1" ht="72.75" customHeight="1">
      <c r="A52" s="594" t="str">
        <f>H29</f>
        <v>Specific result</v>
      </c>
      <c r="B52" s="609" t="str">
        <f>I29</f>
        <v xml:space="preserve"> Freight transport on intermodal connections (Krovinių vežimo intermodalinėmis jungtimis apimtys )</v>
      </c>
      <c r="C52" s="609" t="str">
        <f>L29</f>
        <v>Rail tonne-connection/year</v>
      </c>
      <c r="D52" s="624">
        <f>M29</f>
        <v>4802.25</v>
      </c>
      <c r="E52" s="606" t="s">
        <v>84</v>
      </c>
      <c r="F52" s="607" t="s">
        <v>298</v>
      </c>
      <c r="G52" s="607">
        <v>2020</v>
      </c>
      <c r="H52" s="554" t="str">
        <f t="shared" si="8"/>
        <v>n/a</v>
      </c>
      <c r="I52" s="586">
        <f t="shared" si="8"/>
        <v>299225</v>
      </c>
      <c r="R52" s="560"/>
      <c r="S52" s="561"/>
    </row>
    <row r="53" spans="1:19" s="553" customFormat="1" ht="107.25" customHeight="1" thickBot="1">
      <c r="A53" s="596" t="str">
        <f>H27</f>
        <v>Specific result</v>
      </c>
      <c r="B53" s="614" t="str">
        <f>I27</f>
        <v xml:space="preserve"> Number of TEN-T roads traffic fatalities (Žuvusiųjų  TEN-T tinklo keliuose skaičius)</v>
      </c>
      <c r="C53" s="615" t="str">
        <f>L27</f>
        <v>Persons per year</v>
      </c>
      <c r="D53" s="615" t="str">
        <f>M27</f>
        <v>54</v>
      </c>
      <c r="E53" s="616" t="s">
        <v>84</v>
      </c>
      <c r="F53" s="617" t="s">
        <v>298</v>
      </c>
      <c r="G53" s="617" t="str">
        <f>N27</f>
        <v>2019</v>
      </c>
      <c r="H53" s="618" t="str">
        <f>O27</f>
        <v>n/a</v>
      </c>
      <c r="I53" s="619" t="str">
        <f>P27</f>
        <v>26</v>
      </c>
      <c r="R53" s="560"/>
      <c r="S53" s="561"/>
    </row>
    <row r="54" spans="1:19">
      <c r="D54" s="590">
        <f>SUM(D35:D53)</f>
        <v>409075888.94999999</v>
      </c>
      <c r="H54" s="130">
        <f>SUM(H35:H53)</f>
        <v>85.09</v>
      </c>
      <c r="I54" s="130">
        <f>SUM(I35:I53)</f>
        <v>430851485.69</v>
      </c>
      <c r="J54" s="130" t="b">
        <f>I54=P30</f>
        <v>1</v>
      </c>
    </row>
  </sheetData>
  <mergeCells count="77">
    <mergeCell ref="C13:C14"/>
    <mergeCell ref="D13:D14"/>
    <mergeCell ref="E13:E14"/>
    <mergeCell ref="F13:F14"/>
    <mergeCell ref="G13:G14"/>
    <mergeCell ref="A4:A5"/>
    <mergeCell ref="C4:C5"/>
    <mergeCell ref="G4:G5"/>
    <mergeCell ref="A6:A16"/>
    <mergeCell ref="C15:C16"/>
    <mergeCell ref="D4:F4"/>
    <mergeCell ref="B4:B5"/>
    <mergeCell ref="G6:G7"/>
    <mergeCell ref="D15:D16"/>
    <mergeCell ref="E15:E16"/>
    <mergeCell ref="F15:F16"/>
    <mergeCell ref="G15:G16"/>
    <mergeCell ref="B6:B16"/>
    <mergeCell ref="D6:D12"/>
    <mergeCell ref="C6:C12"/>
    <mergeCell ref="E6:E12"/>
    <mergeCell ref="L4:L5"/>
    <mergeCell ref="K4:K5"/>
    <mergeCell ref="F6:F12"/>
    <mergeCell ref="K23:K25"/>
    <mergeCell ref="K15:K16"/>
    <mergeCell ref="K6:K12"/>
    <mergeCell ref="J15:J16"/>
    <mergeCell ref="G8:G9"/>
    <mergeCell ref="K17:K19"/>
    <mergeCell ref="K20:K22"/>
    <mergeCell ref="K13:K14"/>
    <mergeCell ref="E20:E22"/>
    <mergeCell ref="F17:F19"/>
    <mergeCell ref="E17:E19"/>
    <mergeCell ref="J20:J22"/>
    <mergeCell ref="F23:F25"/>
    <mergeCell ref="E23:E25"/>
    <mergeCell ref="F20:F22"/>
    <mergeCell ref="D26:D27"/>
    <mergeCell ref="J28:J29"/>
    <mergeCell ref="A28:A29"/>
    <mergeCell ref="C28:C29"/>
    <mergeCell ref="D28:D29"/>
    <mergeCell ref="A17:A27"/>
    <mergeCell ref="C17:C19"/>
    <mergeCell ref="D17:D22"/>
    <mergeCell ref="C20:C22"/>
    <mergeCell ref="B17:B27"/>
    <mergeCell ref="B28:B29"/>
    <mergeCell ref="C23:C25"/>
    <mergeCell ref="D23:D25"/>
    <mergeCell ref="C26:C27"/>
    <mergeCell ref="G20:G22"/>
    <mergeCell ref="J17:J19"/>
    <mergeCell ref="G26:G27"/>
    <mergeCell ref="G28:G29"/>
    <mergeCell ref="E26:E27"/>
    <mergeCell ref="E28:E29"/>
    <mergeCell ref="F28:F29"/>
    <mergeCell ref="F26:F27"/>
    <mergeCell ref="K28:K29"/>
    <mergeCell ref="G23:G25"/>
    <mergeCell ref="R4:R5"/>
    <mergeCell ref="P4:P5"/>
    <mergeCell ref="J4:J5"/>
    <mergeCell ref="M4:N4"/>
    <mergeCell ref="O4:O5"/>
    <mergeCell ref="Q4:Q5"/>
    <mergeCell ref="J6:J12"/>
    <mergeCell ref="J23:J25"/>
    <mergeCell ref="H4:I4"/>
    <mergeCell ref="G10:G12"/>
    <mergeCell ref="J26:J27"/>
    <mergeCell ref="K26:K27"/>
    <mergeCell ref="G17:G19"/>
    <mergeCell ref="J13:J14"/>
  </mergeCells>
  <phoneticPr fontId="4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4"/>
  <sheetViews>
    <sheetView zoomScale="55" zoomScaleNormal="55" workbookViewId="0">
      <selection activeCell="M18" sqref="M18"/>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30" bestFit="1" customWidth="1"/>
    <col min="22" max="23" width="8.85546875" style="130"/>
    <col min="24" max="24" width="10.42578125" bestFit="1" customWidth="1"/>
  </cols>
  <sheetData>
    <row r="1" spans="1:37">
      <c r="A1" s="10"/>
      <c r="L1" s="146"/>
    </row>
    <row r="4" spans="1:37" ht="15.75" thickBot="1">
      <c r="A4" s="10" t="s">
        <v>35</v>
      </c>
    </row>
    <row r="5" spans="1:37" ht="15" customHeight="1">
      <c r="A5" s="975" t="s">
        <v>0</v>
      </c>
      <c r="B5" s="912" t="s">
        <v>132</v>
      </c>
      <c r="C5" s="918" t="s">
        <v>133</v>
      </c>
      <c r="D5" s="970" t="s">
        <v>4</v>
      </c>
      <c r="E5" s="970"/>
      <c r="F5" s="970"/>
      <c r="G5" s="973" t="s">
        <v>18</v>
      </c>
      <c r="H5" s="971" t="s">
        <v>145</v>
      </c>
      <c r="I5" s="971"/>
      <c r="J5" s="970" t="s">
        <v>15</v>
      </c>
      <c r="K5" s="970" t="s">
        <v>14</v>
      </c>
      <c r="L5" s="970" t="s">
        <v>1</v>
      </c>
      <c r="M5" s="970" t="s">
        <v>146</v>
      </c>
      <c r="N5" s="970"/>
      <c r="O5" s="973" t="s">
        <v>2</v>
      </c>
      <c r="P5" s="970" t="s">
        <v>3</v>
      </c>
      <c r="Q5" s="970" t="s">
        <v>147</v>
      </c>
      <c r="R5" s="968" t="s">
        <v>148</v>
      </c>
      <c r="S5" s="169"/>
      <c r="T5" s="169"/>
      <c r="U5" s="238"/>
      <c r="V5" s="238"/>
      <c r="W5" s="238"/>
      <c r="X5" s="169"/>
      <c r="Y5" s="169"/>
      <c r="Z5" s="169"/>
      <c r="AA5" s="169"/>
      <c r="AB5" s="11"/>
      <c r="AC5" s="11"/>
      <c r="AD5" s="11"/>
      <c r="AE5" s="11"/>
      <c r="AF5" s="11"/>
      <c r="AG5" s="11"/>
      <c r="AH5" s="11"/>
      <c r="AI5" s="11"/>
      <c r="AJ5" s="11"/>
      <c r="AK5" s="11"/>
    </row>
    <row r="6" spans="1:37" ht="84" customHeight="1" thickBot="1">
      <c r="A6" s="976"/>
      <c r="B6" s="913"/>
      <c r="C6" s="919"/>
      <c r="D6" s="508" t="s">
        <v>7</v>
      </c>
      <c r="E6" s="507" t="s">
        <v>17</v>
      </c>
      <c r="F6" s="183" t="s">
        <v>149</v>
      </c>
      <c r="G6" s="974"/>
      <c r="H6" s="508" t="s">
        <v>5</v>
      </c>
      <c r="I6" s="508" t="s">
        <v>6</v>
      </c>
      <c r="J6" s="972"/>
      <c r="K6" s="972"/>
      <c r="L6" s="972"/>
      <c r="M6" s="508" t="s">
        <v>150</v>
      </c>
      <c r="N6" s="508" t="s">
        <v>151</v>
      </c>
      <c r="O6" s="974"/>
      <c r="P6" s="972"/>
      <c r="Q6" s="972"/>
      <c r="R6" s="969"/>
      <c r="S6" s="169"/>
      <c r="T6" s="169"/>
      <c r="U6" s="238"/>
      <c r="V6" s="238"/>
      <c r="W6" s="238"/>
      <c r="X6" s="169"/>
      <c r="Y6" s="169"/>
      <c r="Z6" s="169"/>
      <c r="AA6" s="169"/>
      <c r="AB6" s="11"/>
      <c r="AC6" s="11"/>
      <c r="AD6" s="11"/>
      <c r="AE6" s="11"/>
      <c r="AF6" s="11"/>
      <c r="AG6" s="11"/>
      <c r="AH6" s="11"/>
      <c r="AI6" s="11"/>
      <c r="AJ6" s="11"/>
      <c r="AK6" s="11"/>
    </row>
    <row r="7" spans="1:37" ht="42" hidden="1" customHeight="1">
      <c r="A7" s="960"/>
      <c r="B7" s="197"/>
      <c r="C7" s="950">
        <f>'[1]Intervencijų lėšos'!I8</f>
        <v>10000000</v>
      </c>
      <c r="D7" s="952" t="s">
        <v>137</v>
      </c>
      <c r="E7" s="954">
        <f>(C7*100/70)-C7</f>
        <v>4285714.2857142854</v>
      </c>
      <c r="F7" s="956">
        <f>C7+E7</f>
        <v>14285714.285714285</v>
      </c>
      <c r="G7" s="510">
        <f>F7</f>
        <v>14285714.285714285</v>
      </c>
      <c r="H7" s="189" t="s">
        <v>57</v>
      </c>
      <c r="I7" s="189" t="s">
        <v>58</v>
      </c>
      <c r="J7" s="190" t="s">
        <v>120</v>
      </c>
      <c r="K7" s="190" t="s">
        <v>23</v>
      </c>
      <c r="L7" s="189" t="s">
        <v>80</v>
      </c>
      <c r="M7" s="189"/>
      <c r="N7" s="189"/>
      <c r="O7" s="509"/>
      <c r="P7" s="189"/>
      <c r="Q7" s="189" t="s">
        <v>34</v>
      </c>
      <c r="R7" s="187"/>
      <c r="S7" s="169"/>
      <c r="T7" s="169"/>
      <c r="U7" s="238"/>
      <c r="V7" s="238"/>
      <c r="W7" s="238"/>
      <c r="X7" s="169"/>
      <c r="Y7" s="169"/>
      <c r="Z7" s="169"/>
      <c r="AA7" s="169"/>
      <c r="AB7" s="11"/>
      <c r="AC7" s="11"/>
      <c r="AD7" s="11"/>
      <c r="AE7" s="11"/>
      <c r="AF7" s="11"/>
      <c r="AG7" s="11"/>
      <c r="AH7" s="11"/>
      <c r="AI7" s="11"/>
      <c r="AJ7" s="11"/>
      <c r="AK7" s="11"/>
    </row>
    <row r="8" spans="1:37" ht="35.450000000000003" hidden="1" customHeight="1">
      <c r="A8" s="961"/>
      <c r="B8" s="198"/>
      <c r="C8" s="951"/>
      <c r="D8" s="953"/>
      <c r="E8" s="955"/>
      <c r="F8" s="951"/>
      <c r="G8" s="192"/>
      <c r="H8" s="193"/>
      <c r="I8" s="193"/>
      <c r="J8" s="193"/>
      <c r="K8" s="193"/>
      <c r="L8" s="193"/>
      <c r="M8" s="193"/>
      <c r="N8" s="193"/>
      <c r="O8" s="194"/>
      <c r="P8" s="193"/>
      <c r="Q8" s="193" t="s">
        <v>34</v>
      </c>
      <c r="R8" s="195"/>
      <c r="S8" s="169"/>
      <c r="T8" s="169"/>
      <c r="U8" s="238"/>
      <c r="V8" s="238"/>
      <c r="W8" s="238"/>
      <c r="X8" s="169"/>
      <c r="Y8" s="169"/>
      <c r="Z8" s="169"/>
      <c r="AA8" s="169"/>
      <c r="AB8" s="11"/>
      <c r="AC8" s="11"/>
      <c r="AD8" s="11"/>
      <c r="AE8" s="11"/>
      <c r="AF8" s="11"/>
      <c r="AG8" s="11"/>
      <c r="AH8" s="11"/>
      <c r="AI8" s="11"/>
      <c r="AJ8" s="11"/>
      <c r="AK8" s="11"/>
    </row>
    <row r="9" spans="1:37" s="134" customFormat="1" ht="90" customHeight="1">
      <c r="A9" s="1091" t="s">
        <v>312</v>
      </c>
      <c r="B9" s="1093">
        <f>F9</f>
        <v>11764705.882352941</v>
      </c>
      <c r="C9" s="1093">
        <v>10000000</v>
      </c>
      <c r="D9" s="1095" t="s">
        <v>280</v>
      </c>
      <c r="E9" s="1093">
        <f>C9/0.85*0.15</f>
        <v>1764705.882352941</v>
      </c>
      <c r="F9" s="1093">
        <f>C9+E9</f>
        <v>11764705.882352941</v>
      </c>
      <c r="G9" s="1093">
        <f>F9</f>
        <v>11764705.882352941</v>
      </c>
      <c r="H9" s="515" t="s">
        <v>121</v>
      </c>
      <c r="I9" s="335" t="s">
        <v>118</v>
      </c>
      <c r="J9" s="1097" t="s">
        <v>45</v>
      </c>
      <c r="K9" s="1095" t="s">
        <v>41</v>
      </c>
      <c r="L9" s="335" t="s">
        <v>115</v>
      </c>
      <c r="M9" s="335" t="s">
        <v>42</v>
      </c>
      <c r="N9" s="335" t="s">
        <v>46</v>
      </c>
      <c r="O9" s="516">
        <f>P9*0.1</f>
        <v>6.8000000000000007</v>
      </c>
      <c r="P9" s="335" t="s">
        <v>144</v>
      </c>
      <c r="Q9" s="335" t="s">
        <v>34</v>
      </c>
      <c r="R9" s="517" t="s">
        <v>302</v>
      </c>
      <c r="S9" s="531" t="s">
        <v>303</v>
      </c>
      <c r="T9" s="1099" t="s">
        <v>296</v>
      </c>
      <c r="U9" s="276"/>
      <c r="V9" s="276"/>
      <c r="W9" s="237"/>
      <c r="X9" s="237"/>
      <c r="Y9" s="132"/>
      <c r="Z9" s="132"/>
      <c r="AA9" s="132"/>
      <c r="AB9" s="133"/>
      <c r="AC9" s="133"/>
      <c r="AD9" s="133"/>
      <c r="AE9" s="133"/>
      <c r="AF9" s="133"/>
      <c r="AG9" s="133"/>
      <c r="AH9" s="133"/>
      <c r="AI9" s="133"/>
      <c r="AJ9" s="133"/>
      <c r="AK9" s="133"/>
    </row>
    <row r="10" spans="1:37" s="134" customFormat="1" ht="163.15" customHeight="1" thickBot="1">
      <c r="A10" s="1092"/>
      <c r="B10" s="1094"/>
      <c r="C10" s="1094"/>
      <c r="D10" s="1096"/>
      <c r="E10" s="1094"/>
      <c r="F10" s="1094"/>
      <c r="G10" s="1094"/>
      <c r="H10" s="518" t="s">
        <v>122</v>
      </c>
      <c r="I10" s="164" t="s">
        <v>119</v>
      </c>
      <c r="J10" s="1098"/>
      <c r="K10" s="1096"/>
      <c r="L10" s="164" t="s">
        <v>154</v>
      </c>
      <c r="M10" s="501">
        <f>369450*0.069</f>
        <v>25492.050000000003</v>
      </c>
      <c r="N10" s="164" t="s">
        <v>123</v>
      </c>
      <c r="O10" s="519" t="s">
        <v>8</v>
      </c>
      <c r="P10" s="334">
        <f>341224*0.128</f>
        <v>43676.671999999999</v>
      </c>
      <c r="Q10" s="164" t="s">
        <v>34</v>
      </c>
      <c r="R10" s="520" t="s">
        <v>281</v>
      </c>
      <c r="S10" s="532" t="s">
        <v>304</v>
      </c>
      <c r="T10" s="1099"/>
      <c r="U10" s="237"/>
      <c r="V10" s="237"/>
      <c r="W10" s="237"/>
      <c r="X10" s="132"/>
      <c r="Y10" s="132"/>
      <c r="Z10" s="132"/>
      <c r="AA10" s="132"/>
      <c r="AB10" s="133"/>
      <c r="AC10" s="133"/>
      <c r="AD10" s="133"/>
      <c r="AE10" s="133"/>
      <c r="AF10" s="133"/>
      <c r="AG10" s="133"/>
      <c r="AH10" s="133"/>
      <c r="AI10" s="133"/>
      <c r="AJ10" s="133"/>
      <c r="AK10" s="133"/>
    </row>
    <row r="11" spans="1:37" s="130" customFormat="1">
      <c r="A11"/>
      <c r="C11" s="130" t="e">
        <f>#REF!+#REF!</f>
        <v>#REF!</v>
      </c>
      <c r="D11"/>
      <c r="E11"/>
      <c r="F11"/>
      <c r="G11"/>
      <c r="H11"/>
      <c r="I11"/>
      <c r="J11"/>
      <c r="K11"/>
      <c r="L11"/>
      <c r="M11"/>
      <c r="N11"/>
      <c r="O11"/>
      <c r="P11"/>
      <c r="Q11"/>
      <c r="R11"/>
      <c r="S11"/>
      <c r="T11"/>
      <c r="X11"/>
      <c r="Y11"/>
      <c r="Z11"/>
      <c r="AA11"/>
      <c r="AB11"/>
      <c r="AC11"/>
      <c r="AD11"/>
      <c r="AE11"/>
      <c r="AF11"/>
      <c r="AG11"/>
      <c r="AH11"/>
      <c r="AI11"/>
      <c r="AJ11"/>
      <c r="AK11"/>
    </row>
    <row r="12" spans="1:37" s="130" customFormat="1">
      <c r="A12"/>
      <c r="B12"/>
      <c r="C12" s="130">
        <f>C9</f>
        <v>10000000</v>
      </c>
      <c r="D12"/>
      <c r="E12"/>
      <c r="F12"/>
      <c r="G12"/>
      <c r="H12"/>
      <c r="I12"/>
      <c r="J12"/>
      <c r="K12"/>
      <c r="L12"/>
      <c r="M12"/>
      <c r="N12"/>
      <c r="O12"/>
      <c r="P12"/>
      <c r="Q12"/>
      <c r="R12"/>
      <c r="S12"/>
      <c r="T12"/>
      <c r="X12"/>
      <c r="Y12"/>
      <c r="Z12"/>
      <c r="AA12"/>
      <c r="AB12"/>
      <c r="AC12"/>
      <c r="AD12"/>
      <c r="AE12"/>
      <c r="AF12"/>
      <c r="AG12"/>
      <c r="AH12"/>
      <c r="AI12"/>
      <c r="AJ12"/>
      <c r="AK12"/>
    </row>
    <row r="13" spans="1:37" s="130" customFormat="1">
      <c r="A13"/>
      <c r="B13"/>
      <c r="C13" s="130" t="e">
        <f>#REF!+#REF!</f>
        <v>#REF!</v>
      </c>
      <c r="D13"/>
      <c r="E13"/>
      <c r="F13"/>
      <c r="G13"/>
      <c r="H13"/>
      <c r="I13"/>
      <c r="J13"/>
      <c r="K13"/>
      <c r="L13"/>
      <c r="M13"/>
      <c r="N13"/>
      <c r="O13"/>
      <c r="P13"/>
      <c r="Q13"/>
      <c r="R13"/>
      <c r="S13"/>
      <c r="T13"/>
      <c r="X13"/>
      <c r="Y13"/>
      <c r="Z13"/>
      <c r="AA13"/>
      <c r="AB13"/>
      <c r="AC13"/>
      <c r="AD13"/>
      <c r="AE13"/>
      <c r="AF13"/>
      <c r="AG13"/>
      <c r="AH13"/>
      <c r="AI13"/>
      <c r="AJ13"/>
      <c r="AK13"/>
    </row>
    <row r="16" spans="1:37" s="14" customFormat="1" ht="45">
      <c r="A16" s="253" t="s">
        <v>5</v>
      </c>
      <c r="B16" s="30" t="s">
        <v>6</v>
      </c>
      <c r="C16" s="253" t="s">
        <v>1</v>
      </c>
      <c r="D16" s="253" t="s">
        <v>9</v>
      </c>
      <c r="E16" s="253" t="s">
        <v>15</v>
      </c>
      <c r="F16" s="253" t="s">
        <v>14</v>
      </c>
      <c r="G16" s="253" t="s">
        <v>10</v>
      </c>
      <c r="H16" s="253" t="s">
        <v>2</v>
      </c>
      <c r="I16" s="253" t="s">
        <v>3</v>
      </c>
      <c r="J16" s="56"/>
      <c r="K16" s="55"/>
      <c r="N16" s="69"/>
      <c r="O16" s="69"/>
      <c r="T16" s="201"/>
      <c r="U16" s="201"/>
      <c r="V16" s="201"/>
    </row>
    <row r="17" spans="1:37" s="130" customFormat="1" ht="45">
      <c r="A17" s="135" t="s">
        <v>121</v>
      </c>
      <c r="B17" s="511" t="s">
        <v>118</v>
      </c>
      <c r="C17" s="506" t="s">
        <v>115</v>
      </c>
      <c r="D17" s="505" t="str">
        <f>M9</f>
        <v>0</v>
      </c>
      <c r="E17" s="224" t="str">
        <f>J9</f>
        <v>Midle- west Lithuania region</v>
      </c>
      <c r="F17" s="224" t="str">
        <f>K9</f>
        <v>ERDF</v>
      </c>
      <c r="G17" s="504">
        <v>2021</v>
      </c>
      <c r="H17" s="150">
        <f>O9</f>
        <v>6.8000000000000007</v>
      </c>
      <c r="I17" s="150" t="str">
        <f>P9</f>
        <v xml:space="preserve">68             </v>
      </c>
      <c r="J17" s="773"/>
      <c r="K17"/>
      <c r="L17"/>
      <c r="M17"/>
      <c r="N17"/>
      <c r="O17"/>
      <c r="P17"/>
      <c r="Q17"/>
      <c r="R17"/>
      <c r="S17"/>
      <c r="T17"/>
      <c r="X17"/>
      <c r="Y17"/>
      <c r="Z17"/>
      <c r="AA17"/>
      <c r="AB17"/>
      <c r="AC17"/>
      <c r="AD17"/>
      <c r="AE17"/>
      <c r="AF17"/>
      <c r="AG17"/>
      <c r="AH17"/>
      <c r="AI17"/>
      <c r="AJ17"/>
      <c r="AK17"/>
    </row>
    <row r="18" spans="1:37" s="130" customFormat="1" ht="45">
      <c r="A18" s="135" t="s">
        <v>122</v>
      </c>
      <c r="B18" s="511" t="s">
        <v>119</v>
      </c>
      <c r="C18" s="251" t="str">
        <f>L10</f>
        <v>Users/Year</v>
      </c>
      <c r="D18" s="150">
        <f>M10</f>
        <v>25492.050000000003</v>
      </c>
      <c r="E18" s="504" t="s">
        <v>50</v>
      </c>
      <c r="F18" s="504" t="s">
        <v>23</v>
      </c>
      <c r="G18" s="504">
        <v>2021</v>
      </c>
      <c r="H18" s="505" t="str">
        <f>O10</f>
        <v>n/a</v>
      </c>
      <c r="I18" s="150">
        <f>P10</f>
        <v>43676.671999999999</v>
      </c>
      <c r="J18" s="773"/>
      <c r="K18"/>
      <c r="L18"/>
      <c r="M18"/>
      <c r="N18"/>
      <c r="O18"/>
      <c r="P18"/>
      <c r="Q18"/>
      <c r="R18"/>
      <c r="S18"/>
      <c r="T18"/>
      <c r="X18"/>
      <c r="Y18"/>
      <c r="Z18"/>
      <c r="AA18"/>
      <c r="AB18"/>
      <c r="AC18"/>
      <c r="AD18"/>
      <c r="AE18"/>
      <c r="AF18"/>
      <c r="AG18"/>
      <c r="AH18"/>
      <c r="AI18"/>
      <c r="AJ18"/>
      <c r="AK18"/>
    </row>
    <row r="19" spans="1:37" s="130" customFormat="1">
      <c r="A19" s="3"/>
      <c r="B19" s="3"/>
      <c r="C19" s="3"/>
      <c r="D19" s="4"/>
      <c r="E19" s="3"/>
      <c r="F19" s="3"/>
      <c r="G19" s="3"/>
      <c r="H19" s="3"/>
      <c r="I19" s="3"/>
      <c r="J19" s="773"/>
      <c r="K19"/>
      <c r="L19"/>
      <c r="M19"/>
      <c r="N19"/>
      <c r="O19"/>
      <c r="P19"/>
      <c r="Q19"/>
      <c r="R19"/>
      <c r="S19"/>
      <c r="T19"/>
      <c r="X19"/>
      <c r="Y19"/>
      <c r="Z19"/>
      <c r="AA19"/>
      <c r="AB19"/>
      <c r="AC19"/>
      <c r="AD19"/>
      <c r="AE19"/>
      <c r="AF19"/>
      <c r="AG19"/>
      <c r="AH19"/>
      <c r="AI19"/>
      <c r="AJ19"/>
      <c r="AK19"/>
    </row>
    <row r="20" spans="1:37" s="130" customFormat="1">
      <c r="A20" s="3"/>
      <c r="B20" s="3"/>
      <c r="C20" s="3"/>
      <c r="D20" s="4"/>
      <c r="E20" s="3"/>
      <c r="F20" s="3"/>
      <c r="G20" s="3"/>
      <c r="H20" s="3"/>
      <c r="I20" s="3"/>
      <c r="J20" s="773"/>
      <c r="K20"/>
      <c r="L20"/>
      <c r="M20"/>
      <c r="N20"/>
      <c r="O20"/>
      <c r="P20"/>
      <c r="Q20"/>
      <c r="R20"/>
      <c r="S20"/>
      <c r="T20"/>
      <c r="X20"/>
      <c r="Y20"/>
      <c r="Z20"/>
      <c r="AA20"/>
      <c r="AB20"/>
      <c r="AC20"/>
      <c r="AD20"/>
      <c r="AE20"/>
      <c r="AF20"/>
      <c r="AG20"/>
      <c r="AH20"/>
      <c r="AI20"/>
      <c r="AJ20"/>
      <c r="AK20"/>
    </row>
    <row r="21" spans="1:37" s="130" customFormat="1">
      <c r="A21" s="3"/>
      <c r="B21" s="3"/>
      <c r="C21" s="3"/>
      <c r="D21" s="4"/>
      <c r="E21" s="3"/>
      <c r="F21" s="3"/>
      <c r="G21" s="3"/>
      <c r="H21" s="3"/>
      <c r="I21" s="3"/>
      <c r="J21" s="773"/>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73"/>
    </row>
    <row r="23" spans="1:37">
      <c r="A23" s="3"/>
      <c r="B23" s="3"/>
      <c r="C23" s="3"/>
      <c r="D23" s="4"/>
      <c r="E23" s="3"/>
      <c r="F23" s="3"/>
      <c r="G23" s="3"/>
      <c r="H23" s="3"/>
      <c r="I23" s="3"/>
      <c r="J23" s="773"/>
    </row>
    <row r="24" spans="1:37">
      <c r="A24" s="3"/>
      <c r="B24" s="3"/>
      <c r="C24" s="3"/>
      <c r="D24" s="4"/>
      <c r="E24" s="3"/>
      <c r="F24" s="3"/>
      <c r="G24" s="3"/>
      <c r="H24" s="3"/>
      <c r="I24" s="3"/>
      <c r="J24" s="773"/>
    </row>
    <row r="25" spans="1:37">
      <c r="A25" s="3"/>
      <c r="B25" s="3"/>
      <c r="C25" s="3"/>
      <c r="D25" s="4"/>
      <c r="E25" s="3"/>
      <c r="F25" s="3"/>
      <c r="G25" s="3"/>
      <c r="H25" s="3"/>
      <c r="I25" s="3"/>
      <c r="J25" s="773"/>
    </row>
    <row r="26" spans="1:37">
      <c r="D26" s="130"/>
    </row>
    <row r="27" spans="1:37">
      <c r="D27" s="130"/>
    </row>
    <row r="28" spans="1:37">
      <c r="D28" s="130"/>
    </row>
    <row r="29" spans="1:37">
      <c r="D29" s="130"/>
    </row>
    <row r="30" spans="1:37">
      <c r="D30" s="130"/>
    </row>
    <row r="31" spans="1:37">
      <c r="D31" s="130"/>
    </row>
    <row r="32" spans="1:37">
      <c r="D32" s="130"/>
    </row>
    <row r="33" spans="4:4">
      <c r="D33" s="130"/>
    </row>
    <row r="34" spans="4:4">
      <c r="D34" s="130"/>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C13" sqref="C13"/>
    </sheetView>
  </sheetViews>
  <sheetFormatPr defaultColWidth="9.140625" defaultRowHeight="12.75"/>
  <cols>
    <col min="1" max="1" width="9.140625" style="576"/>
    <col min="2" max="2" width="24.85546875" style="576" customWidth="1"/>
    <col min="3" max="3" width="53.5703125" style="576" customWidth="1"/>
    <col min="4" max="16384" width="9.140625" style="576"/>
  </cols>
  <sheetData>
    <row r="1" spans="1:3">
      <c r="A1" s="570" t="s">
        <v>372</v>
      </c>
      <c r="B1" s="571" t="s">
        <v>373</v>
      </c>
      <c r="C1" s="571" t="s">
        <v>374</v>
      </c>
    </row>
    <row r="2" spans="1:3">
      <c r="A2" s="572">
        <v>0</v>
      </c>
      <c r="B2" s="573" t="s">
        <v>375</v>
      </c>
      <c r="C2" s="573" t="s">
        <v>376</v>
      </c>
    </row>
    <row r="3" spans="1:3">
      <c r="A3" s="572">
        <v>1</v>
      </c>
      <c r="B3" s="571" t="s">
        <v>355</v>
      </c>
      <c r="C3" s="571" t="s">
        <v>377</v>
      </c>
    </row>
    <row r="4" spans="1:3" ht="63.75">
      <c r="A4" s="572">
        <v>2</v>
      </c>
      <c r="B4" s="571" t="s">
        <v>356</v>
      </c>
      <c r="C4" s="574" t="s">
        <v>401</v>
      </c>
    </row>
    <row r="5" spans="1:3">
      <c r="A5" s="572">
        <v>3</v>
      </c>
      <c r="B5" s="573" t="s">
        <v>378</v>
      </c>
      <c r="C5" s="573" t="s">
        <v>299</v>
      </c>
    </row>
    <row r="6" spans="1:3">
      <c r="A6" s="572">
        <v>4</v>
      </c>
      <c r="B6" s="573" t="s">
        <v>379</v>
      </c>
      <c r="C6" s="573" t="s">
        <v>380</v>
      </c>
    </row>
    <row r="7" spans="1:3">
      <c r="A7" s="572">
        <v>5</v>
      </c>
      <c r="B7" s="573" t="s">
        <v>26</v>
      </c>
      <c r="C7" s="575">
        <v>0</v>
      </c>
    </row>
    <row r="8" spans="1:3">
      <c r="A8" s="572">
        <v>6</v>
      </c>
      <c r="B8" s="573" t="s">
        <v>33</v>
      </c>
      <c r="C8" s="573" t="s">
        <v>381</v>
      </c>
    </row>
    <row r="9" spans="1:3">
      <c r="A9" s="572">
        <v>7</v>
      </c>
      <c r="B9" s="573" t="s">
        <v>30</v>
      </c>
      <c r="C9" s="573" t="s">
        <v>382</v>
      </c>
    </row>
    <row r="10" spans="1:3">
      <c r="A10" s="572">
        <v>8</v>
      </c>
      <c r="B10" s="573" t="s">
        <v>383</v>
      </c>
      <c r="C10" s="573" t="s">
        <v>384</v>
      </c>
    </row>
    <row r="11" spans="1:3">
      <c r="A11" s="572">
        <v>9</v>
      </c>
      <c r="B11" s="573" t="s">
        <v>385</v>
      </c>
      <c r="C11" s="573" t="s">
        <v>386</v>
      </c>
    </row>
    <row r="12" spans="1:3" ht="41.25" customHeight="1">
      <c r="A12" s="1100">
        <v>10</v>
      </c>
      <c r="B12" s="1101" t="s">
        <v>387</v>
      </c>
      <c r="C12" s="574" t="s">
        <v>388</v>
      </c>
    </row>
    <row r="13" spans="1:3" ht="91.5" customHeight="1">
      <c r="A13" s="1100"/>
      <c r="B13" s="1101"/>
      <c r="C13" s="574" t="s">
        <v>389</v>
      </c>
    </row>
    <row r="14" spans="1:3" ht="100.5" customHeight="1">
      <c r="A14" s="1100"/>
      <c r="B14" s="1101"/>
      <c r="C14" s="574" t="s">
        <v>390</v>
      </c>
    </row>
    <row r="15" spans="1:3">
      <c r="A15" s="572">
        <v>11</v>
      </c>
      <c r="B15" s="573" t="s">
        <v>391</v>
      </c>
      <c r="C15" s="573" t="s">
        <v>34</v>
      </c>
    </row>
    <row r="16" spans="1:3">
      <c r="A16" s="572">
        <v>12</v>
      </c>
      <c r="B16" s="573" t="s">
        <v>392</v>
      </c>
      <c r="C16" s="573" t="s">
        <v>393</v>
      </c>
    </row>
    <row r="17" spans="1:3">
      <c r="A17" s="572">
        <v>13</v>
      </c>
      <c r="B17" s="573" t="s">
        <v>394</v>
      </c>
      <c r="C17" s="574"/>
    </row>
    <row r="18" spans="1:3" ht="29.25" customHeight="1">
      <c r="A18" s="1100">
        <v>14</v>
      </c>
      <c r="B18" s="1101" t="s">
        <v>395</v>
      </c>
      <c r="C18" s="574" t="s">
        <v>396</v>
      </c>
    </row>
    <row r="19" spans="1:3" ht="34.5" customHeight="1">
      <c r="A19" s="1100"/>
      <c r="B19" s="1101"/>
      <c r="C19" s="574" t="s">
        <v>397</v>
      </c>
    </row>
    <row r="20" spans="1:3">
      <c r="A20" s="572">
        <v>15</v>
      </c>
      <c r="B20" s="573" t="s">
        <v>398</v>
      </c>
      <c r="C20" s="574"/>
    </row>
    <row r="21" spans="1:3">
      <c r="A21" s="572">
        <v>16</v>
      </c>
      <c r="B21" s="573" t="s">
        <v>399</v>
      </c>
      <c r="C21" s="573"/>
    </row>
    <row r="22" spans="1:3">
      <c r="A22" s="572">
        <v>17</v>
      </c>
      <c r="B22" s="573" t="s">
        <v>400</v>
      </c>
      <c r="C22" s="574"/>
    </row>
  </sheetData>
  <mergeCells count="4">
    <mergeCell ref="A12:A14"/>
    <mergeCell ref="B12:B14"/>
    <mergeCell ref="A18:A19"/>
    <mergeCell ref="B18: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10" workbookViewId="0">
      <selection activeCell="C15" sqref="C15"/>
    </sheetView>
  </sheetViews>
  <sheetFormatPr defaultColWidth="9.140625" defaultRowHeight="15"/>
  <cols>
    <col min="1" max="1" width="9.5703125" style="563" customWidth="1"/>
    <col min="2" max="2" width="15.28515625" style="563" customWidth="1"/>
    <col min="3" max="3" width="53"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402</v>
      </c>
    </row>
    <row r="4" spans="1:3" ht="25.5">
      <c r="A4" s="578">
        <v>2</v>
      </c>
      <c r="B4" s="577" t="s">
        <v>356</v>
      </c>
      <c r="C4" s="579" t="s">
        <v>363</v>
      </c>
    </row>
    <row r="5" spans="1:3">
      <c r="A5" s="578">
        <v>3</v>
      </c>
      <c r="B5" s="578" t="s">
        <v>378</v>
      </c>
      <c r="C5" s="578" t="s">
        <v>306</v>
      </c>
    </row>
    <row r="6" spans="1:3">
      <c r="A6" s="578">
        <v>4</v>
      </c>
      <c r="B6" s="578" t="s">
        <v>379</v>
      </c>
      <c r="C6" s="578" t="s">
        <v>403</v>
      </c>
    </row>
    <row r="7" spans="1:3">
      <c r="A7" s="578">
        <v>5</v>
      </c>
      <c r="B7" s="578" t="s">
        <v>26</v>
      </c>
      <c r="C7" s="578" t="s">
        <v>382</v>
      </c>
    </row>
    <row r="8" spans="1:3">
      <c r="A8" s="578">
        <v>6</v>
      </c>
      <c r="B8" s="578" t="s">
        <v>33</v>
      </c>
      <c r="C8" s="578" t="s">
        <v>404</v>
      </c>
    </row>
    <row r="9" spans="1:3">
      <c r="A9" s="578">
        <v>7</v>
      </c>
      <c r="B9" s="578" t="s">
        <v>30</v>
      </c>
      <c r="C9" s="578" t="s">
        <v>381</v>
      </c>
    </row>
    <row r="10" spans="1:3">
      <c r="A10" s="578">
        <v>8</v>
      </c>
      <c r="B10" s="578" t="s">
        <v>383</v>
      </c>
      <c r="C10" s="578" t="s">
        <v>384</v>
      </c>
    </row>
    <row r="11" spans="1:3">
      <c r="A11" s="578">
        <v>9</v>
      </c>
      <c r="B11" s="578" t="s">
        <v>385</v>
      </c>
      <c r="C11" s="578" t="s">
        <v>386</v>
      </c>
    </row>
    <row r="12" spans="1:3" ht="41.25" customHeight="1">
      <c r="A12" s="1102">
        <v>10</v>
      </c>
      <c r="B12" s="1102" t="s">
        <v>387</v>
      </c>
      <c r="C12" s="579" t="s">
        <v>405</v>
      </c>
    </row>
    <row r="13" spans="1:3" ht="63.75" customHeight="1">
      <c r="A13" s="1102"/>
      <c r="B13" s="1102"/>
      <c r="C13" s="579" t="s">
        <v>406</v>
      </c>
    </row>
    <row r="14" spans="1:3" ht="45" customHeight="1">
      <c r="A14" s="1102"/>
      <c r="B14" s="1102"/>
      <c r="C14" s="579" t="s">
        <v>407</v>
      </c>
    </row>
    <row r="15" spans="1:3" ht="224.25" customHeight="1">
      <c r="A15" s="1102"/>
      <c r="B15" s="1102"/>
      <c r="C15" s="579" t="s">
        <v>434</v>
      </c>
    </row>
    <row r="16" spans="1:3">
      <c r="A16" s="578">
        <v>11</v>
      </c>
      <c r="B16" s="578" t="s">
        <v>391</v>
      </c>
      <c r="C16" s="578" t="s">
        <v>408</v>
      </c>
    </row>
    <row r="17" spans="1:3">
      <c r="A17" s="578">
        <v>12</v>
      </c>
      <c r="B17" s="578" t="s">
        <v>392</v>
      </c>
      <c r="C17" s="578" t="s">
        <v>409</v>
      </c>
    </row>
    <row r="18" spans="1:3">
      <c r="A18" s="578">
        <v>13</v>
      </c>
      <c r="B18" s="578" t="s">
        <v>394</v>
      </c>
      <c r="C18" s="579"/>
    </row>
    <row r="19" spans="1:3" ht="35.25" customHeight="1">
      <c r="A19" s="1102">
        <v>14</v>
      </c>
      <c r="B19" s="1102" t="s">
        <v>395</v>
      </c>
      <c r="C19" s="579" t="s">
        <v>396</v>
      </c>
    </row>
    <row r="20" spans="1:3" ht="39.75" customHeight="1">
      <c r="A20" s="1102"/>
      <c r="B20" s="1102"/>
      <c r="C20" s="579" t="s">
        <v>410</v>
      </c>
    </row>
    <row r="21" spans="1:3">
      <c r="A21" s="578">
        <v>15</v>
      </c>
      <c r="B21" s="578" t="s">
        <v>398</v>
      </c>
      <c r="C21" s="579"/>
    </row>
    <row r="22" spans="1:3">
      <c r="A22" s="578">
        <v>16</v>
      </c>
      <c r="B22" s="578" t="s">
        <v>399</v>
      </c>
      <c r="C22" s="578"/>
    </row>
    <row r="23" spans="1:3">
      <c r="A23" s="578">
        <v>17</v>
      </c>
      <c r="B23" s="578" t="s">
        <v>400</v>
      </c>
      <c r="C23" s="579"/>
    </row>
  </sheetData>
  <mergeCells count="4">
    <mergeCell ref="A12:A15"/>
    <mergeCell ref="B12:B15"/>
    <mergeCell ref="A19:A20"/>
    <mergeCell ref="B19:B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G14" sqref="G14"/>
    </sheetView>
  </sheetViews>
  <sheetFormatPr defaultColWidth="9.140625" defaultRowHeight="15"/>
  <cols>
    <col min="1" max="1" width="9.140625" style="563"/>
    <col min="2" max="2" width="26.140625" style="563" customWidth="1"/>
    <col min="3" max="3" width="45.140625" style="563" customWidth="1"/>
    <col min="4" max="16384" width="9.140625" style="563"/>
  </cols>
  <sheetData>
    <row r="1" spans="1:3">
      <c r="A1" s="577" t="s">
        <v>372</v>
      </c>
      <c r="B1" s="577" t="s">
        <v>373</v>
      </c>
      <c r="C1" s="577" t="s">
        <v>374</v>
      </c>
    </row>
    <row r="2" spans="1:3">
      <c r="A2" s="578">
        <v>0</v>
      </c>
      <c r="B2" s="578" t="s">
        <v>375</v>
      </c>
      <c r="C2" s="578" t="s">
        <v>376</v>
      </c>
    </row>
    <row r="3" spans="1:3">
      <c r="A3" s="578">
        <v>1</v>
      </c>
      <c r="B3" s="577" t="s">
        <v>355</v>
      </c>
      <c r="C3" s="577" t="s">
        <v>411</v>
      </c>
    </row>
    <row r="4" spans="1:3" ht="63.75">
      <c r="A4" s="578">
        <v>2</v>
      </c>
      <c r="B4" s="577" t="s">
        <v>356</v>
      </c>
      <c r="C4" s="620" t="s">
        <v>440</v>
      </c>
    </row>
    <row r="5" spans="1:3">
      <c r="A5" s="578">
        <v>3</v>
      </c>
      <c r="B5" s="578" t="s">
        <v>378</v>
      </c>
      <c r="C5" s="578" t="s">
        <v>412</v>
      </c>
    </row>
    <row r="6" spans="1:3">
      <c r="A6" s="578">
        <v>4</v>
      </c>
      <c r="B6" s="578" t="s">
        <v>379</v>
      </c>
      <c r="C6" s="578" t="s">
        <v>403</v>
      </c>
    </row>
    <row r="7" spans="1:3">
      <c r="A7" s="578">
        <v>5</v>
      </c>
      <c r="B7" s="578" t="s">
        <v>26</v>
      </c>
      <c r="C7" s="578" t="s">
        <v>382</v>
      </c>
    </row>
    <row r="8" spans="1:3">
      <c r="A8" s="578">
        <v>6</v>
      </c>
      <c r="B8" s="578" t="s">
        <v>33</v>
      </c>
      <c r="C8" s="578" t="s">
        <v>404</v>
      </c>
    </row>
    <row r="9" spans="1:3">
      <c r="A9" s="578">
        <v>7</v>
      </c>
      <c r="B9" s="578" t="s">
        <v>30</v>
      </c>
      <c r="C9" s="578" t="s">
        <v>382</v>
      </c>
    </row>
    <row r="10" spans="1:3">
      <c r="A10" s="578">
        <v>8</v>
      </c>
      <c r="B10" s="578" t="s">
        <v>383</v>
      </c>
      <c r="C10" s="578" t="s">
        <v>384</v>
      </c>
    </row>
    <row r="11" spans="1:3">
      <c r="A11" s="578">
        <v>9</v>
      </c>
      <c r="B11" s="578" t="s">
        <v>385</v>
      </c>
      <c r="C11" s="578" t="s">
        <v>386</v>
      </c>
    </row>
    <row r="12" spans="1:3" ht="87.75" customHeight="1">
      <c r="A12" s="1102">
        <v>10</v>
      </c>
      <c r="B12" s="1102" t="s">
        <v>387</v>
      </c>
      <c r="C12" s="579" t="s">
        <v>413</v>
      </c>
    </row>
    <row r="13" spans="1:3" ht="67.5" customHeight="1">
      <c r="A13" s="1102"/>
      <c r="B13" s="1102"/>
      <c r="C13" s="579" t="s">
        <v>414</v>
      </c>
    </row>
    <row r="14" spans="1:3" ht="114" customHeight="1">
      <c r="A14" s="1102"/>
      <c r="B14" s="1102"/>
      <c r="C14" s="579" t="s">
        <v>415</v>
      </c>
    </row>
    <row r="15" spans="1:3" ht="115.5" customHeight="1">
      <c r="A15" s="1102"/>
      <c r="B15" s="1102"/>
      <c r="C15" s="579" t="s">
        <v>416</v>
      </c>
    </row>
    <row r="16" spans="1:3">
      <c r="A16" s="578">
        <v>11</v>
      </c>
      <c r="B16" s="578" t="s">
        <v>391</v>
      </c>
      <c r="C16" s="578" t="s">
        <v>34</v>
      </c>
    </row>
    <row r="17" spans="1:3">
      <c r="A17" s="578">
        <v>12</v>
      </c>
      <c r="B17" s="578" t="s">
        <v>392</v>
      </c>
      <c r="C17" s="578" t="s">
        <v>393</v>
      </c>
    </row>
    <row r="18" spans="1:3">
      <c r="A18" s="578">
        <v>13</v>
      </c>
      <c r="B18" s="578" t="s">
        <v>394</v>
      </c>
      <c r="C18" s="579"/>
    </row>
    <row r="19" spans="1:3" ht="28.5" customHeight="1">
      <c r="A19" s="1102">
        <v>14</v>
      </c>
      <c r="B19" s="1102" t="s">
        <v>395</v>
      </c>
      <c r="C19" s="579" t="s">
        <v>396</v>
      </c>
    </row>
    <row r="20" spans="1:3" ht="33" customHeight="1">
      <c r="A20" s="1102"/>
      <c r="B20" s="1102"/>
      <c r="C20" s="579" t="s">
        <v>410</v>
      </c>
    </row>
    <row r="21" spans="1:3">
      <c r="A21" s="578">
        <v>15</v>
      </c>
      <c r="B21" s="578" t="s">
        <v>398</v>
      </c>
      <c r="C21" s="579"/>
    </row>
    <row r="22" spans="1:3">
      <c r="A22" s="578">
        <v>16</v>
      </c>
      <c r="B22" s="578" t="s">
        <v>399</v>
      </c>
      <c r="C22" s="578"/>
    </row>
    <row r="23" spans="1:3">
      <c r="A23" s="578">
        <v>17</v>
      </c>
      <c r="B23" s="578" t="s">
        <v>400</v>
      </c>
      <c r="C23" s="579"/>
    </row>
  </sheetData>
  <mergeCells count="4">
    <mergeCell ref="A12:A15"/>
    <mergeCell ref="B12:B15"/>
    <mergeCell ref="A19:A20"/>
    <mergeCell ref="B19: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Intervencijų lėšos (2)</vt:lpstr>
      <vt:lpstr>2PO 2.2</vt:lpstr>
      <vt:lpstr>2PO 2.8</vt:lpstr>
      <vt:lpstr>3PO 3.1</vt:lpstr>
      <vt:lpstr>3.1.</vt:lpstr>
      <vt:lpstr>5PO</vt:lpstr>
      <vt:lpstr>F Specific output 3.1.1 (1)</vt:lpstr>
      <vt:lpstr>F Specific result 3.1.1 (1)</vt:lpstr>
      <vt:lpstr>F Specific result 3.1.1 (2)</vt:lpstr>
      <vt:lpstr>F Specific output 3.1.1 (3)</vt:lpstr>
      <vt:lpstr>F Specific result 3.1.1 (3)</vt:lpstr>
      <vt:lpstr>F Specific output 3.1.1 (4)</vt:lpstr>
      <vt:lpstr>F Specific result 3.1.1 (4)</vt:lpstr>
      <vt:lpstr>F Specific output 3.1.2 (1)</vt:lpstr>
      <vt:lpstr>F Specific result 3.1.2 (1)</vt:lpstr>
      <vt:lpstr>F Specific result 3.1.3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2022-07-11T13:00:36Z</dcterms:modified>
</cp:coreProperties>
</file>