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563997F0-9AA7-4B3E-B86D-97A21599D2FD}" xr6:coauthVersionLast="47" xr6:coauthVersionMax="47" xr10:uidLastSave="{00000000-0000-0000-0000-000000000000}"/>
  <bookViews>
    <workbookView xWindow="-120" yWindow="-120" windowWidth="29040" windowHeight="15720" tabRatio="610" xr2:uid="{00000000-000D-0000-FFFF-FFFF00000000}"/>
  </bookViews>
  <sheets>
    <sheet name="2PO 2.1" sheetId="5" r:id="rId1"/>
    <sheet name="2PO 2.1 (e)" sheetId="24" state="hidden" r:id="rId2"/>
    <sheet name="2PO 2.1 (eng)" sheetId="19" state="hidden" r:id="rId3"/>
    <sheet name="2PO 2.2 (eng)" sheetId="20" state="hidden" r:id="rId4"/>
    <sheet name="2PO 2.3 (eng)" sheetId="17" state="hidden" r:id="rId5"/>
    <sheet name="F Specific output 2.1.1 (1)" sheetId="27" r:id="rId6"/>
    <sheet name="F Specific output 2.1.3 (1)" sheetId="25" r:id="rId7"/>
  </sheets>
  <definedNames>
    <definedName name="_xlnm._FilterDatabase" localSheetId="0" hidden="1">'2PO 2.1'!$A$5:$DC$35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5" l="1"/>
  <c r="E6" i="5"/>
  <c r="C49" i="5"/>
  <c r="E21" i="5"/>
  <c r="A81" i="5" l="1"/>
  <c r="H71" i="5"/>
  <c r="J82" i="5"/>
  <c r="J81" i="5"/>
  <c r="H81" i="5"/>
  <c r="H80" i="5"/>
  <c r="P52" i="5"/>
  <c r="M52" i="5"/>
  <c r="H75" i="5" l="1"/>
  <c r="J71" i="5"/>
  <c r="J70" i="5"/>
  <c r="J69" i="5"/>
  <c r="I81" i="5"/>
  <c r="K81" i="5" l="1"/>
  <c r="I82" i="5" l="1"/>
  <c r="C34" i="5" l="1"/>
  <c r="C33" i="5"/>
  <c r="C35" i="5"/>
  <c r="K82" i="5" l="1"/>
  <c r="J76" i="5" l="1"/>
  <c r="H64" i="5"/>
  <c r="H63" i="5"/>
  <c r="M33" i="5"/>
  <c r="O44" i="5"/>
  <c r="E66" i="5"/>
  <c r="C45" i="5"/>
  <c r="C44" i="5"/>
  <c r="G41" i="5"/>
  <c r="G45" i="5" s="1"/>
  <c r="E41" i="5"/>
  <c r="E45" i="5" s="1"/>
  <c r="G38" i="5"/>
  <c r="E38" i="5"/>
  <c r="F38" i="5" s="1"/>
  <c r="F44" i="5" l="1"/>
  <c r="G44" i="5"/>
  <c r="F41" i="5"/>
  <c r="E44" i="5"/>
  <c r="P41" i="5"/>
  <c r="M42" i="5" s="1"/>
  <c r="D73" i="5" s="1"/>
  <c r="B38" i="5"/>
  <c r="P38" i="5"/>
  <c r="J65" i="5" s="1"/>
  <c r="C68" i="5"/>
  <c r="B68" i="5"/>
  <c r="A68" i="5"/>
  <c r="C67" i="5"/>
  <c r="B67" i="5"/>
  <c r="A67" i="5"/>
  <c r="H70" i="5"/>
  <c r="C70" i="5"/>
  <c r="B70" i="5"/>
  <c r="A70" i="5"/>
  <c r="H69" i="5"/>
  <c r="C69" i="5"/>
  <c r="B69" i="5"/>
  <c r="A69" i="5"/>
  <c r="B41" i="5" l="1"/>
  <c r="F45" i="5"/>
  <c r="M39" i="5"/>
  <c r="P42" i="5"/>
  <c r="J73" i="5" s="1"/>
  <c r="M43" i="5"/>
  <c r="F18" i="5"/>
  <c r="B18" i="5" s="1"/>
  <c r="F14" i="5"/>
  <c r="B14" i="5" s="1"/>
  <c r="P43" i="5" l="1"/>
  <c r="M45" i="5"/>
  <c r="D74" i="5"/>
  <c r="M40" i="5"/>
  <c r="P39" i="5"/>
  <c r="J74" i="5" s="1"/>
  <c r="P45" i="5" l="1"/>
  <c r="M44" i="5"/>
  <c r="P40" i="5"/>
  <c r="J68" i="5" s="1"/>
  <c r="P31" i="5"/>
  <c r="J77" i="5" s="1"/>
  <c r="O31" i="5"/>
  <c r="E27" i="5"/>
  <c r="F27" i="5" s="1"/>
  <c r="F21" i="5"/>
  <c r="G21" i="5" s="1"/>
  <c r="O33" i="5" l="1"/>
  <c r="G6" i="5"/>
  <c r="E34" i="5"/>
  <c r="E35" i="5"/>
  <c r="E33" i="5"/>
  <c r="P33" i="5"/>
  <c r="P44" i="5"/>
  <c r="G27" i="5"/>
  <c r="B27" i="5" s="1"/>
  <c r="B21" i="5"/>
  <c r="F9" i="5"/>
  <c r="G9" i="5"/>
  <c r="F6" i="5"/>
  <c r="E49" i="5"/>
  <c r="F34" i="5" l="1"/>
  <c r="F35" i="5"/>
  <c r="G33" i="5"/>
  <c r="B9" i="5"/>
  <c r="F33" i="5"/>
  <c r="G35" i="5"/>
  <c r="G34" i="5"/>
  <c r="B6" i="5"/>
  <c r="J80" i="5"/>
  <c r="K80" i="5" s="1"/>
  <c r="C80" i="5"/>
  <c r="B80" i="5"/>
  <c r="A80" i="5"/>
  <c r="C58" i="5"/>
  <c r="C57" i="5"/>
  <c r="P56" i="5"/>
  <c r="J67" i="5" s="1"/>
  <c r="M56" i="5"/>
  <c r="D67" i="5" s="1"/>
  <c r="I80" i="5"/>
  <c r="P53" i="5"/>
  <c r="K78" i="5" s="1"/>
  <c r="E53" i="5"/>
  <c r="F53" i="5" s="1"/>
  <c r="D68" i="5"/>
  <c r="I77" i="5"/>
  <c r="D83" i="5" l="1"/>
  <c r="K77" i="5"/>
  <c r="J78" i="5"/>
  <c r="H77" i="5"/>
  <c r="P57" i="5"/>
  <c r="P60" i="5" s="1"/>
  <c r="M57" i="5"/>
  <c r="M60" i="5" s="1"/>
  <c r="O53" i="5"/>
  <c r="E57" i="5"/>
  <c r="F57" i="5"/>
  <c r="G53" i="5"/>
  <c r="H78" i="5" l="1"/>
  <c r="I78" i="5"/>
  <c r="O57" i="5"/>
  <c r="O60" i="5" s="1"/>
  <c r="G57" i="5"/>
  <c r="B53" i="5"/>
  <c r="H82" i="5" l="1"/>
  <c r="C82" i="5"/>
  <c r="C81" i="5"/>
  <c r="B82" i="5"/>
  <c r="A82" i="5"/>
  <c r="B81" i="5"/>
  <c r="B78" i="5"/>
  <c r="B77" i="5"/>
  <c r="A78" i="5"/>
  <c r="C78" i="5"/>
  <c r="A77" i="5"/>
  <c r="C65" i="5" l="1"/>
  <c r="B65" i="5"/>
  <c r="A65" i="5"/>
  <c r="H65" i="5"/>
  <c r="J64" i="5"/>
  <c r="C79" i="5" l="1"/>
  <c r="B79" i="5"/>
  <c r="A79" i="5"/>
  <c r="C77" i="5"/>
  <c r="C76" i="5"/>
  <c r="B76" i="5"/>
  <c r="A76" i="5"/>
  <c r="C75" i="5"/>
  <c r="B75" i="5"/>
  <c r="A75" i="5"/>
  <c r="C74" i="5"/>
  <c r="B74" i="5"/>
  <c r="A74" i="5"/>
  <c r="C73" i="5"/>
  <c r="B73" i="5"/>
  <c r="A73" i="5"/>
  <c r="C72" i="5"/>
  <c r="B72" i="5"/>
  <c r="A72" i="5"/>
  <c r="C71" i="5"/>
  <c r="B71" i="5"/>
  <c r="A71" i="5"/>
  <c r="C66" i="5"/>
  <c r="C64" i="5"/>
  <c r="C63" i="5"/>
  <c r="B66" i="5"/>
  <c r="A66" i="5"/>
  <c r="B64" i="5"/>
  <c r="A64" i="5"/>
  <c r="B63" i="5"/>
  <c r="A63" i="5"/>
  <c r="A3" i="27" l="1"/>
  <c r="A4" i="27" s="1"/>
  <c r="A5" i="27" s="1"/>
  <c r="A6" i="27" s="1"/>
  <c r="A7" i="27" s="1"/>
  <c r="A8" i="27" s="1"/>
  <c r="A9" i="27" s="1"/>
  <c r="A10" i="27" s="1"/>
  <c r="A11" i="27" s="1"/>
  <c r="A12" i="27" s="1"/>
  <c r="A13" i="27" s="1"/>
  <c r="A14" i="27" s="1"/>
  <c r="A15" i="27" s="1"/>
  <c r="A16" i="27" s="1"/>
  <c r="A17" i="27" s="1"/>
  <c r="A18" i="27" s="1"/>
  <c r="A19" i="27" s="1"/>
  <c r="H72" i="5" l="1"/>
  <c r="H67" i="5"/>
  <c r="H66" i="5"/>
  <c r="J63" i="5"/>
  <c r="J79" i="5"/>
  <c r="K79" i="5" s="1"/>
  <c r="H79" i="5"/>
  <c r="I79" i="5" l="1"/>
  <c r="A3" i="25"/>
  <c r="A4" i="25" s="1"/>
  <c r="A5" i="25" s="1"/>
  <c r="A6" i="25" s="1"/>
  <c r="A7" i="25" s="1"/>
  <c r="A8" i="25" s="1"/>
  <c r="A9" i="25" s="1"/>
  <c r="A10" i="25" s="1"/>
  <c r="A11" i="25" s="1"/>
  <c r="A12" i="25" s="1"/>
  <c r="A13" i="25" s="1"/>
  <c r="A14" i="25" s="1"/>
  <c r="A15" i="25" s="1"/>
  <c r="A16" i="25" s="1"/>
  <c r="A17" i="25" s="1"/>
  <c r="A18" i="25" s="1"/>
  <c r="A19" i="25" s="1"/>
  <c r="J66" i="5" l="1"/>
  <c r="J72" i="5"/>
  <c r="J75" i="5" l="1"/>
  <c r="J83" i="5" s="1"/>
  <c r="J85" i="5" s="1"/>
  <c r="I38" i="24" l="1"/>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F5" i="24" s="1"/>
  <c r="E5" i="24" l="1"/>
  <c r="F8" i="24"/>
  <c r="D18" i="17" l="1"/>
  <c r="D17" i="17"/>
  <c r="I18" i="17"/>
  <c r="I17" i="17"/>
  <c r="I42" i="19"/>
  <c r="I41" i="19"/>
  <c r="D7" i="19"/>
  <c r="D5" i="19"/>
  <c r="D15" i="20"/>
  <c r="D11" i="20"/>
  <c r="D8" i="20"/>
  <c r="D5" i="20"/>
  <c r="I15" i="17"/>
  <c r="I38" i="20" l="1"/>
  <c r="H45" i="20"/>
  <c r="H44" i="20"/>
  <c r="D39" i="20"/>
  <c r="D38" i="20"/>
  <c r="I40" i="20"/>
  <c r="H40" i="20"/>
  <c r="I41" i="20"/>
  <c r="H41" i="20"/>
  <c r="I45" i="20"/>
  <c r="I44" i="20"/>
  <c r="I43" i="20"/>
  <c r="H43" i="20"/>
  <c r="I42" i="20"/>
  <c r="H42" i="20"/>
  <c r="I39" i="20"/>
  <c r="D31" i="20"/>
  <c r="E31" i="20" s="1"/>
  <c r="F31" i="20" s="1"/>
  <c r="D27" i="20"/>
  <c r="E27" i="20" s="1"/>
  <c r="F27" i="20" s="1"/>
  <c r="D23" i="20"/>
  <c r="E23" i="20" s="1"/>
  <c r="F23" i="20" s="1"/>
  <c r="D19" i="20"/>
  <c r="E19" i="20" s="1"/>
  <c r="F19" i="20" s="1"/>
  <c r="E15" i="20"/>
  <c r="F15" i="20" s="1"/>
  <c r="E11" i="20"/>
  <c r="F11" i="20" s="1"/>
  <c r="E8" i="20"/>
  <c r="F8" i="20" s="1"/>
  <c r="E5" i="20"/>
  <c r="F5" i="20" s="1"/>
  <c r="I48" i="19"/>
  <c r="H48" i="19"/>
  <c r="I47" i="19"/>
  <c r="H47" i="19"/>
  <c r="I46" i="19"/>
  <c r="H46" i="19"/>
  <c r="I45" i="19"/>
  <c r="H45" i="19"/>
  <c r="I44" i="19"/>
  <c r="D44" i="19"/>
  <c r="I43" i="19"/>
  <c r="D43" i="19"/>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43" i="19" l="1"/>
  <c r="J38" i="20"/>
  <c r="J44" i="19"/>
  <c r="J39" i="20"/>
  <c r="H76" i="5" l="1"/>
  <c r="H83" i="5" s="1"/>
  <c r="E58" i="5" l="1"/>
  <c r="F49" i="5"/>
  <c r="G49" i="5" s="1"/>
  <c r="G58" i="5" l="1"/>
  <c r="B49" i="5"/>
  <c r="F5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2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shapeId="0" xr:uid="{00000000-0006-0000-02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shapeId="0" xr:uid="{00000000-0006-0000-02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shapeId="0" xr:uid="{00000000-0006-0000-02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3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are not included in the calculation of co-financing rate.</t>
        </r>
      </text>
    </comment>
    <comment ref="D8" authorId="0" shapeId="0" xr:uid="{00000000-0006-0000-03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of 4,11 percent are excluded</t>
        </r>
      </text>
    </comment>
  </commentList>
</comments>
</file>

<file path=xl/sharedStrings.xml><?xml version="1.0" encoding="utf-8"?>
<sst xmlns="http://schemas.openxmlformats.org/spreadsheetml/2006/main" count="1478" uniqueCount="407">
  <si>
    <t>Action Veiksmas</t>
  </si>
  <si>
    <t>Total allocation of action level (indicated) Bendras veiksmų lygio paskirstymas</t>
  </si>
  <si>
    <t>Intervention field</t>
  </si>
  <si>
    <t>Rodiklis</t>
  </si>
  <si>
    <t>Rodiklio matavimo vienetas</t>
  </si>
  <si>
    <t xml:space="preserve">Rodiklio pradinė </t>
  </si>
  <si>
    <t>Rodiklio tarpinė 2024 m. reikšmė</t>
  </si>
  <si>
    <t>Rodiklio siektina 2029 m. reikšmė</t>
  </si>
  <si>
    <t>Duomenų šaltinis</t>
  </si>
  <si>
    <t>Rodiklio siektinų reikšmų apskaičiavimo metodika</t>
  </si>
  <si>
    <t>code and name</t>
  </si>
  <si>
    <t>co-financing rate (Eur.)</t>
  </si>
  <si>
    <t>Rodiklio kodas</t>
  </si>
  <si>
    <t>Rodiklio pavadinimas</t>
  </si>
  <si>
    <t>reikšmė</t>
  </si>
  <si>
    <t>metai</t>
  </si>
  <si>
    <t>ERPF</t>
  </si>
  <si>
    <t>Vidurio ir Vakarų Lietuvos regionas</t>
  </si>
  <si>
    <r>
      <t>allocation 2021-</t>
    </r>
    <r>
      <rPr>
        <b/>
        <sz val="11"/>
        <color theme="1"/>
        <rFont val="Calibri"/>
        <family val="2"/>
        <charset val="186"/>
        <scheme val="minor"/>
      </rPr>
      <t xml:space="preserve"> 2027 used for calculation of 2029 target </t>
    </r>
  </si>
  <si>
    <t>Konkretus uždavinys – 2.1. Skatinti naudoti energijos vartojimo efektyvumą didinančias priemones ir mažinti šiltnamio dujų išmetimus</t>
  </si>
  <si>
    <t xml:space="preserve">allocation 2021- 2027 used for calculation of 2029 target </t>
  </si>
  <si>
    <t>Regiono kategorija veiklai</t>
  </si>
  <si>
    <t>Fondas  veiklai</t>
  </si>
  <si>
    <t>RCR 26</t>
  </si>
  <si>
    <t>SaF</t>
  </si>
  <si>
    <t>RCO 18</t>
  </si>
  <si>
    <t>RCO 19</t>
  </si>
  <si>
    <t>RCO 20</t>
  </si>
  <si>
    <t>RCR 33</t>
  </si>
  <si>
    <t>MWh</t>
  </si>
  <si>
    <t>Konkretus uždavinys – 2.2. Skatinti naudoti atsinaujinančiąją energiją</t>
  </si>
  <si>
    <t>RCO 22</t>
  </si>
  <si>
    <t>km</t>
  </si>
  <si>
    <t>m2</t>
  </si>
  <si>
    <t>vnt.</t>
  </si>
  <si>
    <t xml:space="preserve"> m2</t>
  </si>
  <si>
    <t>RCR 29</t>
  </si>
  <si>
    <t>-</t>
  </si>
  <si>
    <t>RCR29</t>
  </si>
  <si>
    <t>RCR33</t>
  </si>
  <si>
    <t>RCO19</t>
  </si>
  <si>
    <t xml:space="preserve">RCR 29 </t>
  </si>
  <si>
    <t>Konkretus uždavinys - 2.3. Kurti pažangiąsias elektros energijos sistemas ir tinklus, taip pat energijos kaupimo sprendimus už TEN-E ribų</t>
  </si>
  <si>
    <t>Finansinė proporcija (EU+ nacionalinis), Eur</t>
  </si>
  <si>
    <t xml:space="preserve">Finansinė proporcija (EU+ nacionalinis)(Eur.) </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</si>
  <si>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</si>
  <si>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</si>
  <si>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n/a</t>
  </si>
  <si>
    <t xml:space="preserve">Total allocation of action level (indicated)  </t>
  </si>
  <si>
    <t xml:space="preserve">co-financing rate (Eur.) </t>
  </si>
  <si>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</si>
  <si>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</si>
  <si>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</si>
  <si>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</si>
  <si>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</si>
  <si>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</si>
  <si>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</si>
  <si>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</si>
  <si>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</si>
  <si>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</si>
  <si>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</si>
  <si>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t>Indicators' calculation method</t>
  </si>
  <si>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</si>
  <si>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</si>
  <si>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</si>
  <si>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</si>
  <si>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</si>
  <si>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</si>
  <si>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</si>
  <si>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</si>
  <si>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</si>
  <si>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</si>
  <si>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</si>
  <si>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</si>
  <si>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</si>
  <si>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</si>
  <si>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</si>
  <si>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</si>
  <si>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</si>
  <si>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</si>
  <si>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</si>
  <si>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</si>
  <si>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</si>
  <si>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</si>
  <si>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</si>
  <si>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</si>
  <si>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</si>
  <si>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</si>
  <si>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</si>
  <si>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</si>
  <si>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</si>
  <si>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</si>
  <si>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</si>
  <si>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                                                                                                                                 70 proc. (15,75 MEUR)  kategorijos lėšų investuojama į nedidelės galios biokuro kogeneracines elektrines;  25 proc. (5,625 MEUR) - į didelio efektyvumo biokuro katilus; 5 proc. (1,125 MEUR) - į šilumos saugyklas.  1 MWel.+5 MWš. nedidelės galios CHP kainuoja 5 MEUR, tad už numatytas lėšas  sukurtume 15,75 MEUR/5 = 3 MWe ir 15 MWš galios CHP pajėgumų; didelio efektyvumo katilo 1 MW kainuoja 0,5 MEUR. Už 5,6 MEUR įdiegtume  5,6/0,5=11MWš   (high efficiency biomass boiler).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3 MWe ir 26 MWš</t>
    </r>
    <r>
      <rPr>
        <sz val="10"/>
        <color theme="1"/>
        <rFont val="Calibri"/>
        <family val="2"/>
        <scheme val="minor"/>
      </rPr>
      <t xml:space="preserve"> (15MW+11MW). Daroma prielaida, kad iki 2024 m. bus investuota 20 proc. , tad tarpinė reikšmė bus ~ </t>
    </r>
    <r>
      <rPr>
        <b/>
        <sz val="10"/>
        <color theme="1"/>
        <rFont val="Calibri"/>
        <family val="2"/>
        <scheme val="minor"/>
      </rPr>
      <t>0,6 MWe  ir  5 MWš</t>
    </r>
    <r>
      <rPr>
        <sz val="10"/>
        <color theme="1"/>
        <rFont val="Calibri"/>
        <family val="2"/>
        <scheme val="minor"/>
      </rPr>
      <t xml:space="preserve"> papildomų pajėgumų.  Rinkos kainomis vidut. CŠT tinkančios 1m3 šilumos talpyklos  kainuotų  200 eurų. Už 1,125 MEUR sukurtume 1,125/0,0002= 5625 m3, kas sudaro apie 260 MWh talpos (LŠTA duomenimis , 1 MWh  atitinka apie 21,6 m3). Daroma prielaida, kad iki 2024 m. bus investuota apie 20 proc. lėšų, tad tarpinė reikšmė 260x0,2=</t>
    </r>
    <r>
      <rPr>
        <b/>
        <sz val="10"/>
        <color theme="1"/>
        <rFont val="Calibri"/>
        <family val="2"/>
        <scheme val="minor"/>
      </rPr>
      <t>52 MWh</t>
    </r>
    <r>
      <rPr>
        <sz val="10"/>
        <color theme="1"/>
        <rFont val="Calibri"/>
        <family val="2"/>
        <scheme val="minor"/>
      </rPr>
      <t>.</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</si>
  <si>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t xml:space="preserve">37,5 MW: pagal LŠTA studiją 1 MW šilumos siurblio galios pagamintų 600 MWh energijos, tai 37,5 MW pagamins 22500 MWh energijos. Pradinė reikšmė: 22500x0,1 (faktorius pagal STR šilumai iš CŠT tinklo)= </t>
    </r>
    <r>
      <rPr>
        <b/>
        <sz val="10"/>
        <color theme="1"/>
        <rFont val="Calibri"/>
        <family val="2"/>
        <scheme val="minor"/>
      </rPr>
      <t>2250 tCO2ekv./metus</t>
    </r>
    <r>
      <rPr>
        <sz val="10"/>
        <color theme="1"/>
        <rFont val="Calibri"/>
        <family val="2"/>
        <scheme val="minor"/>
      </rPr>
      <t xml:space="preserve">,  2029 reikšmė:  22500x0,04 (biokuro taršos faktorius pagal STR)= </t>
    </r>
    <r>
      <rPr>
        <b/>
        <sz val="10"/>
        <color theme="1"/>
        <rFont val="Calibri"/>
        <family val="2"/>
        <scheme val="minor"/>
      </rPr>
      <t>900 tCO2ekv./metus.</t>
    </r>
  </si>
  <si>
    <r>
      <t>CO2 skaičiuojamas  iš saulės elektrinių ir kolektorių diegimo. Pradinės reikšmės skaičiavimas: 1 kW saulės elektrinės pagamina apie 1000 kWh (1 MW - 1000 MWh), tai 4,7 MW pagamins 4700 MWh. CO2 kiekis būtų 4700MWh x0,42 tCO2/MWh (elektros energijos taršos faktorius)=</t>
    </r>
    <r>
      <rPr>
        <b/>
        <sz val="10"/>
        <color theme="1"/>
        <rFont val="Calibri"/>
        <family val="2"/>
        <scheme val="minor"/>
      </rPr>
      <t xml:space="preserve">1974 tCO2 ekv./metus.                                                                                                                                                                     </t>
    </r>
    <r>
      <rPr>
        <sz val="10"/>
        <color theme="1"/>
        <rFont val="Calibri"/>
        <family val="2"/>
        <scheme val="minor"/>
      </rPr>
      <t xml:space="preserve">Saulės kolektoriaus 1m2 gamina 400 kWh, tai 131250 m2 gamins 52500MWh.Skaičiuojant pradinę CO2 reikšmę: </t>
    </r>
    <r>
      <rPr>
        <b/>
        <sz val="10"/>
        <color theme="1"/>
        <rFont val="Calibri"/>
        <family val="2"/>
        <scheme val="minor"/>
      </rPr>
      <t xml:space="preserve">  </t>
    </r>
    <r>
      <rPr>
        <sz val="10"/>
        <color theme="1"/>
        <rFont val="Calibri"/>
        <family val="2"/>
        <scheme val="minor"/>
      </rPr>
      <t>52500MWh x 0,1 (faktorius pagal STR šilumai iš CŠT tinklo)= 5250  tCO2/metus.Pradinė reikšmė bendra: 1974+ 5250=</t>
    </r>
    <r>
      <rPr>
        <b/>
        <sz val="10"/>
        <color theme="1"/>
        <rFont val="Calibri"/>
        <family val="2"/>
        <scheme val="minor"/>
      </rPr>
      <t>7224 tCO2ekv./ metus</t>
    </r>
    <r>
      <rPr>
        <sz val="10"/>
        <color theme="1"/>
        <rFont val="Calibri"/>
        <family val="2"/>
        <scheme val="minor"/>
      </rPr>
      <t>.</t>
    </r>
    <r>
      <rPr>
        <b/>
        <sz val="10"/>
        <color theme="1"/>
        <rFont val="Calibri"/>
        <family val="2"/>
        <scheme val="minor"/>
      </rPr>
      <t xml:space="preserve"> </t>
    </r>
    <r>
      <rPr>
        <sz val="10"/>
        <color theme="1"/>
        <rFont val="Calibri"/>
        <family val="2"/>
        <scheme val="minor"/>
      </rPr>
      <t>Siekiama reikšmė 2029 m. būtų 0 (pagal STR saulės taršos faktorius lygus 0).</t>
    </r>
  </si>
  <si>
    <r>
      <t>Pradinė CO2 reikšmė: 3 MWelx8000 h/metus (CHP veikimo laikas per metus) x 0,42 tCO2/MWh (taršos faktorius elektrai) =10080 tCO2 ekvivalentu/metus; 26MWšx6000 h/metus (katilų veikimo laikas per metus) x 0,1 (taršos faktorius pagal STR CŠT šilumai)=15600 tCO2 ekvivalentu/metus. Viso pradinis CO2 kiekis: 10080+ 15600=</t>
    </r>
    <r>
      <rPr>
        <b/>
        <sz val="10"/>
        <color theme="1"/>
        <rFont val="Calibri"/>
        <family val="2"/>
        <scheme val="minor"/>
      </rPr>
      <t>25680 tCO2 ekv./metus</t>
    </r>
    <r>
      <rPr>
        <sz val="10"/>
        <color theme="1"/>
        <rFont val="Calibri"/>
        <family val="2"/>
        <scheme val="minor"/>
      </rPr>
      <t>. Galutinė CO2 reikšmė: 3 MWelx8000 h/metus (CHP veikimo laikas per metus) x 0,04 tCO2/MWh (taršos faktorius biokurui) =960 tCO2 ekvivalentu/metus; 26MWšx6000 h/metus (katilų veikimo laikas per metus) x 0,04 (taršos faktorius pagal STR biokurui)=6240 tCO2 ekvivalentu/metus. Galutinė bendra reikšmė CO2: 960+ 6240=</t>
    </r>
    <r>
      <rPr>
        <b/>
        <sz val="10"/>
        <color theme="1"/>
        <rFont val="Calibri"/>
        <family val="2"/>
        <scheme val="minor"/>
      </rPr>
      <t>7200 tCO2 ekv./metus.</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</si>
  <si>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70 proc. (36,75 MEUR)  kategorijos lėšų investuojama į nedidelės galios biokuro kogeneracines elektrines;  25 proc. (13,125 MEUR) - į didelio efektyvumo biokuro katilus; 5 proc. (2,625 MEUR) - į šilumos saugyklas.   1 MWel.+5 MWš. nedidelės galios CHP kainuoja 5 MEUR, tad už numatytas lėšas  sukurtume 36,75 MEUR/5 MEUR= 7 MWe ir 35MWš pajėgumų. Už 13,125 MEUR įdiegtume  13,125/0,5=26 MWš galios didelio efektyvumo katilų, kurių 1 MW kainuoja 0,5 MEUR.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 xml:space="preserve">7 MWe ir  61 MWš </t>
    </r>
    <r>
      <rPr>
        <sz val="10"/>
        <color theme="1"/>
        <rFont val="Calibri"/>
        <family val="2"/>
        <scheme val="minor"/>
      </rPr>
      <t xml:space="preserve">(35MWš+ 26MWš) AEI pajėgumų. Daroma prielaida, kad iki 2024 m. bus investuota 20 proc. , tad tarpinė reikšmė bus </t>
    </r>
    <r>
      <rPr>
        <b/>
        <sz val="10"/>
        <color theme="1"/>
        <rFont val="Calibri"/>
        <family val="2"/>
        <scheme val="minor"/>
      </rPr>
      <t>~ 1,4 MWe  ir  ~12 MWš</t>
    </r>
    <r>
      <rPr>
        <sz val="10"/>
        <color theme="1"/>
        <rFont val="Calibri"/>
        <family val="2"/>
        <scheme val="minor"/>
      </rPr>
      <t xml:space="preserve"> papildomų AEI pajėgumų.   Rinkos kainomis vidut. CŠT tinkančios 1m3 šilumos talpyklos  kainuotų  200 eurų. Už 2,625 MEUR sukurtume 2,625/0,0002 = 13125 m3, t.y. ~607 MWh talpos. Daroma prielaida, kad iki 2024 m. bus investuota apie 20 proc. lėšų, tad tarpinė reikšmė 607x0,2=~121 MWh.</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</si>
  <si>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rPr>
        <u/>
        <sz val="10"/>
        <color theme="1"/>
        <rFont val="Calibri"/>
        <family val="2"/>
        <scheme val="minor"/>
      </rPr>
      <t>Pradinė CO2 reikšmė:</t>
    </r>
    <r>
      <rPr>
        <sz val="10"/>
        <color theme="1"/>
        <rFont val="Calibri"/>
        <family val="2"/>
        <scheme val="minor"/>
      </rPr>
      <t xml:space="preserve"> 1 iškastinio kuro katilas (vidut. apie 20 kW katilas namų ūkiui) sunaudoja 5,7 TNE/metus (1 TNE = 11,628 MWh konversijos koeficientas), tai sudaro 66,28  MWh energijos. 12122 įrenginiai suvartoja 12122x66,28 =~ 803 446 MWh/metus. CO2 kiekis skaičiuojamas 803 446 MWh/metus x 0,36 tCO2/MWh (iškastinio kuro taršos faktorius pagal Aplinkos ministro patvirtintą Statybos techninį reglamentą(STR))= </t>
    </r>
    <r>
      <rPr>
        <b/>
        <sz val="10"/>
        <color theme="1"/>
        <rFont val="Calibri"/>
        <family val="2"/>
        <scheme val="minor"/>
      </rPr>
      <t>289241 tCO2 ekv. /metus</t>
    </r>
    <r>
      <rPr>
        <sz val="10"/>
        <color theme="1"/>
        <rFont val="Calibri"/>
        <family val="2"/>
        <scheme val="minor"/>
      </rPr>
      <t xml:space="preserve">. </t>
    </r>
    <r>
      <rPr>
        <u/>
        <sz val="10"/>
        <color theme="1"/>
        <rFont val="Calibri"/>
        <family val="2"/>
        <scheme val="minor"/>
      </rPr>
      <t>Galutinė CO2 reikšmė:</t>
    </r>
    <r>
      <rPr>
        <sz val="10"/>
        <color theme="1"/>
        <rFont val="Calibri"/>
        <family val="2"/>
        <scheme val="minor"/>
      </rPr>
      <t xml:space="preserve">  1 efektyvus naujas biokuro katilas sunaudoja  dvigubai mažiau 2,85 TNE/metus, t.y.  2,85x11,628=33,14  MWh energijos, todėl 12122 nauji įrenginiai suvartotų apie 401723 MWh/metus.  CO2 kiekis  401723 MWh/metus x 0,04 tCO2/MWh (taršos faktorius biokurui pagal STR)  = </t>
    </r>
    <r>
      <rPr>
        <b/>
        <sz val="10"/>
        <color theme="1"/>
        <rFont val="Calibri"/>
        <family val="2"/>
        <scheme val="minor"/>
      </rPr>
      <t>16069 tCO2 ekv. /metus</t>
    </r>
    <r>
      <rPr>
        <sz val="10"/>
        <color theme="1"/>
        <rFont val="Calibri"/>
        <family val="2"/>
        <scheme val="minor"/>
      </rPr>
      <t xml:space="preserve">. </t>
    </r>
  </si>
  <si>
    <r>
      <rPr>
        <u/>
        <sz val="10"/>
        <color theme="1"/>
        <rFont val="Calibri"/>
        <family val="2"/>
        <scheme val="minor"/>
      </rPr>
      <t xml:space="preserve">Pradinė CO2 reikšmė: </t>
    </r>
    <r>
      <rPr>
        <sz val="10"/>
        <color theme="1"/>
        <rFont val="Calibri"/>
        <family val="2"/>
        <scheme val="minor"/>
      </rPr>
      <t xml:space="preserve">1 iškastinio kuro katilas (vidut. apie 20 kW katilas namų ūkiui) sunaudoja 5,7 TNE/metus (1 TNE = 11,628 MWh konversijos koeficientas), tai sudaro 66,28  MWh energijos. Seni 6061 katilai  suvartoja 6061x66,28 =~ 401723 MWh/metus. CO2 kiekis skaičiuojamas 401723 MWh/metus x 0,36 tCO2/MWh (iškastinio kuro taršos faktorius pagal AM patvirtintą STR)= </t>
    </r>
    <r>
      <rPr>
        <b/>
        <sz val="10"/>
        <color theme="1"/>
        <rFont val="Calibri"/>
        <family val="2"/>
        <scheme val="minor"/>
      </rPr>
      <t xml:space="preserve">144620 tCO2 ekv. /metus. </t>
    </r>
    <r>
      <rPr>
        <u/>
        <sz val="10"/>
        <color theme="1"/>
        <rFont val="Calibri"/>
        <family val="2"/>
        <scheme val="minor"/>
      </rPr>
      <t>Galutinė CO2 reikšmė:</t>
    </r>
    <r>
      <rPr>
        <sz val="10"/>
        <color theme="1"/>
        <rFont val="Calibri"/>
        <family val="2"/>
        <scheme val="minor"/>
      </rPr>
      <t>1 šilumos siurblys  sunaudoja 0,7 TNE/metus, t.y.  8,13  MWh energijos, tai 6061 nauji šilumos siurbliai suvartos  6061x8,13= 49276 MWh/metus. CO2 kiekis bus 49276x 0,42 tCO2/MWh (taršos faktorius elektrai pagal STR)=</t>
    </r>
    <r>
      <rPr>
        <b/>
        <sz val="10"/>
        <color theme="1"/>
        <rFont val="Calibri"/>
        <family val="2"/>
        <scheme val="minor"/>
      </rPr>
      <t>20696 tCO2 ekv./metus</t>
    </r>
    <r>
      <rPr>
        <sz val="10"/>
        <color theme="1"/>
        <rFont val="Calibri"/>
        <family val="2"/>
        <scheme val="minor"/>
      </rPr>
      <t xml:space="preserve">.                   </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</si>
  <si>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12122  boilers consume 12122x66,28=803446 MWh/year primary energy and CO2 will be 803 446 MWh/year x 0,36 tCO2/MWh= 289241 tCO2 ekv. /year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biomass boiler consumes 2 times less energy 2,8 toe or  33,14  MWh.  12122 biomass boilers consume  12122x33,14=401723 MWh/year. CO2 will be 401723 MWh/year x 0,04 tCO2/MWh (pollution factor for biomass according to TRC, MInistry of Environment)  = 16069 tCO2 ekv. /year.</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</si>
  <si>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6061  fossil fuel boilers consume 6061x66,28 =~ 401723 MWh/year  of primary energy and CO2 will be 401723 MWh/year x 0,36 tCO2/MWh = 144620 tCO2 ekv./year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heat pump consumes 0,7 toe or  8,13  MWh (data from 2014-2020 OP).  6061 heat pumps consume  6061x8,13= 49276 MWh/year. CO2 will be 49276x 0,42 tCO2/MWh (pollution factor for electricity according to TRC, MInistry of Environment)  = 20696 tCO2 ekv./year.</t>
    </r>
  </si>
  <si>
    <r>
      <rPr>
        <i/>
        <sz val="10"/>
        <color rgb="FF7030A0"/>
        <rFont val="Calibri"/>
        <family val="2"/>
        <scheme val="minor"/>
      </rPr>
      <t xml:space="preserve">Skaičiavimams taikomas paramos intensyvumas vidut.50 proc., siekiant išlaikyti tokį patį finansavimo modelį kaip ir 2014-2020m.  </t>
    </r>
    <r>
      <rPr>
        <sz val="10"/>
        <color theme="1"/>
        <rFont val="Calibri"/>
        <family val="2"/>
        <scheme val="minor"/>
      </rPr>
      <t>10 proc. (~3,750 MEUR)  lėšų investuojama į saulės elektrines, 70 proc. ~26,25 MEUR  - į saulės kolektorius ir 20 proc.  - ~ 7,5 MEUR į energijos saugojimo sprendimus (šilumos talpyklas) CŠT tinkle. Saulės elektrinės 1 kW kaina rinkoje-~ 800 eur, saulės kolektorių 1 m2 kaina rinkoje - ~ 200 eur, vidut. 1 m3 šiluminės energijos talpyklos kainuoja rinkoje -~ 200 eurų. Už numatytas lėšas saulės elektrinių būtų įdiegta 3,75MEUR/800 eurų/kW= 4687,5 kW (</t>
    </r>
    <r>
      <rPr>
        <b/>
        <sz val="10"/>
        <color theme="1"/>
        <rFont val="Calibri"/>
        <family val="2"/>
        <scheme val="minor"/>
      </rPr>
      <t>~4,7 MWe</t>
    </r>
    <r>
      <rPr>
        <sz val="10"/>
        <color theme="1"/>
        <rFont val="Calibri"/>
        <family val="2"/>
        <scheme val="minor"/>
      </rPr>
      <t xml:space="preserve">) galios; saulės kolektorių būtų įdiegta 26,25MEUR/200 eurų/m2=131250 m2, tai sudaro </t>
    </r>
    <r>
      <rPr>
        <b/>
        <sz val="10"/>
        <color theme="1"/>
        <rFont val="Calibri"/>
        <family val="2"/>
        <scheme val="minor"/>
      </rPr>
      <t>91,8 MWš</t>
    </r>
    <r>
      <rPr>
        <sz val="10"/>
        <color theme="1"/>
        <rFont val="Calibri"/>
        <family val="2"/>
        <scheme val="minor"/>
      </rPr>
      <t xml:space="preserve"> galios ( skaičiuojama, kad 1000m2 sukuria 0,7 MW galios, tuomet 131250m2 sukurs – 91,8 MW); šilumos talpyklų būtų įrengta 7,5MEUR/ 200 eurų/m3=37500 m3, t.y.~1961 MWh talpos. Viso AEI pajėgumų iki 2029 m:  </t>
    </r>
    <r>
      <rPr>
        <b/>
        <sz val="10"/>
        <color theme="1"/>
        <rFont val="Calibri"/>
        <family val="2"/>
        <scheme val="minor"/>
      </rPr>
      <t xml:space="preserve">4,7 MWe ir 91,8 MWš </t>
    </r>
    <r>
      <rPr>
        <sz val="10"/>
        <color theme="1"/>
        <rFont val="Calibri"/>
        <family val="2"/>
        <scheme val="minor"/>
      </rPr>
      <t xml:space="preserve">ir šilumos talpyklos – </t>
    </r>
    <r>
      <rPr>
        <b/>
        <sz val="10"/>
        <color theme="1"/>
        <rFont val="Calibri"/>
        <family val="2"/>
        <scheme val="minor"/>
      </rPr>
      <t>1961 MWh</t>
    </r>
    <r>
      <rPr>
        <sz val="10"/>
        <color theme="1"/>
        <rFont val="Calibri"/>
        <family val="2"/>
        <scheme val="minor"/>
      </rPr>
      <t>. Daroma prielaida, kad iki 2024 m. bus investuota iki 20 proc. lėšų, tad tarpinė reikšmė būtų 4,7MWe x0,2=~</t>
    </r>
    <r>
      <rPr>
        <b/>
        <sz val="10"/>
        <color theme="1"/>
        <rFont val="Calibri"/>
        <family val="2"/>
        <scheme val="minor"/>
      </rPr>
      <t>0,9 MWe</t>
    </r>
    <r>
      <rPr>
        <sz val="10"/>
        <color theme="1"/>
        <rFont val="Calibri"/>
        <family val="2"/>
        <scheme val="minor"/>
      </rPr>
      <t>,  91,8 MWšx0,2=~</t>
    </r>
    <r>
      <rPr>
        <b/>
        <sz val="10"/>
        <color theme="1"/>
        <rFont val="Calibri"/>
        <family val="2"/>
        <scheme val="minor"/>
      </rPr>
      <t>18 MWš</t>
    </r>
    <r>
      <rPr>
        <sz val="10"/>
        <color theme="1"/>
        <rFont val="Calibri"/>
        <family val="2"/>
        <scheme val="minor"/>
      </rPr>
      <t xml:space="preserve"> ir 1961x0,2=~392 MWh.                                                                                               </t>
    </r>
    <r>
      <rPr>
        <i/>
        <sz val="10"/>
        <color rgb="FF7030A0"/>
        <rFont val="Calibri"/>
        <family val="2"/>
        <scheme val="minor"/>
      </rPr>
      <t>Įvestas nac. produkto rodiklis energijos saugojimui skaičiuoti, kadangi RCO105 reglamentinis rodiklis, kuris tiktų,  negali būti taikomas kituose uždaviniuose nei 2.3.</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</si>
  <si>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10 percent (3,75 MEUR) funds are invested in solar power plants, 70 percent. (26,25 MEUR) - to solar collectors and 20 percent. - (7,5 MEUR) for energy storage solutions (heat tanks) in the DH network. The price of a 1 kW solar power plant in the market is ~ 800 euros, the price of 1 m2 of solar collectors in the market is ~ 200 euros, the average price of 1 m3 of thermal energy tanks in the market is ~ 200 euros.
With the planned funds, solar power plants would be installed: 3,75 MEUR/800 EUR/kW = 4687,5 kW (~ 4.7 MWe) power plants. For the planned funds 26,25 MEUR/200 euros/m2 = 131250 m2 of solar collectors would be installed , which provide for 91,8 MWt capacity (it is estimated that 1000m2 will generate 0,7 MW capacity of power), then 131250m2 will generate 91,8 MWe. For the planned funds 7,5 MEUR/200 eur/m3 = 37500 m3, i.e. ~ 1961 MWh capacity of heat tanks would be installed. Total RES capacity until 2029: 4,7 MWe and 91,8 MWt and heat storage - 1961 MWh. It is assumed that up to 20%  of funds will be invested by 2024, so Milestone 2024 would be 4,7MWe x0,2 = ~ 0,9 MWe, 91,8 MWtx0,2 = ~ 18 MWt and heat tanks: 1961x0,2 = ~ 392 MWh.  A </t>
    </r>
    <r>
      <rPr>
        <i/>
        <sz val="10"/>
        <color theme="1"/>
        <rFont val="Calibri"/>
        <family val="2"/>
        <charset val="186"/>
        <scheme val="minor"/>
      </rPr>
      <t>national product indicator has been introduced to calculate energy storage, as RCO105 is a regulatory indicator that would be appropriate. It cannot be applied to tasks other than 2.3.</t>
    </r>
  </si>
  <si>
    <r>
      <t xml:space="preserve">According to Lithuanian District Heating Association study, 1 MW of heat pump capacity would produce 600 MWh of energy, so 37,5 MW will generate 22500 MWh of energy. </t>
    </r>
    <r>
      <rPr>
        <u/>
        <sz val="10"/>
        <color theme="1"/>
        <rFont val="Calibri"/>
        <family val="2"/>
        <charset val="186"/>
        <scheme val="minor"/>
      </rPr>
      <t>Baseline:</t>
    </r>
    <r>
      <rPr>
        <sz val="10"/>
        <color theme="1"/>
        <rFont val="Calibri"/>
        <family val="2"/>
        <scheme val="minor"/>
      </rPr>
      <t xml:space="preserve"> 22500x0,1= 2250 tCO2eq/year (where 0,1 tCO2/MWh - pollution factor for heat from DH according to Technical Regulation of Construction, Ministry of Environment). </t>
    </r>
    <r>
      <rPr>
        <u/>
        <sz val="10"/>
        <color theme="1"/>
        <rFont val="Calibri"/>
        <family val="2"/>
        <charset val="186"/>
        <scheme val="minor"/>
      </rPr>
      <t>Target 2029:</t>
    </r>
    <r>
      <rPr>
        <sz val="10"/>
        <color theme="1"/>
        <rFont val="Calibri"/>
        <family val="2"/>
        <scheme val="minor"/>
      </rPr>
      <t xml:space="preserve">  22500x0,04=900 tCO2eq/year (where 0,04 tCO2/MWh-  pollution factor for natural gas).</t>
    </r>
  </si>
  <si>
    <t>Category funds 100 percent invested in heat pumps with a cost of 1 MW ~ 1 MEUR (according to Danish Technology Data). Heat pumps with a total capacity of 37,5 MWt can be installed for 37,5 MEUR (applying an average support intensity of 50 percent, similarly to the applicants in the heat sector in 2014-2020). It is assumed that up to 30 percent of funds will be invested by 2024, so the intermediate value will be 37,5x0,3 = ~ 11 MWt</t>
  </si>
  <si>
    <r>
      <rPr>
        <u/>
        <sz val="10"/>
        <color theme="1"/>
        <rFont val="Calibri"/>
        <family val="2"/>
        <charset val="186"/>
        <scheme val="minor"/>
      </rPr>
      <t xml:space="preserve">Baseline: </t>
    </r>
    <r>
      <rPr>
        <sz val="10"/>
        <color theme="1"/>
        <rFont val="Calibri"/>
        <family val="2"/>
        <scheme val="minor"/>
      </rPr>
      <t xml:space="preserve">1 kW solar power plants produce about 1000 kWh (1 MW - 1000 MWh), so 4,7 MW will produce 4700 MWh of energy polluting 4700MWh x0,42 tCO2/MWh=1974 tCO2 eq./year (where 0,42 - electricity pollution factor). 1 m2 of solar collectors produce 400 kWh, then 131250 m2 would produce 52500MWh polluting  52500MWh x 0,1 = 5250  tCO2eq /year ((where 0,1 - pollution factor for heat from DH). Total CO2 would be 1974+ 5250=7224 tCO2eq./year. </t>
    </r>
    <r>
      <rPr>
        <u/>
        <sz val="10"/>
        <color theme="1"/>
        <rFont val="Calibri"/>
        <family val="2"/>
        <charset val="186"/>
        <scheme val="minor"/>
      </rPr>
      <t>Target 2029:</t>
    </r>
    <r>
      <rPr>
        <sz val="10"/>
        <color theme="1"/>
        <rFont val="Calibri"/>
        <family val="2"/>
        <scheme val="minor"/>
      </rPr>
      <t xml:space="preserve"> since polution factor of solar energy is 0, then target value is 0.</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</si>
  <si>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(15,75 MEUR) will be invested in low-capacity biofuel cogeneration plants; 25 percent (5,625 MEUR) - to high efficiency biofuel boilers; 5 percent (1,125 MEUR) - to heat storage facilities (heat tanks). </t>
    </r>
    <r>
      <rPr>
        <u/>
        <sz val="10"/>
        <color theme="1"/>
        <rFont val="Calibri"/>
        <family val="2"/>
        <charset val="186"/>
        <scheme val="minor"/>
      </rPr>
      <t>Target 2029</t>
    </r>
    <r>
      <rPr>
        <sz val="10"/>
        <color theme="1"/>
        <rFont val="Calibri"/>
        <family val="2"/>
        <scheme val="minor"/>
      </rPr>
      <t xml:space="preserve"> Installation of  small scale CHP (1 MWe + 5 MWt) costs </t>
    </r>
    <r>
      <rPr>
        <sz val="10"/>
        <color theme="1"/>
        <rFont val="Calibri"/>
        <family val="2"/>
        <charset val="186"/>
      </rPr>
      <t>~</t>
    </r>
    <r>
      <rPr>
        <sz val="10"/>
        <color theme="1"/>
        <rFont val="Calibri"/>
        <family val="2"/>
        <scheme val="minor"/>
      </rPr>
      <t xml:space="preserve">5 MEUR (data from 2014-2020 OP projects), so with 15,75 MEUR  we could develop  15,75/5 = 3 MWe and 15 MWt CHP capacity; 1 MW of a high-efficiency biomass boiler costs 0,5 MEUR. For 5,6 MEUR we would install 5,6/0,5=11MWt of high efficiency boilers. By 2029 a total RES capacity  of </t>
    </r>
    <r>
      <rPr>
        <b/>
        <sz val="10"/>
        <color theme="1"/>
        <rFont val="Calibri"/>
        <family val="2"/>
        <charset val="186"/>
        <scheme val="minor"/>
      </rPr>
      <t>3 MWe and 26 MWt</t>
    </r>
    <r>
      <rPr>
        <sz val="10"/>
        <color theme="1"/>
        <rFont val="Calibri"/>
        <family val="2"/>
        <scheme val="minor"/>
      </rPr>
      <t xml:space="preserve"> (15MW + 11MW)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will be ~ </t>
    </r>
    <r>
      <rPr>
        <b/>
        <sz val="10"/>
        <color theme="1"/>
        <rFont val="Calibri"/>
        <family val="2"/>
        <charset val="186"/>
        <scheme val="minor"/>
      </rPr>
      <t>0,6 MWe and 5 MWt</t>
    </r>
    <r>
      <rPr>
        <sz val="10"/>
        <color theme="1"/>
        <rFont val="Calibri"/>
        <family val="2"/>
        <scheme val="minor"/>
      </rPr>
      <t xml:space="preserve"> of RES capacity installed. 
</t>
    </r>
    <r>
      <rPr>
        <u/>
        <sz val="10"/>
        <color theme="1"/>
        <rFont val="Calibri"/>
        <family val="2"/>
        <charset val="186"/>
        <scheme val="minor"/>
      </rPr>
      <t>Target 2029:</t>
    </r>
    <r>
      <rPr>
        <sz val="10"/>
        <color theme="1"/>
        <rFont val="Calibri"/>
        <family val="2"/>
        <scheme val="minor"/>
      </rPr>
      <t xml:space="preserve"> Average market price of 1 m3 heat tanks suitable for DH would cost 200 euros. For 1,125 MEUR we would create 1,125 /0,0002 = 5625 m3, which is about </t>
    </r>
    <r>
      <rPr>
        <b/>
        <sz val="10"/>
        <color theme="1"/>
        <rFont val="Calibri"/>
        <family val="2"/>
        <charset val="186"/>
        <scheme val="minor"/>
      </rPr>
      <t xml:space="preserve">260 MWh </t>
    </r>
    <r>
      <rPr>
        <sz val="10"/>
        <color theme="1"/>
        <rFont val="Calibri"/>
        <family val="2"/>
        <scheme val="minor"/>
      </rPr>
      <t xml:space="preserve">capacity (according to  Lithuanian District Heating Association data, 1 MWh corresponds to about 21,6 m3 of heat tank capacity). It is assumed that by 2024 about 20 % of funds will be invested, so the </t>
    </r>
    <r>
      <rPr>
        <u/>
        <sz val="10"/>
        <color theme="1"/>
        <rFont val="Calibri"/>
        <family val="2"/>
        <charset val="186"/>
        <scheme val="minor"/>
      </rPr>
      <t>Milestone 2024</t>
    </r>
    <r>
      <rPr>
        <sz val="10"/>
        <color theme="1"/>
        <rFont val="Calibri"/>
        <family val="2"/>
        <scheme val="minor"/>
      </rPr>
      <t xml:space="preserve"> is 260x0,2 = </t>
    </r>
    <r>
      <rPr>
        <b/>
        <sz val="10"/>
        <color theme="1"/>
        <rFont val="Calibri"/>
        <family val="2"/>
        <charset val="186"/>
        <scheme val="minor"/>
      </rPr>
      <t>52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</si>
  <si>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r>
      <rPr>
        <u/>
        <sz val="10"/>
        <color theme="1"/>
        <rFont val="Calibri"/>
        <family val="2"/>
        <charset val="186"/>
        <scheme val="minor"/>
      </rPr>
      <t>Baseline:</t>
    </r>
    <r>
      <rPr>
        <sz val="10"/>
        <color theme="1"/>
        <rFont val="Calibri"/>
        <family val="2"/>
        <scheme val="minor"/>
      </rPr>
      <t xml:space="preserve"> CO2 is calculated from CHP and biofuel boilers: 3 MWe x8000 h/year (CHP operation time per year) x 0,42 tCO2/MWh (pollution factor for electricity)=10080 tCO2 eq/ year; 26MWt x 6000 h/year (boiler operation time per year) x 0,1 (pollution factor for heat from DH)=15600 tCO2 eq/year. Total CO2: 10080+ 15600=</t>
    </r>
    <r>
      <rPr>
        <b/>
        <sz val="10"/>
        <color theme="1"/>
        <rFont val="Calibri"/>
        <family val="2"/>
        <charset val="186"/>
        <scheme val="minor"/>
      </rPr>
      <t>25680 tCO2 eq/year.</t>
    </r>
    <r>
      <rPr>
        <sz val="10"/>
        <color theme="1"/>
        <rFont val="Calibri"/>
        <family val="2"/>
        <scheme val="minor"/>
      </rPr>
      <t xml:space="preserve"> </t>
    </r>
    <r>
      <rPr>
        <u/>
        <sz val="10"/>
        <color theme="1"/>
        <rFont val="Calibri"/>
        <family val="2"/>
        <charset val="186"/>
        <scheme val="minor"/>
      </rPr>
      <t>Target 2029:</t>
    </r>
    <r>
      <rPr>
        <sz val="10"/>
        <color theme="1"/>
        <rFont val="Calibri"/>
        <family val="2"/>
        <scheme val="minor"/>
      </rPr>
      <t xml:space="preserve"> </t>
    </r>
    <r>
      <rPr>
        <sz val="10"/>
        <color theme="1"/>
        <rFont val="Calibri"/>
        <family val="2"/>
        <charset val="186"/>
        <scheme val="minor"/>
      </rPr>
      <t>3MWex8000 h/year x 0,04 tCO2/MWh (pollution factor for biofuel) =960 tCO2 eq/year; 26MWšx6000 h/year x 0,04 =6240 tCO2 eq/year. Total CO2 value: 960+ 6240=</t>
    </r>
    <r>
      <rPr>
        <b/>
        <sz val="10"/>
        <color theme="1"/>
        <rFont val="Calibri"/>
        <family val="2"/>
        <charset val="186"/>
        <scheme val="minor"/>
      </rPr>
      <t>7200 tCO2 eq/yea</t>
    </r>
    <r>
      <rPr>
        <sz val="10"/>
        <color theme="1"/>
        <rFont val="Calibri"/>
        <family val="2"/>
        <charset val="186"/>
        <scheme val="minor"/>
      </rPr>
      <t>r.</t>
    </r>
  </si>
  <si>
    <r>
      <t>CO2 skaičiuojamas nuo CHP ir biokuro katilų: 7 MWelx8000 h/metus (CHP veikimo laikas per metus) x 0,42 tCO2/MWh (taršos faktorius elektrai) =</t>
    </r>
    <r>
      <rPr>
        <b/>
        <sz val="10"/>
        <color theme="1"/>
        <rFont val="Calibri"/>
        <family val="2"/>
        <scheme val="minor"/>
      </rPr>
      <t>23520 tCO2 ekv./metus</t>
    </r>
    <r>
      <rPr>
        <sz val="10"/>
        <color theme="1"/>
        <rFont val="Calibri"/>
        <family val="2"/>
        <scheme val="minor"/>
      </rPr>
      <t>; 61MWšx6000 h/metus (katilų veikimo laikas per metus) x 0,1 (faktorius pagal STR šilumai iš CŠT tinklo)=36600</t>
    </r>
    <r>
      <rPr>
        <b/>
        <sz val="10"/>
        <color theme="1"/>
        <rFont val="Calibri"/>
        <family val="2"/>
        <scheme val="minor"/>
      </rPr>
      <t xml:space="preserve"> tCO2 </t>
    </r>
    <r>
      <rPr>
        <sz val="10"/>
        <color theme="1"/>
        <rFont val="Calibri"/>
        <family val="2"/>
        <scheme val="minor"/>
      </rPr>
      <t>ekv./metus. Viso CO2 kiekis: 23520+ 36600=</t>
    </r>
    <r>
      <rPr>
        <b/>
        <sz val="10"/>
        <color theme="1"/>
        <rFont val="Calibri"/>
        <family val="2"/>
        <scheme val="minor"/>
      </rPr>
      <t>60120tCO2 ekv./metus</t>
    </r>
    <r>
      <rPr>
        <sz val="10"/>
        <color theme="1"/>
        <rFont val="Calibri"/>
        <family val="2"/>
        <scheme val="minor"/>
      </rPr>
      <t xml:space="preserve"> Galutinė reikšmė: 7 MWelx8000 h/metus (CHP veikimo laikas per metus) x 0,04 tCO2/MWh (taršos faktorius biokurui) =2240 tCO2 ekv./metus; 61MWšx6000 h/metus (katilų veikimo laikas per metus) x 0,04 (faktorius pagal STR biokurui)=14640 tCO2 ekv./metus. Viso CO2 kiekis: 2240+ 14640=16880 tCO2 ekv./metus</t>
    </r>
  </si>
  <si>
    <r>
      <rPr>
        <u/>
        <sz val="10"/>
        <color theme="1"/>
        <rFont val="Calibri"/>
        <family val="2"/>
        <charset val="186"/>
        <scheme val="minor"/>
      </rPr>
      <t>Baseline</t>
    </r>
    <r>
      <rPr>
        <sz val="10"/>
        <color theme="1"/>
        <rFont val="Calibri"/>
        <family val="2"/>
        <scheme val="minor"/>
      </rPr>
      <t>: CO2 is calculated from CHP and biofuel boilers: 7 MWe x 8000 h/year (CHP operation time per year) x 0,42 tCO2 /MWh (pollution factor for electricity) = 23520 tCO2 eq/ year; 61MWt x 6000h/year (boiler operation time per year) x 0,1 pollution factor for electricity)= 36600 tCO2 eq/year. Total CO2 value: 23520 + 36600 = 60120 tCO2 eq/year.</t>
    </r>
    <r>
      <rPr>
        <u/>
        <sz val="10"/>
        <color theme="1"/>
        <rFont val="Calibri"/>
        <family val="2"/>
        <charset val="186"/>
        <scheme val="minor"/>
      </rPr>
      <t xml:space="preserve">Target 2029: </t>
    </r>
    <r>
      <rPr>
        <sz val="10"/>
        <color theme="1"/>
        <rFont val="Calibri"/>
        <family val="2"/>
        <scheme val="minor"/>
      </rPr>
      <t>7 MWe x 8000 h/year x 0,04 tCO2/MWh (pollution factor for biofuel) =2240 tCO2 eq/year; 61MWt x 6000 h/year x 0,04 tCO2/MWh (pollution factor for biofuel)=14640 tCO2 eq/year. Total CO2: 2240+ 14640=16880 tCO2 eq/year.</t>
    </r>
  </si>
  <si>
    <t>Indicator</t>
  </si>
  <si>
    <t>Region Category</t>
  </si>
  <si>
    <t>Code</t>
  </si>
  <si>
    <t>Name</t>
  </si>
  <si>
    <t>Fund</t>
  </si>
  <si>
    <t>Measurement unit</t>
  </si>
  <si>
    <r>
      <rPr>
        <u/>
        <sz val="10"/>
        <color theme="1"/>
        <rFont val="Calibri"/>
        <family val="2"/>
        <scheme val="minor"/>
      </rPr>
      <t>Target 2029:</t>
    </r>
    <r>
      <rPr>
        <sz val="10"/>
        <color theme="1"/>
        <rFont val="Calibri"/>
        <family val="2"/>
        <scheme val="minor"/>
      </rPr>
      <t xml:space="preserve"> 70 percent funds  (4750046,36x0,7=3325032,45 eur) will be allocated to energy storage.   Installation of 1 kW small scale wind power plant (wind PP)  costs an average about 2000 eur (publicly available information on internet).We assume that administrative costs will be same (4,11 percent, (1045010 eur x 0,7x 0,0411)=~30065 eur) as for solar energy during 2014-2020. Then with 3325032,45-30065=3294967,45 eur  would be possible to install 3294967,4/2000/1000 =~</t>
    </r>
    <r>
      <rPr>
        <b/>
        <sz val="10"/>
        <color theme="1"/>
        <rFont val="Calibri"/>
        <family val="2"/>
        <charset val="186"/>
        <scheme val="minor"/>
      </rPr>
      <t>1,65MW</t>
    </r>
    <r>
      <rPr>
        <sz val="10"/>
        <color theme="1"/>
        <rFont val="Calibri"/>
        <family val="2"/>
        <scheme val="minor"/>
      </rPr>
      <t>e of wind PP.</t>
    </r>
    <r>
      <rPr>
        <u/>
        <sz val="10"/>
        <color theme="1"/>
        <rFont val="Calibri"/>
        <family val="2"/>
        <scheme val="minor"/>
      </rPr>
      <t>Milestone 2024</t>
    </r>
    <r>
      <rPr>
        <sz val="10"/>
        <color theme="1"/>
        <rFont val="Calibri"/>
        <family val="2"/>
        <scheme val="minor"/>
      </rPr>
      <t>: we assume that 30 percent funds will be invested by 2024, then 1,65x0,3=</t>
    </r>
    <r>
      <rPr>
        <b/>
        <sz val="10"/>
        <color theme="1"/>
        <rFont val="Calibri"/>
        <family val="2"/>
        <charset val="186"/>
        <scheme val="minor"/>
      </rPr>
      <t>0,49 MWe</t>
    </r>
    <r>
      <rPr>
        <sz val="10"/>
        <color theme="1"/>
        <rFont val="Calibri"/>
        <family val="2"/>
        <scheme val="minor"/>
      </rPr>
      <t xml:space="preserve"> of wind PP could be installed.</t>
    </r>
  </si>
  <si>
    <t>special output</t>
  </si>
  <si>
    <t>Whole Lithuania</t>
  </si>
  <si>
    <t>CF</t>
  </si>
  <si>
    <t>Supported projects</t>
  </si>
  <si>
    <t>Data source</t>
  </si>
  <si>
    <t>Target 2029</t>
  </si>
  <si>
    <t>Milestone 2024</t>
  </si>
  <si>
    <t>year</t>
  </si>
  <si>
    <t>value</t>
  </si>
  <si>
    <t>Region category</t>
  </si>
  <si>
    <t>Energy storage solutions</t>
  </si>
  <si>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(36,75 MEUR) will be invested in small scale biofuel cogeneration plants; 25 percent (13,125 MEUR) -  high efficiency biofuel boilers; 5 percent (2,625 MEUR) - heat storage facilities (heat tanks). </t>
    </r>
    <r>
      <rPr>
        <u/>
        <sz val="10"/>
        <color theme="1"/>
        <rFont val="Calibri"/>
        <family val="2"/>
        <charset val="186"/>
        <scheme val="minor"/>
      </rPr>
      <t>Target 2029:</t>
    </r>
    <r>
      <rPr>
        <sz val="10"/>
        <color theme="1"/>
        <rFont val="Calibri"/>
        <family val="2"/>
        <scheme val="minor"/>
      </rPr>
      <t xml:space="preserve"> Installation of small scale biomass CHP (1 MWe + 5 MWt ) costs 5 MEUR, so we would create 36,75 MEUR/5 = 7 MWe and 35 MWt CHP capacity for the planned funds; 1 MW of a high-efficiency biomass boiler costs 0,5 MEUR. For 13,125 MEUR we would install 13,125 /0,5 = 26MWt. Until 2029 a total of </t>
    </r>
    <r>
      <rPr>
        <b/>
        <sz val="10"/>
        <color theme="1"/>
        <rFont val="Calibri"/>
        <family val="2"/>
        <charset val="186"/>
        <scheme val="minor"/>
      </rPr>
      <t xml:space="preserve">7 MWe and 61 MWt </t>
    </r>
    <r>
      <rPr>
        <sz val="10"/>
        <color theme="1"/>
        <rFont val="Calibri"/>
        <family val="2"/>
        <scheme val="minor"/>
      </rPr>
      <t xml:space="preserve">(35MWt + 26MWt) RES capacities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 </t>
    </r>
    <r>
      <rPr>
        <b/>
        <sz val="10"/>
        <color theme="1"/>
        <rFont val="Calibri"/>
        <family val="2"/>
        <charset val="186"/>
        <scheme val="minor"/>
      </rPr>
      <t>1,4 MWe</t>
    </r>
    <r>
      <rPr>
        <sz val="10"/>
        <color theme="1"/>
        <rFont val="Calibri"/>
        <family val="2"/>
        <scheme val="minor"/>
      </rPr>
      <t xml:space="preserve"> ( 7x0,2) and </t>
    </r>
    <r>
      <rPr>
        <b/>
        <sz val="10"/>
        <color theme="1"/>
        <rFont val="Calibri"/>
        <family val="2"/>
        <charset val="186"/>
        <scheme val="minor"/>
      </rPr>
      <t xml:space="preserve">12 MWt </t>
    </r>
    <r>
      <rPr>
        <sz val="10"/>
        <color theme="1"/>
        <rFont val="Calibri"/>
        <family val="2"/>
        <scheme val="minor"/>
      </rPr>
      <t xml:space="preserve"> (61x0,2) of additional RES capacity would be installed. 
Average market prices 1 m3 heat tanks suitable for DH would cost 200 euros. For 2,625 MEUR we would create 2,625/0,0002 = 13125 m3, which is about </t>
    </r>
    <r>
      <rPr>
        <b/>
        <sz val="10"/>
        <color theme="1"/>
        <rFont val="Calibri"/>
        <family val="2"/>
        <charset val="186"/>
        <scheme val="minor"/>
      </rPr>
      <t>607 MWh</t>
    </r>
    <r>
      <rPr>
        <sz val="10"/>
        <color theme="1"/>
        <rFont val="Calibri"/>
        <family val="2"/>
        <scheme val="minor"/>
      </rPr>
      <t xml:space="preserve"> capacity (according to Lithuanian District Heating Association data 1 MWh corresponds to about 21,6 m3 of heat tank capacity). It is assumed that by 2024 about 20 % of funds will be invested, so Milestone 2024: 607x0,2 = </t>
    </r>
    <r>
      <rPr>
        <b/>
        <sz val="10"/>
        <color theme="1"/>
        <rFont val="Calibri"/>
        <family val="2"/>
        <charset val="186"/>
        <scheme val="minor"/>
      </rPr>
      <t>121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</si>
  <si>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t>MW thermal</t>
  </si>
  <si>
    <t>tons of CO2 eq/year</t>
  </si>
  <si>
    <t>028 - Renewable energy - wind</t>
  </si>
  <si>
    <t>029 - Renewable energy - solar</t>
  </si>
  <si>
    <t>030 - Renewable energy - biomass</t>
  </si>
  <si>
    <t>032 - Other renewable energy (including geothermal)</t>
  </si>
  <si>
    <t>Action</t>
  </si>
  <si>
    <t xml:space="preserve">Total allocation of action level (indicated)               </t>
  </si>
  <si>
    <t>MW electricity</t>
  </si>
  <si>
    <t>energy storage solutions</t>
  </si>
  <si>
    <t>Baseline</t>
  </si>
  <si>
    <t>Baseline year</t>
  </si>
  <si>
    <t>Indicator's name</t>
  </si>
  <si>
    <t>Indicator's code</t>
  </si>
  <si>
    <t>ERDF</t>
  </si>
  <si>
    <t>Dwellings with improved energy performance</t>
  </si>
  <si>
    <t>dwellings</t>
  </si>
  <si>
    <t>Public buildings with improved energy performance</t>
  </si>
  <si>
    <t>square metres</t>
  </si>
  <si>
    <t>District heating and cooling network lines newly constructed and improved</t>
  </si>
  <si>
    <t>MWh/year</t>
  </si>
  <si>
    <t>Annual primary energy consumption (of which: dwellings, public buildings, enterprises, other)</t>
  </si>
  <si>
    <t>enterprises</t>
  </si>
  <si>
    <t>Enterprises with improved energy performance</t>
  </si>
  <si>
    <t>Estimated greenhouse emissions</t>
  </si>
  <si>
    <t>Additional production capacity for renewable energy (of which: electricity, thermal)</t>
  </si>
  <si>
    <r>
      <t xml:space="preserve"> Kategorijos lėšos 100 proc. investuojamos į šilumos siurblius, kurių 1 MW kaina ~1 MEUR (informacija pateikta LŠTA pagal</t>
    </r>
    <r>
      <rPr>
        <i/>
        <sz val="10"/>
        <color theme="1"/>
        <rFont val="Calibri"/>
        <family val="2"/>
        <scheme val="minor"/>
      </rPr>
      <t xml:space="preserve"> </t>
    </r>
    <r>
      <rPr>
        <sz val="10"/>
        <color theme="1"/>
        <rFont val="Calibri"/>
        <family val="2"/>
        <scheme val="minor"/>
      </rPr>
      <t>leidinį</t>
    </r>
    <r>
      <rPr>
        <i/>
        <sz val="10"/>
        <color theme="1"/>
        <rFont val="Calibri"/>
        <family val="2"/>
        <scheme val="minor"/>
      </rPr>
      <t xml:space="preserve"> Danish Technology Data</t>
    </r>
    <r>
      <rPr>
        <sz val="10"/>
        <color theme="1"/>
        <rFont val="Calibri"/>
        <family val="2"/>
        <scheme val="minor"/>
      </rPr>
      <t xml:space="preserve">). Už 37,5 MEUR </t>
    </r>
    <r>
      <rPr>
        <i/>
        <sz val="10"/>
        <color rgb="FF7030A0"/>
        <rFont val="Calibri"/>
        <family val="2"/>
        <scheme val="minor"/>
      </rPr>
      <t>(taikant vidut. 50 proc. paramos intensyvumą, panašiai kaip 2014-2020 m. perspektyvoje buvo šilumos sektoriaus pareiškėjams</t>
    </r>
    <r>
      <rPr>
        <sz val="10"/>
        <color theme="1"/>
        <rFont val="Calibri"/>
        <family val="2"/>
        <scheme val="minor"/>
      </rPr>
      <t>) galima įrengti šilumos siurblių, kurių suminė galia 37,5 MWš.Daroma prielaida, kad iki 2024 m. bus investuota iki 30 proc. lėšų, tai tarpinė reikšmė bus 37,5x0,3=~11 MWš</t>
    </r>
  </si>
  <si>
    <t>2.2.3. Increase RES usage for heat and cool generation in district heating sector.                                      (75.000.000 eur)</t>
  </si>
  <si>
    <t xml:space="preserve">2.2.2. To promote heat generation from RES in households                        (37.128.568,1 eur) </t>
  </si>
  <si>
    <t>2.2.1. To promote  electricity generation from RES and energy storage solutions in households                                (104.501.024,2 eur)</t>
  </si>
  <si>
    <t>Midle-West Lithuania region</t>
  </si>
  <si>
    <t>System components</t>
  </si>
  <si>
    <t>end users/year</t>
  </si>
  <si>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</si>
  <si>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</si>
  <si>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</si>
  <si>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 xml:space="preserve">2.3.2.                    Improvement of  reliability and resilience of electricity distribution networks (25.000.000 eur)  </t>
  </si>
  <si>
    <t xml:space="preserve">2.3.1. Smart solutions  for  electricity distribution networks to integrate and manage  decentralised RES  generation and energy storage (25.000.000 eur) </t>
  </si>
  <si>
    <t>033 - Smart Energy Systems (including smart grids and ICT systems) and related storage</t>
  </si>
  <si>
    <t>Users connected to smart energy systems</t>
  </si>
  <si>
    <t>Digital management systems for smart energy systems</t>
  </si>
  <si>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</si>
  <si>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 xml:space="preserve">Data source </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</si>
  <si>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</si>
  <si>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</si>
  <si>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t xml:space="preserve">Iki 2029 m. už 32,5 MEUR bus modernizuotos 29 TP, įdiegta 727 TR+ĮR. Vidut. prie vienos 35 kV TP prijungta 1275 vartotojų, prie vienos TR  prijungta apie 19 vartotojų. Viso prijungta (29x1275)+(727x19)=~ 50800 galutinių naudotojų/metus </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</si>
  <si>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</si>
  <si>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</si>
  <si>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</si>
  <si>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</si>
  <si>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</si>
  <si>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t>Category of region</t>
  </si>
  <si>
    <t>M.U.</t>
  </si>
  <si>
    <r>
      <t>co-financing rate (Eur.)</t>
    </r>
    <r>
      <rPr>
        <b/>
        <sz val="10"/>
        <color rgb="FFFF0000"/>
        <rFont val="Calibri"/>
        <family val="2"/>
        <scheme val="minor"/>
      </rPr>
      <t xml:space="preserve"> </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</si>
  <si>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</si>
  <si>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</si>
  <si>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</si>
  <si>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</si>
  <si>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</si>
  <si>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Enterprises </t>
  </si>
  <si>
    <t>units</t>
  </si>
  <si>
    <t>034- High efficiency co-generation, district heating and cooling</t>
  </si>
  <si>
    <t>024b- Energy efficiency and demonstration projects in large enterprises and supporting measures</t>
  </si>
  <si>
    <t xml:space="preserve">024- Energy efficiency and demonstration projects in SMEs and supporting measures </t>
  </si>
  <si>
    <t xml:space="preserve">2.1.3. To improve energy efficiency in enterprises                                               (24930585,7 eur)     </t>
  </si>
  <si>
    <t>2.1.2. To renovate public buildings improving energy efficiency   (62.000.000 eur)</t>
  </si>
  <si>
    <t>025- Energy efficiency renovation of existing housing stock, demonstration projects and supporting measures</t>
  </si>
  <si>
    <t>026- Energy efficiency renovation of public infrastructure, demonstration projects and supporting measures</t>
  </si>
  <si>
    <t>tons of  CO2 eq/year</t>
  </si>
  <si>
    <t>whole Lithuania</t>
  </si>
  <si>
    <t xml:space="preserve">Installed meters with remote data reading for heat, cool, hot water </t>
  </si>
  <si>
    <r>
      <rPr>
        <i/>
        <sz val="10"/>
        <color rgb="FF7030A0"/>
        <rFont val="Calibri"/>
        <family val="2"/>
        <scheme val="minor"/>
      </rPr>
      <t xml:space="preserve">Veiklai rodiklių skaičiavimai atlikti su 22 proc. paramos intensyvumu, siekiant išlaikyti tą pačią pasiteisinusią finansavimo schemą kaip ir 2014-2020 m. perspektyvoje saulės elektrinėms.    </t>
    </r>
    <r>
      <rPr>
        <sz val="10"/>
        <rFont val="Calibri"/>
        <family val="2"/>
        <charset val="186"/>
        <scheme val="minor"/>
      </rPr>
      <t xml:space="preserve"> Darom prielaidą, kad administravimo išlaidos sudarys 4,11 proc. t.y.  tiek pat, kiek 2014-2020 VP  saulės elektrinėms ir jos išeliminuojamos iš rodiklių skaičiavimo.Nuo likusių kategorijai skirtų lėšų 30 proc.   numatoma skirti    energijos, pagamintos vėjo elektrinėse, saugojimui:</t>
    </r>
    <r>
      <rPr>
        <sz val="10"/>
        <rFont val="Calibri"/>
        <family val="2"/>
        <scheme val="minor"/>
      </rPr>
      <t xml:space="preserve"> 4597769,38x0,3=1379330,8 eur. Vidut. kaina kWh saugojimo apie 330 eur (330000 eur/MWh  </t>
    </r>
    <r>
      <rPr>
        <i/>
        <sz val="10"/>
        <rFont val="Calibri"/>
        <family val="2"/>
        <scheme val="minor"/>
      </rPr>
      <t xml:space="preserve">https://www.irena.org/-/media/Files/IRENA/Agency/Publication/2017/Oct/IRENA_Electricity_Storage_Costs_2017_Summary.pdf </t>
    </r>
    <r>
      <rPr>
        <sz val="10"/>
        <rFont val="Calibri"/>
        <family val="2"/>
        <scheme val="minor"/>
      </rPr>
      <t xml:space="preserve">  Už  1379330,8 eur bus galima saugoti 1,3793308 MEUR/0,33eur/MWh=~4</t>
    </r>
    <r>
      <rPr>
        <b/>
        <sz val="10"/>
        <rFont val="Calibri"/>
        <family val="2"/>
        <scheme val="minor"/>
      </rPr>
      <t xml:space="preserve">,2 MWh. </t>
    </r>
    <r>
      <rPr>
        <sz val="10"/>
        <rFont val="Calibri"/>
        <family val="2"/>
        <scheme val="minor"/>
      </rPr>
      <t>Darom prielaidą, kad iki 2024 m.bus investuota 30 proc., tuomet 4,2x0,3</t>
    </r>
    <r>
      <rPr>
        <b/>
        <sz val="10"/>
        <rFont val="Calibri"/>
        <family val="2"/>
        <scheme val="minor"/>
      </rPr>
      <t xml:space="preserve"> =1,26 MWh                                                                                                                                                                  </t>
    </r>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t>
    </r>
  </si>
  <si>
    <r>
      <t>Darom prielaidą, kad administravimo išlaidos sudarys 4,11 proc. t.y.  tiek pat, kiek 2014-2020 VP  saulės elektrinėms ir jos išeliminuojamos iš rodiklių skaičiavimo. Bus investuojama 70 proc. (4.597.769,38x0,7=3218438,6 eur) kategorijai skirtų lėšų vėjo jėgainių įrengimui namų ūkių poreikiams.  Remiantis viešai prieinamomis ataskaitomis apie vėjo elektrinių kainas, nustatyta, kad vidutinė mažų pajėgumų kaina sudaro apie 2000/kW. Už 3218438,6 eur  bus galima  įrengti apie 3218438,6 eur /2000/1000 =~</t>
    </r>
    <r>
      <rPr>
        <b/>
        <sz val="10"/>
        <rFont val="Calibri"/>
        <family val="2"/>
        <scheme val="minor"/>
      </rPr>
      <t>1,6MW</t>
    </r>
    <r>
      <rPr>
        <sz val="10"/>
        <rFont val="Calibri"/>
        <family val="2"/>
        <scheme val="minor"/>
      </rPr>
      <t xml:space="preserve">e. Darant prielaidą, kad iki 2024 metų pab. bus skirta apie 30 proc. lėšų, tad būtų įrengta apie </t>
    </r>
    <r>
      <rPr>
        <b/>
        <sz val="10"/>
        <rFont val="Calibri"/>
        <family val="2"/>
        <scheme val="minor"/>
      </rPr>
      <t>0,48 MWe</t>
    </r>
    <r>
      <rPr>
        <sz val="1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</si>
  <si>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Vadovaujantis laisvai prieinama tech. informacija internete, 10 kW vėjo elektrinė (namų ūkių poreikiams) per metus pagamina 12800 kWh arba 1 MW - 1280 MWh/metus, tad 1,6 MW vėjo pagamins 1,6 MW x 1280 MWh/per metus =~2048 MWh/metus. CO2 bus 2048 x0,42 tCO2/MWh (elektros energijos taršos faktorius)  = </t>
    </r>
    <r>
      <rPr>
        <sz val="10"/>
        <color theme="1"/>
        <rFont val="Calibri"/>
        <family val="2"/>
        <charset val="186"/>
      </rPr>
      <t>~</t>
    </r>
    <r>
      <rPr>
        <sz val="10"/>
        <color theme="1"/>
        <rFont val="Calibri"/>
        <family val="2"/>
        <scheme val="minor"/>
      </rPr>
      <t>860 tCO2ekv./metus. Galutinė reikšmė: 0</t>
    </r>
  </si>
  <si>
    <r>
      <rPr>
        <u/>
        <sz val="10"/>
        <color theme="1"/>
        <rFont val="Calibri"/>
        <family val="2"/>
        <scheme val="minor"/>
      </rPr>
      <t>Baseline:</t>
    </r>
    <r>
      <rPr>
        <sz val="10"/>
        <color theme="1"/>
        <rFont val="Calibri"/>
        <family val="2"/>
        <scheme val="minor"/>
      </rPr>
      <t xml:space="preserve"> 1MW small scale wind power plant generates 1280MWh/year, then 1,6 MW wind PP would generate 1,6 MWx1280 MWh/year. = ~2048 MWh/year.  CO2 will be 2048 x0,42 tCO2/MWh (</t>
    </r>
    <r>
      <rPr>
        <i/>
        <sz val="10"/>
        <color theme="1"/>
        <rFont val="Calibri"/>
        <family val="2"/>
        <scheme val="minor"/>
      </rPr>
      <t>electricity pollution factor according to Technical Regulation of Construction, MInistry of Environment)</t>
    </r>
    <r>
      <rPr>
        <sz val="10"/>
        <color theme="1"/>
        <rFont val="Calibri"/>
        <family val="2"/>
        <scheme val="minor"/>
      </rPr>
      <t xml:space="preserve">  = ~</t>
    </r>
    <r>
      <rPr>
        <b/>
        <sz val="10"/>
        <color theme="1"/>
        <rFont val="Calibri"/>
        <family val="2"/>
        <charset val="186"/>
        <scheme val="minor"/>
      </rPr>
      <t>860 tCO2 eq/year</t>
    </r>
    <r>
      <rPr>
        <sz val="10"/>
        <color theme="1"/>
        <rFont val="Calibri"/>
        <family val="2"/>
        <scheme val="minor"/>
      </rPr>
      <t xml:space="preserve">. </t>
    </r>
    <r>
      <rPr>
        <u/>
        <sz val="10"/>
        <color theme="1"/>
        <rFont val="Calibri"/>
        <family val="2"/>
        <scheme val="minor"/>
      </rPr>
      <t>Target 2029:</t>
    </r>
    <r>
      <rPr>
        <sz val="10"/>
        <color theme="1"/>
        <rFont val="Calibri"/>
        <family val="2"/>
        <scheme val="minor"/>
      </rPr>
      <t xml:space="preserve"> 2048 x 0 tCO2/MWh ( wind energy  pollution factor according to Technical Regulation of Construction, MInistry of Environment)  = 0.</t>
    </r>
  </si>
  <si>
    <r>
      <rPr>
        <i/>
        <sz val="10"/>
        <color theme="1"/>
        <rFont val="Calibri"/>
        <family val="2"/>
        <scheme val="minor"/>
      </rPr>
      <t xml:space="preserve">Calculation of indicators based on the 50 percent of funding intensity to maintain the same financial model as in 2014-2020. </t>
    </r>
    <r>
      <rPr>
        <sz val="10"/>
        <color theme="1"/>
        <rFont val="Calibri"/>
        <family val="2"/>
        <scheme val="minor"/>
      </rPr>
      <t xml:space="preserve">  We assume that administrative costs will be similar as for boilers' replacement projects administration  in 2014-2020 OP and those costs are not included in the calculation of indicators. According to 2014-2020 OP implementation results, an average installed capacity of biomass boiler  for one household  reaches 19 kW with the price of 3000 eur (1kW=150 eur according to flat rate study prepared by ESFA).  Then with the allocated investment 36365576,12/3000=~12122 efficient biomass boilers would be installed whose capacity will be 12122x19 kW/1000=~230 MWt. </t>
    </r>
    <r>
      <rPr>
        <i/>
        <sz val="10"/>
        <color theme="1"/>
        <rFont val="Calibri"/>
        <family val="2"/>
        <scheme val="minor"/>
      </rPr>
      <t>We assume that 30 percent of funds will be invested by 2024, then milestone will be 230x0,3=69 MWt</t>
    </r>
  </si>
  <si>
    <r>
      <t xml:space="preserve"> </t>
    </r>
    <r>
      <rPr>
        <i/>
        <sz val="10"/>
        <color rgb="FF7030A0"/>
        <rFont val="Calibri"/>
        <family val="2"/>
        <scheme val="minor"/>
      </rPr>
      <t xml:space="preserve">Skaičiavimuose taikomas paramos intensyvumas 50 proc., siekiant išlaikyti tokį patį finansavimo modelį kaip ir 2014-2020 m.   </t>
    </r>
    <r>
      <rPr>
        <sz val="10"/>
        <color theme="1"/>
        <rFont val="Calibri"/>
        <family val="2"/>
        <scheme val="minor"/>
      </rPr>
      <t xml:space="preserve">                                                                                                                                                       Pagal 2014–2020 metų VP priemonės „Katilų keitimas namų ūkiuose“ faktinius rezultatus, įrengiamų šilumos siurblių  vidut. galia  9 kW ir kaina apie 6000 EUR (1kW=670 eurų). Tad investavus 36365575,93 EUR, galima būtų įrengti apie 36365575,93/6000=~6061 šilumos siurblių, kurių bendras pajėgumas būtų 6061x9kW/1000=~</t>
    </r>
    <r>
      <rPr>
        <b/>
        <sz val="10"/>
        <color theme="1"/>
        <rFont val="Calibri"/>
        <family val="2"/>
        <scheme val="minor"/>
      </rPr>
      <t>55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16 MWš.</t>
    </r>
  </si>
  <si>
    <r>
      <rPr>
        <i/>
        <sz val="10"/>
        <color theme="1"/>
        <rFont val="Calibri"/>
        <family val="2"/>
        <scheme val="minor"/>
      </rPr>
      <t xml:space="preserve">Calculation of indicators based on the 50 percent of funding intensity to maintain the same financial model as in 2014-2020.  We assume that administrative costs will be  similar as for boilers' replacement projects administration  in 2014-2020 OP and those costs are not included in the calculation of indicators. </t>
    </r>
    <r>
      <rPr>
        <sz val="10"/>
        <color theme="1"/>
        <rFont val="Calibri"/>
        <family val="2"/>
        <scheme val="minor"/>
      </rPr>
      <t xml:space="preserve"> According to 2014-2020 OP implementation results, an average installed capacity of heat pump  for one household  reaches 9 kW with the price of 6000 eur (1kW=670 eur according to flat rate study prepared by ESFA). We assume that administrative costs will be 4,11 percent,Then with the allocated investment 36365575,93 /6000=~6061 heat pumps would be installed whose capacity will be 6061x9 kW/1000=~55 MWt. We assume that 30 percent of funds will be invested by 2024, then milestone will be 55x0,3=16 MWt</t>
    </r>
  </si>
  <si>
    <r>
      <rPr>
        <i/>
        <sz val="10"/>
        <color theme="1"/>
        <rFont val="Calibri"/>
        <family val="2"/>
        <scheme val="minor"/>
      </rPr>
      <t xml:space="preserve"> Calculation of indicators based on 22 percent of  funding intensity to maintain the same funding level as for solar energy during 2014-2020</t>
    </r>
    <r>
      <rPr>
        <sz val="10"/>
        <color theme="1"/>
        <rFont val="Calibri"/>
        <family val="2"/>
        <scheme val="minor"/>
      </rPr>
      <t xml:space="preserve">. We assume that administrative costs will be similar as for solar power plants projects administration  in 2014-2020 OP  (4,11 percent) and those costs are not included in the calculation of indicators (1045010,2-(1045010,2 x0,0411). </t>
    </r>
    <r>
      <rPr>
        <u/>
        <sz val="10"/>
        <color theme="1"/>
        <rFont val="Calibri"/>
        <family val="2"/>
        <scheme val="minor"/>
      </rPr>
      <t>Target 2029</t>
    </r>
    <r>
      <rPr>
        <sz val="10"/>
        <color theme="1"/>
        <rFont val="Calibri"/>
        <family val="2"/>
        <scheme val="minor"/>
      </rPr>
      <t>: 30 percent funds (4597769,38x0,3=1379330,8 eur) will be allocated to energy storage. An average  1 kWh storage capacity cost about 330 eur (1 MWh=330000 eur, https://www.irena.org/-/media/Files/IRENA/Agency/Publication/2017/Oct/IRENA_Electricity_Storage_Costs_2017_Summary.pdf ). Then with 1379330,8 eur  would be possible to store 1,3793308 MEUR/0,33eur/MWh=~</t>
    </r>
    <r>
      <rPr>
        <b/>
        <sz val="10"/>
        <color theme="1"/>
        <rFont val="Calibri"/>
        <family val="2"/>
        <charset val="186"/>
        <scheme val="minor"/>
      </rPr>
      <t>4,2</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t>
    </r>
    <r>
      <rPr>
        <u/>
        <sz val="10"/>
        <color theme="1"/>
        <rFont val="Calibri"/>
        <family val="2"/>
        <scheme val="minor"/>
      </rPr>
      <t>Milestone 2024</t>
    </r>
    <r>
      <rPr>
        <sz val="10"/>
        <color theme="1"/>
        <rFont val="Calibri"/>
        <family val="2"/>
        <scheme val="minor"/>
      </rPr>
      <t>: we assume that 30 percent funds will be invested by 2024, then 4,2x0,3 =</t>
    </r>
    <r>
      <rPr>
        <b/>
        <sz val="10"/>
        <color theme="1"/>
        <rFont val="Calibri"/>
        <family val="2"/>
        <charset val="186"/>
        <scheme val="minor"/>
      </rPr>
      <t>1,26</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could be stored by 2024.</t>
    </r>
    <r>
      <rPr>
        <i/>
        <sz val="10"/>
        <color theme="1"/>
        <rFont val="Calibri"/>
        <family val="2"/>
        <scheme val="minor"/>
      </rPr>
      <t xml:space="preserve"> 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</si>
  <si>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</si>
  <si>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</si>
  <si>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</si>
  <si>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</si>
  <si>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</si>
  <si>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 šiame uždavinyje.                                                                                                                                                                             Veiklai rodiklių skaičiavimai atlikti su 22 proc. paramos intensyvumu, siekiant išlaikyti tą pačią pasiteisinusią finansavimo schemą kaip ir 2014-2020 m. perspektyvoje bei siekiant paskatinti kuo daugiau gaminančių vartotojų.</t>
    </r>
    <r>
      <rPr>
        <i/>
        <sz val="10"/>
        <color rgb="FF00B050"/>
        <rFont val="Calibri"/>
        <family val="2"/>
        <scheme val="minor"/>
      </rPr>
      <t xml:space="preserve"> </t>
    </r>
    <r>
      <rPr>
        <sz val="10"/>
        <rFont val="Calibri"/>
        <family val="2"/>
        <scheme val="minor"/>
      </rPr>
      <t>Energijos, pagamintos saulės elektrinėse, saugojimui nu</t>
    </r>
    <r>
      <rPr>
        <sz val="10"/>
        <color theme="1"/>
        <rFont val="Calibri"/>
        <family val="2"/>
        <scheme val="minor"/>
      </rPr>
      <t xml:space="preserve">matoma skirti 10 proc. (455.179.185,07x0,1 =45.517.918,5 eur)  finansavimo nuo kategorijai skirtų lėšų.   Vidut. kaina kWh saugojimo apie 330 eur (330000 eur/MWh  https://www.irena.org/-/media/Files/IRENA/Agency/Publication/2017/Oct/IRENA_Electricity_Storage_Costs_2017_Summary.pdf  Darome prielaidą, kad administravimo išlaidos saulės energijos saugojimo projektams tokios pat kaip 2014-2020 VP  saulės elektrinių diegimui -  4,11 proc. ir jos išeliminuojamos iš rodiklių skaičiavimo. Už 45.517.918,5 eur  bus galima saugoti 45,5179185 MEUR/0,33 MEUR/MWh=~138 MWh. Darom prielaidą, kad iki 2024 m.bus investuota 30 proc., tuomet galima sukurti talpyklų, saugojančių 138,2x0,3 =~41,5 MWh </t>
    </r>
  </si>
  <si>
    <r>
      <rPr>
        <i/>
        <sz val="10"/>
        <color theme="1"/>
        <rFont val="Calibri"/>
        <family val="2"/>
        <scheme val="minor"/>
      </rPr>
      <t>Calculation of indicators based on 22 percent of  funding intensity to maintain the same funding model as for small scale solar power plants promotion in 2014-2020 OP.</t>
    </r>
    <r>
      <rPr>
        <sz val="10"/>
        <color theme="1"/>
        <rFont val="Calibri"/>
        <family val="2"/>
        <scheme val="minor"/>
      </rPr>
      <t xml:space="preserve"> </t>
    </r>
    <r>
      <rPr>
        <u/>
        <sz val="10"/>
        <color theme="1"/>
        <rFont val="Calibri"/>
        <family val="2"/>
        <scheme val="minor"/>
      </rPr>
      <t>Target 2029: 1</t>
    </r>
    <r>
      <rPr>
        <sz val="10"/>
        <color theme="1"/>
        <rFont val="Calibri"/>
        <family val="2"/>
        <scheme val="minor"/>
      </rPr>
      <t xml:space="preserve">0 percent funds (455.179.185,07x0,1 =45.517.918,5 eur)  will be allocated to storage of energy produced in solar power plants.An average  1 kWh storage capacity costs about 330 eur (1 MWh=330000 eur, https://www.irena.org/-/media/Files/IRENA/Agency/Publication/2017/Oct/IRENA_Electricity_Storage_Costs_2017_Summary.pdf ). </t>
    </r>
    <r>
      <rPr>
        <i/>
        <sz val="10"/>
        <color theme="1"/>
        <rFont val="Calibri"/>
        <family val="2"/>
        <charset val="186"/>
        <scheme val="minor"/>
      </rPr>
      <t xml:space="preserve">We assume that administrative costs will be the same  as in 2014-2020 OP for solar PP projects' administration 4,11 percent and those costs are not included int calculation of indicators. </t>
    </r>
    <r>
      <rPr>
        <sz val="10"/>
        <color theme="1"/>
        <rFont val="Calibri"/>
        <family val="2"/>
        <scheme val="minor"/>
      </rPr>
      <t xml:space="preserve">With 455179185 eur would be possible to store 45,5179185 MEUR/0,33 MEUR/MWh=~138 MWh energy produced by solar PP. </t>
    </r>
    <r>
      <rPr>
        <u/>
        <sz val="10"/>
        <color theme="1"/>
        <rFont val="Calibri"/>
        <family val="2"/>
        <scheme val="minor"/>
      </rPr>
      <t>Milestone 2024:</t>
    </r>
    <r>
      <rPr>
        <sz val="10"/>
        <color theme="1"/>
        <rFont val="Calibri"/>
        <family val="2"/>
        <scheme val="minor"/>
      </rPr>
      <t xml:space="preserve"> we assume that 30 percent funds will be invested by 2024, then  138,2x0,3 =~41,5 MWh  could be stored by 2024. </t>
    </r>
    <r>
      <rPr>
        <i/>
        <sz val="10"/>
        <color theme="1"/>
        <rFont val="Calibri"/>
        <family val="2"/>
        <scheme val="minor"/>
      </rPr>
      <t xml:space="preserve">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</si>
  <si>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rPr>
        <i/>
        <sz val="10"/>
        <color theme="1"/>
        <rFont val="Calibri"/>
        <family val="2"/>
        <scheme val="minor"/>
      </rPr>
      <t>Calculation of indicators based on 22 percent of  funding intensity to maintain the same funding model as in 2014-2020 OP</t>
    </r>
    <r>
      <rPr>
        <sz val="10"/>
        <color theme="1"/>
        <rFont val="Calibri"/>
        <family val="2"/>
        <scheme val="minor"/>
      </rPr>
      <t xml:space="preserve">.We assume that administrative costs will be the same  as in 2014-2020 OP for solar PP projects' administration 4,11 percent and those costs are not included int calculation of indicators. </t>
    </r>
    <r>
      <rPr>
        <u/>
        <sz val="10"/>
        <color theme="1"/>
        <rFont val="Calibri"/>
        <family val="2"/>
        <scheme val="minor"/>
      </rPr>
      <t>Target 2029:</t>
    </r>
    <r>
      <rPr>
        <sz val="10"/>
        <color theme="1"/>
        <rFont val="Calibri"/>
        <family val="2"/>
        <scheme val="minor"/>
      </rPr>
      <t xml:space="preserve"> 90 percent funds(455.179.185,07x0,9 =409.661.266,56 eur) will be allocated to installation of small scale solar power plants (solar PP).  An average  installation of 1 kW solar PP costs 1467,78 eur ( according to fixed rate study under 2014-2020 OP).With 409.661.266,56 eur  would be possible to install  409.661.266,56 eur  /1467,78/1000=~279 MWe of solar PP.</t>
    </r>
    <r>
      <rPr>
        <u/>
        <sz val="10"/>
        <color theme="1"/>
        <rFont val="Calibri"/>
        <family val="2"/>
        <scheme val="minor"/>
      </rPr>
      <t>Milestone 2024</t>
    </r>
    <r>
      <rPr>
        <sz val="10"/>
        <color theme="1"/>
        <rFont val="Calibri"/>
        <family val="2"/>
        <scheme val="minor"/>
      </rPr>
      <t>: we assume that 30 percent funds will be invested by 2024, then  279x0,3=  ~84 MWe. of solar PP could be installed.</t>
    </r>
  </si>
  <si>
    <r>
      <rPr>
        <i/>
        <sz val="10"/>
        <color rgb="FF7030A0"/>
        <rFont val="Calibri"/>
        <family val="2"/>
        <scheme val="minor"/>
      </rPr>
      <t>Skaičiavimuose taikomas paramos intensyvumas 50 proc., siekiant išlaikyti tokį patį finansavimo modelį kaip ir 2014-2020 m.</t>
    </r>
    <r>
      <rPr>
        <sz val="10"/>
        <color theme="1"/>
        <rFont val="Calibri"/>
        <family val="2"/>
        <scheme val="minor"/>
      </rPr>
      <t xml:space="preserve">  </t>
    </r>
    <r>
      <rPr>
        <i/>
        <sz val="10"/>
        <color theme="1"/>
        <rFont val="Calibri"/>
        <family val="2"/>
        <charset val="186"/>
        <scheme val="minor"/>
      </rPr>
      <t xml:space="preserve">Darom prielaidą, kad administravimo išlaidos sudarys 4,11 proc. t.y.  tiek pat, kiek 2014-2020 VP katilų keitimui  ir jos išeliminuojamos iš rodiklių skaičiavimo.  </t>
    </r>
    <r>
      <rPr>
        <sz val="10"/>
        <color theme="1"/>
        <rFont val="Calibri"/>
        <family val="2"/>
        <scheme val="minor"/>
      </rPr>
      <t>Pagal 2014–2020 metų VP priemonės „Katilų keitimas namų ūkiuose“ faktinius rezultatus, statomų biokuro katilų vidut. galia  19 kW ir kaina apie 3000 EUR (1kW=150 eurų, ESFA fiksuotų įkainių studija). Tad investavus 36365576,12 EUR,galima būtų įrengti apie 36365576,12/3000=</t>
    </r>
    <r>
      <rPr>
        <sz val="10"/>
        <color theme="1"/>
        <rFont val="Calibri"/>
        <family val="2"/>
        <charset val="186"/>
      </rPr>
      <t>~</t>
    </r>
    <r>
      <rPr>
        <sz val="10"/>
        <color theme="1"/>
        <rFont val="Calibri"/>
        <family val="2"/>
        <scheme val="minor"/>
      </rPr>
      <t>12122 įrenginių, kurių bendras pajėgumas būtų 12122x19kW/1000=~</t>
    </r>
    <r>
      <rPr>
        <b/>
        <sz val="10"/>
        <color theme="1"/>
        <rFont val="Calibri"/>
        <family val="2"/>
        <scheme val="minor"/>
      </rPr>
      <t>230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69 MWš.</t>
    </r>
  </si>
  <si>
    <r>
      <t xml:space="preserve">
</t>
    </r>
    <r>
      <rPr>
        <i/>
        <sz val="10"/>
        <color rgb="FF7030A0"/>
        <rFont val="Calibri"/>
        <family val="2"/>
        <scheme val="minor"/>
      </rPr>
      <t>Veiklai rodiklių skaičiavimai atlikti su 22 proc. paramos intensyvumu, siekiant išlaikyti tą pačią pasiteisinusią finansavimo schemą kaip ir 2014-2020 m. perspektyvoje bei siekiant paskatinti kuo daugiau gaminančių vartotojų.</t>
    </r>
    <r>
      <rPr>
        <sz val="10"/>
        <color theme="1"/>
        <rFont val="Calibri"/>
        <family val="2"/>
        <scheme val="minor"/>
      </rPr>
      <t xml:space="preserve"> Darom prielaidą, kad administravimo išlaidos sudarys 4,11 proc. t.y.  tiek pat, kiek 2014-2020 VP  saulės elektrinėms ir jos išeliminuojamos iš rodiklių skaičiavimo.Saulės elektrinių namų ūkiams įrengimui/įsigijimui bus skiriama 90 proc. kategorijos lėšų (455.179.185,07x0,9 =409.661.266,56 eur). Už  409.661.266,56 eur  bus galima įdiegti 409.661.266,56/1467,78/1000=~</t>
    </r>
    <r>
      <rPr>
        <b/>
        <sz val="10"/>
        <color theme="1"/>
        <rFont val="Calibri"/>
        <family val="2"/>
        <charset val="186"/>
        <scheme val="minor"/>
      </rPr>
      <t>279 MWe</t>
    </r>
    <r>
      <rPr>
        <sz val="10"/>
        <color theme="1"/>
        <rFont val="Calibri"/>
        <family val="2"/>
        <scheme val="minor"/>
      </rPr>
      <t xml:space="preserve">, kur 1 kW saulės jėgainės įrengimo kaina yra 1467,78 Eur (pagal 2014-2020 m. VP 114,115 priemonių įkainį, nustatytą VšĮ ESFA). Iki 2024 m., darant prielaidą, kad investuota 30 proc. lėšų, gali būti įrengta apie 279x0,3= </t>
    </r>
    <r>
      <rPr>
        <b/>
        <sz val="10"/>
        <color theme="1"/>
        <rFont val="Calibri"/>
        <family val="2"/>
        <charset val="186"/>
      </rPr>
      <t>~</t>
    </r>
    <r>
      <rPr>
        <b/>
        <sz val="10"/>
        <color theme="1"/>
        <rFont val="Calibri"/>
        <family val="2"/>
        <charset val="186"/>
        <scheme val="minor"/>
      </rPr>
      <t>84 MWe</t>
    </r>
    <r>
      <rPr>
        <b/>
        <i/>
        <sz val="10"/>
        <color rgb="FF7030A0"/>
        <rFont val="Calibri"/>
        <family val="2"/>
        <charset val="186"/>
        <scheme val="minor"/>
      </rPr>
      <t>.</t>
    </r>
    <r>
      <rPr>
        <i/>
        <sz val="10"/>
        <color rgb="FF7030A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</si>
  <si>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ESO duomenimis  vidut. 1 MW saulės elektrinės pagamina apie 1000 MWh/metus, tai iki 2029 m. su 279 MW bus pagaminta 279 x1000= 279000 MWh/metus, CO2 bus 279000 MWh/metus x0,42 tCO2/MWh (elektros energijos taršos faktorius)  = 117180 tCO2ekv./metus. </t>
    </r>
  </si>
  <si>
    <r>
      <rPr>
        <u/>
        <sz val="10"/>
        <color theme="1"/>
        <rFont val="Calibri"/>
        <family val="2"/>
        <scheme val="minor"/>
      </rPr>
      <t>Baseline</t>
    </r>
    <r>
      <rPr>
        <sz val="10"/>
        <color theme="1"/>
        <rFont val="Calibri"/>
        <family val="2"/>
        <scheme val="minor"/>
      </rPr>
      <t xml:space="preserve">: 1MW small scale solar PP generates 1000MWh/year, then 279 MW would generate 279000 MWh/year.  279000 MWh/year x0,42 tCO2/MWh (electricity polution factor according to Technical Regulation of Buildings)  = 117180 tCO2ekv./year. </t>
    </r>
    <r>
      <rPr>
        <u/>
        <sz val="10"/>
        <color theme="1"/>
        <rFont val="Calibri"/>
        <family val="2"/>
        <scheme val="minor"/>
      </rPr>
      <t>Target 2029: 279000x0</t>
    </r>
    <r>
      <rPr>
        <sz val="10"/>
        <color theme="1"/>
        <rFont val="Calibri"/>
        <family val="2"/>
        <scheme val="minor"/>
      </rPr>
      <t>=0, because solar energy pollution factor is 0.</t>
    </r>
  </si>
  <si>
    <t xml:space="preserve">2.1.1. To improve energy efficiency in households not connected to DH (83.000.000 eur) </t>
  </si>
  <si>
    <t>CO2 savings</t>
  </si>
  <si>
    <t xml:space="preserve">2.1.4. To improve energy efficiency of district heating, cooling and  hot water supply systems and develop systems    (26913232,1 eur) </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</si>
  <si>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</si>
  <si>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</si>
  <si>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</si>
  <si>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</si>
  <si>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</si>
  <si>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</si>
  <si>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</si>
  <si>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</si>
  <si>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</si>
  <si>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</si>
  <si>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 xml:space="preserve">Pradinė reikšmė: 1133300 MWh/metus x  0,1 tCO2/MWh (taršos koeficientas šilumai iš CŠT)  = 113330  tCO2ekvivalentu/metus ;   Galutinė reikšmė:  1121001 MWh/metus x  0,1 tCO2/MWh  = 112100  tCO2ekvivalentu/metus        </t>
  </si>
  <si>
    <t xml:space="preserve">Action </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</si>
  <si>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</si>
  <si>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</si>
  <si>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</si>
  <si>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</si>
  <si>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034 - High efficiency co-generation, district heating and cooling</t>
  </si>
  <si>
    <t>040 - Energy efficiency renovation of existing housing stock, demonstration projects and supporting measures</t>
  </si>
  <si>
    <t xml:space="preserve">2.1.3.To improve energy efficiency of district heating, cooling and  hot water supply systems and develop systems  (27.000.000 eur) </t>
  </si>
  <si>
    <t>Dwellings</t>
  </si>
  <si>
    <t>MWh/ year</t>
  </si>
  <si>
    <t>044- Energy efficiency renovation or energy efficiency measures regarding public infrastructure, demonstration projects and supporting measures compliant with energy efficiency criteria</t>
  </si>
  <si>
    <t>Ministry of energy</t>
  </si>
  <si>
    <t>EU Amount (EUR)</t>
  </si>
  <si>
    <t xml:space="preserve">Milestone 2024 </t>
  </si>
  <si>
    <t>code</t>
  </si>
  <si>
    <t>name</t>
  </si>
  <si>
    <t>RCO18</t>
  </si>
  <si>
    <t>RCR26</t>
  </si>
  <si>
    <t>Mid-West Region</t>
  </si>
  <si>
    <t>tons of CO2eq/year</t>
  </si>
  <si>
    <t>RCO20</t>
  </si>
  <si>
    <t>Annual primary energy consumption (of which: dwellings, public buildings, enterprises, other) (metinis pirminės energijos suvartojimo kiekis (iš kurio: būstai, viešieji pastatai, įmonės, kita )</t>
  </si>
  <si>
    <t>Annual primary energy consumption (of which: dwellings, public buildings, enterprises, other)(metinis pirminės energijos suvartojimo kiekis (iš kurio: būstai, viešieji pastatai, įmonės, kita)</t>
  </si>
  <si>
    <t>Annual primary energy consumption (of which: dwellings, public buildings, enterprises, other) (metinis pirminės energijos suvartojimo kiekis (iš kurio: būstai, viešieji pastatai, įmonės, kita)</t>
  </si>
  <si>
    <t>Estimated greenhouse gas emissions (numatomas išmetamas šiltnamio efektą sukeliančių dujų kiekis)</t>
  </si>
  <si>
    <t>District heating and cooling network lines newly constructed or improved (naujai pastatyti ar patobulinti centralizuoto šilumos ir vėsumos tiekimo tinklų vamzdynai)</t>
  </si>
  <si>
    <t>Public buildings with improved energy performance (viešieji pastatai, kurių energinis naudingumas pagerintas)</t>
  </si>
  <si>
    <t>MWR</t>
  </si>
  <si>
    <t>Indicator code</t>
  </si>
  <si>
    <t>Indicator name</t>
  </si>
  <si>
    <t>Indicator M.U.</t>
  </si>
  <si>
    <t>Indicator baseline value</t>
  </si>
  <si>
    <t>Indicator baseline year</t>
  </si>
  <si>
    <t>Installed meters with remote data reading for heat, cool, hot water (Įrengti  šilumos, vėsumos, karšto vandens apskaitos prietaisai su nuotolinio duomenų nuskaitymo funkcija)</t>
  </si>
  <si>
    <t>Energy efficiency certificates of funded projects</t>
  </si>
  <si>
    <t xml:space="preserve"> MWh/year</t>
  </si>
  <si>
    <t>tonnes of CO2eq/year</t>
  </si>
  <si>
    <t xml:space="preserve">RCR29 </t>
  </si>
  <si>
    <r>
      <t>Amount (EU+ national)(Eur.)</t>
    </r>
    <r>
      <rPr>
        <i/>
        <sz val="11"/>
        <color rgb="FFFF0000"/>
        <rFont val="Calibri"/>
        <family val="2"/>
        <charset val="186"/>
        <scheme val="minor"/>
      </rPr>
      <t xml:space="preserve">                  </t>
    </r>
    <r>
      <rPr>
        <b/>
        <sz val="11"/>
        <rFont val="Calibri"/>
        <family val="2"/>
        <charset val="186"/>
        <scheme val="minor"/>
      </rPr>
      <t xml:space="preserve"> </t>
    </r>
  </si>
  <si>
    <r>
      <rPr>
        <b/>
        <sz val="11"/>
        <color theme="1"/>
        <rFont val="Calibri"/>
        <family val="2"/>
        <charset val="186"/>
        <scheme val="minor"/>
      </rPr>
      <t>041</t>
    </r>
    <r>
      <rPr>
        <sz val="11"/>
        <color theme="1"/>
        <rFont val="Calibri"/>
        <family val="2"/>
        <charset val="186"/>
        <scheme val="minor"/>
      </rPr>
      <t xml:space="preserve"> - Energy efficiency renovation of existing housing stock, demonstration projects and supporting measures (Siekiant efektyvaus energijos vartojimo vykdoma esamų būstų renovacija, parodomieji projektai ir pagalbinės priemonės)</t>
    </r>
  </si>
  <si>
    <r>
      <rPr>
        <u/>
        <sz val="11"/>
        <rFont val="Calibri"/>
        <family val="2"/>
        <charset val="186"/>
        <scheme val="minor"/>
      </rPr>
      <t>Baseline calculation</t>
    </r>
    <r>
      <rPr>
        <sz val="11"/>
        <rFont val="Calibri"/>
        <family val="2"/>
        <charset val="186"/>
        <scheme val="minor"/>
      </rPr>
      <t xml:space="preserve">: 1133300 MWh/year x  0,1 tCO2/MWh (pollution factor for heat from DH according to Technical Regulation of Construction, Ministry of Environment)= 113330 tCO2/year. </t>
    </r>
    <r>
      <rPr>
        <u/>
        <sz val="11"/>
        <rFont val="Calibri"/>
        <family val="2"/>
        <charset val="186"/>
        <scheme val="minor"/>
      </rPr>
      <t>Target 2029 calculation</t>
    </r>
    <r>
      <rPr>
        <sz val="11"/>
        <rFont val="Calibri"/>
        <family val="2"/>
        <charset val="186"/>
        <scheme val="minor"/>
      </rPr>
      <t xml:space="preserve">:  1121001 MWh/year x  0,1 tCO2/MWh  = </t>
    </r>
    <r>
      <rPr>
        <b/>
        <sz val="11"/>
        <rFont val="Calibri"/>
        <family val="2"/>
        <charset val="186"/>
        <scheme val="minor"/>
      </rPr>
      <t>112100 tCO2/year.</t>
    </r>
  </si>
  <si>
    <t>Ministry of enviroment</t>
  </si>
  <si>
    <t>Row ID</t>
  </si>
  <si>
    <t>Field</t>
  </si>
  <si>
    <t>Indicator metadata</t>
  </si>
  <si>
    <t>P.S.</t>
  </si>
  <si>
    <r>
      <t xml:space="preserve">Installed meters with remote data reading for heat, cool, hot water </t>
    </r>
    <r>
      <rPr>
        <i/>
        <sz val="12"/>
        <rFont val="Calibri"/>
        <family val="2"/>
        <charset val="186"/>
        <scheme val="minor"/>
      </rPr>
      <t>(Įrengti  šilumos, vėsumos, karšto vandens apskaitos prietaisai su nuotolinio duomenų nuskaitymo funkcija)</t>
    </r>
  </si>
  <si>
    <t>Type of indicator</t>
  </si>
  <si>
    <t>output</t>
  </si>
  <si>
    <t>&gt;0</t>
  </si>
  <si>
    <t>Policy objective</t>
  </si>
  <si>
    <t>PO2 Greener Europe</t>
  </si>
  <si>
    <t>Specific objective</t>
  </si>
  <si>
    <t>SO2.1 Energy efficiency</t>
  </si>
  <si>
    <t>Definition and concepts</t>
  </si>
  <si>
    <t>This indicator  specifically measures the number of  meters installed with remote data reading for heat, cool, hot water.</t>
  </si>
  <si>
    <t>Data collection</t>
  </si>
  <si>
    <t>Time measurement achieved</t>
  </si>
  <si>
    <t>Upon completion of output in the supported project</t>
  </si>
  <si>
    <t>Aggregation issues</t>
  </si>
  <si>
    <t>Reporting</t>
  </si>
  <si>
    <t xml:space="preserve">Rule 1: Reporting by specific objective. Forecast for selected projects and achieved values, both cumulative to date  (CPR Annex VII, Table 3).                                                                                                                       </t>
  </si>
  <si>
    <t>References</t>
  </si>
  <si>
    <t>Corresponding corporate indicator</t>
  </si>
  <si>
    <t>Notes</t>
  </si>
  <si>
    <t>Examples</t>
  </si>
  <si>
    <t>RCO01</t>
  </si>
  <si>
    <t>Enterprises supported (of which: micro, small, medium, large)(Paramą gavusios įmonės (iš kurių: labai mažos, mažosios, vidutinės ir didelės)</t>
  </si>
  <si>
    <t>MA monitoring system</t>
  </si>
  <si>
    <t>RCO02</t>
  </si>
  <si>
    <t>Enterprises supported by grants (Paramą dotacijomis gavusios įmonės)</t>
  </si>
  <si>
    <t>Annual primary energy consumtion (of which: dwellings, public buildings, enterprises, other)(metinis pirminės energijos suvartojimo kiekis (iš kurio: būstai, viešieji pastatai, įmonės, kita)</t>
  </si>
  <si>
    <t>t CO2/year</t>
  </si>
  <si>
    <t>Estimated grenhouse gas emissions (numatomas išmetamas šiltnamio efektą sukeliančių dujų kiekis)</t>
  </si>
  <si>
    <t>Ministry of economy and innovation</t>
  </si>
  <si>
    <t>Ministry of energy+Ministry of economy and innovation+Ministry of enviroment</t>
  </si>
  <si>
    <r>
      <rPr>
        <b/>
        <sz val="11"/>
        <rFont val="Calibri"/>
        <family val="2"/>
        <charset val="186"/>
        <scheme val="minor"/>
      </rPr>
      <t>042</t>
    </r>
    <r>
      <rPr>
        <sz val="11"/>
        <rFont val="Calibri"/>
        <family val="2"/>
        <charset val="186"/>
        <scheme val="minor"/>
      </rPr>
      <t xml:space="preserve"> Energy efficiency renovation of existing housing stock, demonstration projects and supporting measures compliant with energy efficiency criteria (Siekiant efektyvaus energijos vartojimo vykdoma esamų būstų renovacija, parodomieji projektai ir pagalbinės priemonės, atitinkančios energijos vartojimo efektyvumo kriterijus)</t>
    </r>
  </si>
  <si>
    <r>
      <rPr>
        <b/>
        <sz val="11"/>
        <color theme="1"/>
        <rFont val="Calibri"/>
        <family val="2"/>
        <charset val="186"/>
        <scheme val="minor"/>
      </rPr>
      <t>055</t>
    </r>
    <r>
      <rPr>
        <sz val="11"/>
        <color theme="1"/>
        <rFont val="Calibri"/>
        <family val="2"/>
        <charset val="186"/>
        <scheme val="minor"/>
      </rPr>
      <t>- High efficiency co generation, efficient district heating and cooling with low lifecycle emissions (Didelio naudingumo kogeneracija, efektyvus centralizuotas šilumos ir vėsumos tiekimas, kai per gyvavimo ciklą išskiriamas mažas teršalų kiekis)</t>
    </r>
  </si>
  <si>
    <r>
      <t xml:space="preserve">055- </t>
    </r>
    <r>
      <rPr>
        <sz val="11"/>
        <color theme="1"/>
        <rFont val="Calibri"/>
        <family val="2"/>
        <charset val="186"/>
        <scheme val="minor"/>
      </rPr>
      <t>High efficiency co generation, efficient district heating and cooling with low lifecycle emissions (Didelio naudingumo kogeneracija, efektyvus centralizuotas šilumos ir vėsumos tiekimas, kai per gyvavimo ciklą išskiriamas mažas teršalų kiekis)</t>
    </r>
  </si>
  <si>
    <t>Dwellings with more efficient heat production capacities (Būstai su efektyvesniais šilumos gamybos įrenginiais)</t>
  </si>
  <si>
    <t>&gt;=0</t>
  </si>
  <si>
    <t>SO 2.i Energy efficiency</t>
  </si>
  <si>
    <t xml:space="preserve">Number of dwellings with more efficient heat production capacities due to the financial support provided. Heat production capacities   -  to be understood as RES capacities (biofuel boilers, heat pumps). Efficient capacities - to be understood as  less energy consumed technology used for heat production due to financial support provided.  
A dwelling is defined as "a room or a suite of rooms in a permanent building or a 
structurally separated part of a building which (...) is designed for habitation of 
one private household all year around." (see ESTAT online in references ). </t>
  </si>
  <si>
    <t>Rule 1: Reporting by specific objective</t>
  </si>
  <si>
    <t>Dwellings with more efficient heat production  capacities (Būstai su efektyvesniais šilumos gamybos įrenginiais)</t>
  </si>
  <si>
    <r>
      <rPr>
        <u/>
        <sz val="11"/>
        <rFont val="Calibri"/>
        <family val="2"/>
        <charset val="186"/>
        <scheme val="minor"/>
      </rPr>
      <t>Baseline calculation</t>
    </r>
    <r>
      <rPr>
        <sz val="11"/>
        <rFont val="Calibri"/>
        <family val="2"/>
        <charset val="186"/>
        <scheme val="minor"/>
      </rPr>
      <t xml:space="preserve">: 1133300 MWh/year x  0,1 tCO2/MWh (pollution factor for heat from DH according to Technical Regulation of Construction, Ministry of Environment)= </t>
    </r>
    <r>
      <rPr>
        <b/>
        <sz val="11"/>
        <rFont val="Calibri"/>
        <family val="2"/>
        <charset val="186"/>
        <scheme val="minor"/>
      </rPr>
      <t>113 330 tCO2/year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1121001 MWh/year x  0,1 tCO2/MWh  = </t>
    </r>
    <r>
      <rPr>
        <b/>
        <sz val="11"/>
        <rFont val="Calibri"/>
        <family val="2"/>
        <charset val="186"/>
        <scheme val="minor"/>
      </rPr>
      <t>112 100 tCO2/year.</t>
    </r>
  </si>
  <si>
    <r>
      <rPr>
        <u/>
        <sz val="11"/>
        <rFont val="Calibri"/>
        <family val="2"/>
        <charset val="186"/>
        <scheme val="minor"/>
      </rPr>
      <t>Baseline calculation</t>
    </r>
    <r>
      <rPr>
        <sz val="11"/>
        <rFont val="Calibri"/>
        <family val="2"/>
        <charset val="186"/>
        <scheme val="minor"/>
      </rPr>
      <t>: According to 2014-2020 OP implementation results, inefficient household consumes an average 5,7 toe of primary energy or 66,28 MWh (5,7x11,628=66,28 MWh, where 1 toe = 11,628 MWh  (conversion factor).  21534 households consume 21534 x66,28=</t>
    </r>
    <r>
      <rPr>
        <b/>
        <sz val="11"/>
        <rFont val="Calibri"/>
        <family val="2"/>
        <charset val="186"/>
        <scheme val="minor"/>
      </rPr>
      <t>1 427 274 MWh/year</t>
    </r>
    <r>
      <rPr>
        <sz val="11"/>
        <rFont val="Calibri"/>
        <family val="2"/>
        <charset val="186"/>
        <scheme val="minor"/>
      </rPr>
      <t xml:space="preserve"> primary energy. </t>
    </r>
    <r>
      <rPr>
        <u/>
        <sz val="11"/>
        <rFont val="Calibri"/>
        <family val="2"/>
        <charset val="186"/>
        <scheme val="minor"/>
      </rPr>
      <t>Target 2029 calculation</t>
    </r>
    <r>
      <rPr>
        <sz val="11"/>
        <rFont val="Calibri"/>
        <family val="2"/>
        <charset val="186"/>
        <scheme val="minor"/>
      </rPr>
      <t>: efficient household consumes an average 1,8 toe of primary energy or 20,9 MWh (1,8x11,628=20,9 MWh). 21534 efficient households consume   21534x20,9=</t>
    </r>
    <r>
      <rPr>
        <b/>
        <sz val="11"/>
        <rFont val="Calibri"/>
        <family val="2"/>
        <charset val="186"/>
        <scheme val="minor"/>
      </rPr>
      <t>450 061 MWh/year.</t>
    </r>
  </si>
  <si>
    <r>
      <rPr>
        <u/>
        <sz val="11"/>
        <rFont val="Calibri"/>
        <family val="2"/>
        <charset val="186"/>
        <scheme val="minor"/>
      </rPr>
      <t>Baseline:</t>
    </r>
    <r>
      <rPr>
        <sz val="11"/>
        <rFont val="Calibri"/>
        <family val="2"/>
        <charset val="186"/>
        <scheme val="minor"/>
      </rPr>
      <t xml:space="preserve"> 1427274  MWh/metus x  0,04 tCO2/MWh  (pollution factor for biofuel according to Technical Regulation of Construction, Ministry of Environment)  =</t>
    </r>
    <r>
      <rPr>
        <b/>
        <sz val="11"/>
        <rFont val="Calibri"/>
        <family val="2"/>
        <charset val="186"/>
        <scheme val="minor"/>
      </rPr>
      <t xml:space="preserve"> 57091 </t>
    </r>
    <r>
      <rPr>
        <sz val="11"/>
        <rFont val="Calibri"/>
        <family val="2"/>
        <charset val="186"/>
        <scheme val="minor"/>
      </rPr>
      <t xml:space="preserve"> </t>
    </r>
    <r>
      <rPr>
        <b/>
        <sz val="11"/>
        <rFont val="Calibri"/>
        <family val="2"/>
        <charset val="186"/>
        <scheme val="minor"/>
      </rPr>
      <t>tCO2 ekv./year</t>
    </r>
    <r>
      <rPr>
        <sz val="11"/>
        <rFont val="Calibri"/>
        <family val="2"/>
        <charset val="186"/>
        <scheme val="minor"/>
      </rPr>
      <t>.</t>
    </r>
    <r>
      <rPr>
        <u/>
        <sz val="11"/>
        <rFont val="Calibri"/>
        <family val="2"/>
        <charset val="186"/>
        <scheme val="minor"/>
      </rPr>
      <t xml:space="preserve"> Target 2029:</t>
    </r>
    <r>
      <rPr>
        <sz val="11"/>
        <rFont val="Calibri"/>
        <family val="2"/>
        <charset val="186"/>
        <scheme val="minor"/>
      </rPr>
      <t xml:space="preserve">  out of 450061 MWh/year  80% of energy will be consumed by heat pumps, 20% - by biofuel boilers. 75% of heat energy produced by heat pumps is being considered as energy produced from RES, therefore pollution factor for this energy share is not applicable. For the rest of energy share - pollution factor will be 0,42 tCO2/MWh.  (450061  MWh/metus * 0,2*0,04 tCO2/MWh)+( 450061 MWh/metus*0,8*0,25* 0,42 tCO2/MWh) = </t>
    </r>
    <r>
      <rPr>
        <b/>
        <sz val="11"/>
        <rFont val="Calibri"/>
        <family val="2"/>
        <charset val="186"/>
        <scheme val="minor"/>
      </rPr>
      <t>41405 tCO2 ekv./year</t>
    </r>
  </si>
  <si>
    <r>
      <rPr>
        <u/>
        <sz val="11"/>
        <rFont val="Calibri"/>
        <family val="2"/>
        <charset val="186"/>
        <scheme val="minor"/>
      </rPr>
      <t>Baseline calculation</t>
    </r>
    <r>
      <rPr>
        <sz val="11"/>
        <rFont val="Calibri"/>
        <family val="2"/>
        <charset val="186"/>
        <scheme val="minor"/>
      </rPr>
      <t>: According to 2014-2020 OP implementation results, inefficient household consumes an average 5,7 toe of primary energy or 66,28 MWh (5,7x11,628=66,28 MWh, where 1 toe = 11,628 MWh  (conversion factor).  21534 households consume 21534 x66,28=</t>
    </r>
    <r>
      <rPr>
        <b/>
        <sz val="11"/>
        <rFont val="Calibri"/>
        <family val="2"/>
        <charset val="186"/>
        <scheme val="minor"/>
      </rPr>
      <t xml:space="preserve">1 427 274 MWh/year </t>
    </r>
    <r>
      <rPr>
        <sz val="11"/>
        <rFont val="Calibri"/>
        <family val="2"/>
        <charset val="186"/>
        <scheme val="minor"/>
      </rPr>
      <t xml:space="preserve">primary energy. </t>
    </r>
    <r>
      <rPr>
        <u/>
        <sz val="11"/>
        <rFont val="Calibri"/>
        <family val="2"/>
        <charset val="186"/>
        <scheme val="minor"/>
      </rPr>
      <t>Target 2029 calculation</t>
    </r>
    <r>
      <rPr>
        <sz val="11"/>
        <rFont val="Calibri"/>
        <family val="2"/>
        <charset val="186"/>
        <scheme val="minor"/>
      </rPr>
      <t>: efficient household consumes an average 1,8 toe of primary energy or 20,9 MWh (1,8x11,628=20,9 MWh). 21534 efficient households consume   21534x20,9=</t>
    </r>
    <r>
      <rPr>
        <b/>
        <sz val="11"/>
        <rFont val="Calibri"/>
        <family val="2"/>
        <charset val="186"/>
        <scheme val="minor"/>
      </rPr>
      <t>450 061 MWh/year.</t>
    </r>
  </si>
  <si>
    <r>
      <rPr>
        <u/>
        <sz val="11"/>
        <rFont val="Calibri"/>
        <family val="2"/>
        <charset val="186"/>
        <scheme val="minor"/>
      </rPr>
      <t>Baseline:</t>
    </r>
    <r>
      <rPr>
        <sz val="11"/>
        <rFont val="Calibri"/>
        <family val="2"/>
        <charset val="186"/>
        <scheme val="minor"/>
      </rPr>
      <t xml:space="preserve"> 1427274  MWh/metus x  0,04 tCO2/MWh  (pollution factor for biofuel according to Technical Regulation of Construction, Ministry of Environment)  =</t>
    </r>
    <r>
      <rPr>
        <b/>
        <sz val="11"/>
        <rFont val="Calibri"/>
        <family val="2"/>
        <charset val="186"/>
        <scheme val="minor"/>
      </rPr>
      <t xml:space="preserve"> 57091 </t>
    </r>
    <r>
      <rPr>
        <sz val="11"/>
        <rFont val="Calibri"/>
        <family val="2"/>
        <charset val="186"/>
        <scheme val="minor"/>
      </rPr>
      <t xml:space="preserve"> </t>
    </r>
    <r>
      <rPr>
        <b/>
        <sz val="11"/>
        <rFont val="Calibri"/>
        <family val="2"/>
        <charset val="186"/>
        <scheme val="minor"/>
      </rPr>
      <t>tCO2 ekv./year</t>
    </r>
    <r>
      <rPr>
        <sz val="11"/>
        <rFont val="Calibri"/>
        <family val="2"/>
        <charset val="186"/>
        <scheme val="minor"/>
      </rPr>
      <t>.</t>
    </r>
    <r>
      <rPr>
        <u/>
        <sz val="11"/>
        <rFont val="Calibri"/>
        <family val="2"/>
        <charset val="186"/>
        <scheme val="minor"/>
      </rPr>
      <t xml:space="preserve"> Target 2029:</t>
    </r>
    <r>
      <rPr>
        <sz val="11"/>
        <rFont val="Calibri"/>
        <family val="2"/>
        <charset val="186"/>
        <scheme val="minor"/>
      </rPr>
      <t xml:space="preserve">  out of 450061 MWh/year  80% of energy will be consumed by heat pumps, 20% - by biofuel boilers. 75% of heat energy produced by heat pumps is being considered as energy produced from RES, therefore pollution factor fror this energy share is not applicable. For the rest of energy share - pollution factor will be 0,42 tCO2/MWh.  (450061  MWh/metus * 0,2*0,04 tCO2/MWh)+( 450061 MWh/metus*0,8*0,25* 0,42 tCO2/MWh) = </t>
    </r>
    <r>
      <rPr>
        <b/>
        <sz val="11"/>
        <rFont val="Calibri"/>
        <family val="2"/>
        <charset val="186"/>
        <scheme val="minor"/>
      </rPr>
      <t>41405 tCO2 ekv./year</t>
    </r>
  </si>
  <si>
    <r>
      <t xml:space="preserve"> 50 percent of  funds (9 642 857,15 EUR) will be invested in the increase of energy efficiency of DH network adapting it to  low-temperature regime; 50 percent of funds (9 642 857,15 EUR) will be invested in the modernization of introductory heat metering devices and hot water meters.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21 km consume 21x400 = 8400  MWh/year;  2)  introductory heat meters and hot water meters: according to  annual review prepared by  Lithuanian District Heating Association on  economic activity of heat supply companies in 2019  an average 350 MWh of thermal energy per year has passed through 1 introductory heat meter without being read remotely. Since with 9642857,15 EUR investments  3214 introductory heat meters and 48214  hot water meters will be installed, threfore about   3214x350=1 124 900 MWh/year  of thermal energy  would pass (consumed by) through  3214 heat meters   without remote reading. Total energy consumption  will be 8400+1 124 900 =</t>
    </r>
    <r>
      <rPr>
        <b/>
        <sz val="11"/>
        <rFont val="Calibri"/>
        <family val="2"/>
        <charset val="186"/>
        <scheme val="minor"/>
      </rPr>
      <t>1 133 300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21 km of DH network would save  50x21= 1050 MWh/year and accordingly use  8400-1050 = 7350 MWh/year; 2) The modernization of heat metering and  hot water meters with remote data reading will save about 1 percent of primary energy consumption, then savings due to meters' modernization would be 1 124 900 MWh/metus x 0,01=11249 MWh/year and energy consumption would  be 1124900-11249=1113651 MWh/metus. Total energy consumption after DH network adaptation and metering modernizations will be 7350+1113651= </t>
    </r>
    <r>
      <rPr>
        <b/>
        <sz val="11"/>
        <rFont val="Calibri"/>
        <family val="2"/>
        <charset val="186"/>
        <scheme val="minor"/>
      </rPr>
      <t>1 121 001 MWh/metus.</t>
    </r>
    <r>
      <rPr>
        <sz val="11"/>
        <rFont val="Calibri"/>
        <family val="2"/>
        <charset val="186"/>
        <scheme val="minor"/>
      </rPr>
      <t xml:space="preserve">
</t>
    </r>
  </si>
  <si>
    <r>
      <t xml:space="preserve">50 percent of  funds (9 642 857,15 EUR) will be invested in the increase of energy efficiency of DH network adapting it to  low-temperature regime; 50 percent of funds (9 642 857,15 EUR) will be invested in the modernization of introductory heat metering devices and hot water meters.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21 km consume 21x400 = 8400  MWh/year;  2)  introductory heat meters and hot water meters: according to  annual review prepared by  Lithuanian District Heating Association on  economic activity of heat supply companies in 2019  an average 350 MWh of thermal energy per year has passed through 1 introductory heat meter without being read remotely. Since with 9642857,15 EUR investments  3214 introductory heat meters and 48214  hot water meters will be installed, threfore about   3214x350=1 124 900 MWh/year  of thermal energy  would pass (consumed by) through  3214 heat meters   without remote reading. Total energy consumption  will be 8400+1 124 900 =</t>
    </r>
    <r>
      <rPr>
        <b/>
        <sz val="11"/>
        <rFont val="Calibri"/>
        <family val="2"/>
        <charset val="186"/>
        <scheme val="minor"/>
      </rPr>
      <t>1 133 300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21 km of DH network would save  50x21= 1050 MWh/year and accordingly use  8400-1050 = 7350 MWh/year; 2) The modernization of heat metering and  hot water meters with remote data reading will save about 1 percent of primary energy consumption, then savings due to meters' modernization would be 1 124 900 MWh/metus x 0,01=11249 MWh/year and energy consumption would  be 1124900-11249=1113651 MWh/metus. Total energy consumption after DH network adaptation and metering modernizations will be 7350+1113651= </t>
    </r>
    <r>
      <rPr>
        <b/>
        <sz val="11"/>
        <rFont val="Calibri"/>
        <family val="2"/>
        <charset val="186"/>
        <scheme val="minor"/>
      </rPr>
      <t>1 121 001 MWh/metus.</t>
    </r>
    <r>
      <rPr>
        <sz val="11"/>
        <rFont val="Calibri"/>
        <family val="2"/>
        <charset val="186"/>
        <scheme val="minor"/>
      </rPr>
      <t xml:space="preserve">
</t>
    </r>
  </si>
  <si>
    <r>
      <t xml:space="preserve">040 </t>
    </r>
    <r>
      <rPr>
        <sz val="11"/>
        <rFont val="Calibri"/>
        <family val="2"/>
        <charset val="186"/>
        <scheme val="minor"/>
      </rPr>
      <t>Energy efficiency and demonstration projects
in SMEs or large enterprises and supporting
measures compliant with energy efficiency
 criteria (MVĮ arba didelių įmonių efektyvus energijos
vartojimas ir jose vykdomi parodomieji projektai,
taip pat pagalbinės priemonės, atitinkančios
energijos vartojimo efektyvumo kriterijus)</t>
    </r>
  </si>
  <si>
    <t>unit</t>
  </si>
  <si>
    <t xml:space="preserve">Total </t>
  </si>
  <si>
    <t>specific output</t>
  </si>
  <si>
    <t>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1.018.325 MWh/year* 0,42 t CO2e/MWh=427.696  t CO2e/year, the final (2029) target for RCR29 is 794.293  MWh/year * 0,42 t CO2e/MWh=333.603 t CO2e/year.</t>
  </si>
  <si>
    <t>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The total amount of the action is calculated according to the experience of 2014-2020 and the intensity level accorindg to the State Aid rules and intensity of Capital region (EU-50%, national-50%) and it is 80.651.332,00 Eur. It is assumed, that while investing  80.651.332,00 Eur, the total amount of the energy that could be saved is calculated as follows   ((80.651.332,00Eur*1kWh)/((0,3+0,6) Eur/2))/1000kWh=179.225,18 MWh. Taking into acount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179.225,18 MWh*100/22=814.660 MWh/year, and the final target 2029 for RCR26 is 814.660-179.225,18=635.435 MWh/year.</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</si>
  <si>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</si>
  <si>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Dwellings with improved energy peformance (Būstai, kurių energinis naudingumas pagerintas )</t>
  </si>
  <si>
    <t>RCO03</t>
  </si>
  <si>
    <t>Enterprises supported by financial instruments (Paramą finansiniais instrumentais gavusios įmonės)</t>
  </si>
  <si>
    <t xml:space="preserve">The milestone 2024 and 2029 target for RCO01 equals the milestone 2024 and 2029 target for RCO03. </t>
  </si>
  <si>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Since the loan is long term therefore FI effect on indicators will be visible after 2029. 50 percent funds (9.642.857,15 EUR) will be invested in the adaptation of DH to work in low temperature regime. According to the ongoing projects in district heating sector, the average costs of 1 m pipeline modernization is 450 EUR. Therefore with 9.642.857,15 EUR/450= ~21 km of DH pipelines could be  modernized/adapted. Since the action is new and it's funding model includes FI blending with subsidy, we assume that action's implementation will start  in 2023. Taking into account that at least 12 months will be needed for the project implementation,  we assume that by 2024,</t>
    </r>
    <r>
      <rPr>
        <strike/>
        <sz val="11"/>
        <rFont val="Calibri"/>
        <family val="2"/>
        <charset val="186"/>
        <scheme val="minor"/>
      </rPr>
      <t xml:space="preserve">  </t>
    </r>
    <r>
      <rPr>
        <sz val="11"/>
        <rFont val="Calibri"/>
        <family val="2"/>
        <charset val="186"/>
        <scheme val="minor"/>
      </rPr>
      <t>10 percent of the funds will be invested, so 21* 0,1= ~ 2 km will be modernized.</t>
    </r>
  </si>
  <si>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50 percent of the planned funds (9642857,15 EUR)) will be invested in the modernization of heat and hot water metering devices and management systems. It is assumed that 50 percent ( 4821428 EUR each) will be used for the modernization of heat metering and 50 percent for the modernization of hot water meters. According to the data of Lithuanian District Heating Association, installation / modernization of 1 introductory heat meter with the whole remote system costs about 1500 euros, installation of hot water meter with the whole remote system costs 100 euros. So until 2029(4821428/1500)+(4821428/100)=</t>
    </r>
    <r>
      <rPr>
        <b/>
        <sz val="11"/>
        <rFont val="Calibri"/>
        <family val="2"/>
        <charset val="186"/>
        <scheme val="minor"/>
      </rPr>
      <t xml:space="preserve">51428 </t>
    </r>
    <r>
      <rPr>
        <sz val="11"/>
        <rFont val="Calibri"/>
        <family val="2"/>
        <charset val="186"/>
        <scheme val="minor"/>
      </rPr>
      <t>units can be installed / modernized in total.  Since the action is new and it's funding model includes FI blending with subsidy, we assume that action's implementation will start  in 2023. Taking into account that at least 12 months will be needed for the project implementation,  It is assumed that by 2024, about 10 percent of the funds will be invested, respectively, about (51428x 0,1)=</t>
    </r>
    <r>
      <rPr>
        <b/>
        <sz val="11"/>
        <rFont val="Calibri"/>
        <family val="2"/>
        <charset val="186"/>
        <scheme val="minor"/>
      </rPr>
      <t xml:space="preserve"> </t>
    </r>
    <r>
      <rPr>
        <b/>
        <sz val="11"/>
        <rFont val="Calibri"/>
        <family val="2"/>
        <charset val="186"/>
      </rPr>
      <t>~</t>
    </r>
    <r>
      <rPr>
        <b/>
        <sz val="11"/>
        <rFont val="Calibri"/>
        <family val="2"/>
        <charset val="186"/>
        <scheme val="minor"/>
      </rPr>
      <t>5143</t>
    </r>
    <r>
      <rPr>
        <sz val="11"/>
        <rFont val="Calibri"/>
        <family val="2"/>
        <charset val="186"/>
        <scheme val="minor"/>
      </rPr>
      <t xml:space="preserve">  units will be installed. </t>
    </r>
    <r>
      <rPr>
        <i/>
        <sz val="11"/>
        <rFont val="Calibri"/>
        <family val="2"/>
        <charset val="186"/>
        <scheme val="minor"/>
      </rPr>
      <t xml:space="preserve">Seeking to calculate number of modernised meters which have remote system special output indicator is proposed for this action. </t>
    </r>
  </si>
  <si>
    <t>Ministry of economy and innovation+Ministry of Energy</t>
  </si>
  <si>
    <t>Ministry of energy+Ministry of economy and innovation</t>
  </si>
  <si>
    <t>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100.814.160,00 Eur. It is assumed, that while investing  100.814.160,00 Eur, the total amount of the energy that could be saved is calculated as follows   ((100.814.160 Eur*1kWh)/((0,3+0,6) Eur/2))/1000kWh=224.031,47 MWh.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224.031,47MWh*100/22=1.018.325 MWh/year, and the final target 2029 for RCR26 is 1.018.325,86-224.031,47=794.293  MWh/year.</t>
  </si>
  <si>
    <t>projects  data</t>
  </si>
  <si>
    <t xml:space="preserve"> projects  data</t>
  </si>
  <si>
    <t>projects</t>
  </si>
  <si>
    <t>It is assumed that all heat and hot water suppliers have to modernise  heat and hot meters.According to information provided by Lithuanian District Heating Association about 10 percent of enterprises already modernised mentioned meters. Therefore, it is assumed that about 40  enterprises  will apply for funding and be supported by financial instruments by 2029. Since implementation of the action will start in 2023 and taking into  account that not all the heat and hot water suppliers will have projects ready to submit in 2023, we assume that about 10 percent of allocation will be invested and accordingly 10 percent of enterprises be supported up to the end of 2024 40*0,1=4.</t>
  </si>
  <si>
    <t>Calculation of indicators based on the 50 percent of funding intensity to maintain the same financial model as in 2014-2020 (EU amount- 41.500.000 Eur +  co-financing rate (Eur.) - 41.500.000 Eur.Total- 83.000.000 Eur).  We assume that administrative costs will be similar 4,11 percent  (83.000.000 Eur. - 4,11 percent= 79.588.700 Eur.)  as in 2014-2020 OP for boilers' replacement projects (04.3.2- LVPA-V-111 measure „Replacement of households' boilers") and those costs are not included in the calculation of indicators. According to 2014-2020 OP implementation results, an average heat production capacity installed per household is 11 kW with the price of 3696 eur (1kW=336 eur). With the allocated investment 21534 households will have more efficient heat production capacities:  79 588 700/3696=~21534.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21534x0,1=2153 households with more efficient heat production capacities.</t>
  </si>
  <si>
    <r>
      <t xml:space="preserve">Calculation of indicators based on the 50 percent of funding intensity to maintain the same financial model as in 2014-2020 (EU amount- 41.500.000 Eur +  co-financing rate (Eur.) - 41.500.000 Eur.Total- 83.000.000 Eur).  We assume that administrative costs will be similar 4,11 percent  (83.000.000 Eur. - 4,11 percent= 79.588.700 Eur.)  as in 2014-2020 OP for boilers' replacement projects (04.3.2- LVPA-V-111 measure „Replacement of households' boilers") and those costs are not included in the calculation of indicators. According to 2014-2020 OP implementation results, an average heat production capacity installed per household is 11 kW with the price of 3696 eur (1kW=336 eur). With the allocated investment 21534 households will have more efficient heat production capacities:  79 588 700/3696=~21534.  </t>
    </r>
    <r>
      <rPr>
        <strike/>
        <sz val="11"/>
        <rFont val="Calibri"/>
        <family val="2"/>
        <charset val="186"/>
        <scheme val="minor"/>
      </rPr>
      <t>.</t>
    </r>
    <r>
      <rPr>
        <sz val="11"/>
        <rFont val="Calibri"/>
        <family val="2"/>
        <charset val="186"/>
        <scheme val="minor"/>
      </rPr>
      <t>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21534x0,1=2153 households with more efficient heat production capacities.</t>
    </r>
  </si>
  <si>
    <r>
      <t>Calculation of indicators based on 70 percent fund intensity with the assumptions that subsidies will reach up to 40 percent, FI (longterm loan) will be up to 60 percent and the rest - private funds (EU amount- 13.500.000 Eur +  co-financing rate (Eur.) - 5.785. 714,29. Total - 19.285.714,29). Sinced the loan is long term therefore FI effect on indicators will be visible after 2029. 50 percent funds (9.642.857,15 EUR) will be invested in the adaptation of DH to work in low temperature regime. According to the ongoing projects in district heating sector, the average costs of 1 m pipeline modernization is 450 EUR. Therefore with 9.642.857,15 EUR/450=</t>
    </r>
    <r>
      <rPr>
        <b/>
        <sz val="11"/>
        <rFont val="Calibri"/>
        <family val="2"/>
        <charset val="186"/>
        <scheme val="minor"/>
      </rPr>
      <t xml:space="preserve"> ~21 km </t>
    </r>
    <r>
      <rPr>
        <sz val="11"/>
        <rFont val="Calibri"/>
        <family val="2"/>
        <charset val="186"/>
        <scheme val="minor"/>
      </rPr>
      <t>of DH pipelines could be  modernized/adapted. 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21*0,1= ~ 2 km will be modernized.</t>
    </r>
  </si>
  <si>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50 percent of the planned funds (9642857,15 EUR)) will be invested in the modernization of heat and hot water metering devices and management systems. It is assumed that 50 percent ( 4821428 EUR each) will be used for the modernization of heat metering and 50 percent for the modernization of hot water meters. According to the data of Lithuanian District Heating Association, installation / modernization of 1 introductory heat meter with the whole remote system costs about 1500 euros, installation of hot water meter with the whole remote system costs 100 euros. So until 2029(4821428/1500)+(4821428/100)=</t>
    </r>
    <r>
      <rPr>
        <b/>
        <sz val="11"/>
        <rFont val="Calibri"/>
        <family val="2"/>
        <charset val="186"/>
        <scheme val="minor"/>
      </rPr>
      <t xml:space="preserve">51428 </t>
    </r>
    <r>
      <rPr>
        <sz val="11"/>
        <rFont val="Calibri"/>
        <family val="2"/>
        <charset val="186"/>
        <scheme val="minor"/>
      </rPr>
      <t>units can be installed / modernized in total.  Since the action is new and it's funding model includes FI blending with subsidy, we assume that action's implementation will start  in 2023. Taking into account that at least 12 months will be needed for the project implementation,  It is assumed that by 2024, about 10 percent of the funds will be invested, respectively, about (51428x0,1)=</t>
    </r>
    <r>
      <rPr>
        <b/>
        <sz val="11"/>
        <rFont val="Calibri"/>
        <family val="2"/>
        <charset val="186"/>
        <scheme val="minor"/>
      </rPr>
      <t xml:space="preserve"> </t>
    </r>
    <r>
      <rPr>
        <b/>
        <sz val="11"/>
        <rFont val="Calibri"/>
        <family val="2"/>
        <charset val="186"/>
      </rPr>
      <t>~</t>
    </r>
    <r>
      <rPr>
        <b/>
        <sz val="11"/>
        <rFont val="Calibri"/>
        <family val="2"/>
        <charset val="186"/>
        <scheme val="minor"/>
      </rPr>
      <t>5143</t>
    </r>
    <r>
      <rPr>
        <sz val="11"/>
        <rFont val="Calibri"/>
        <family val="2"/>
        <charset val="186"/>
        <scheme val="minor"/>
      </rPr>
      <t xml:space="preserve">  units will be installed. </t>
    </r>
    <r>
      <rPr>
        <i/>
        <sz val="11"/>
        <rFont val="Calibri"/>
        <family val="2"/>
        <charset val="186"/>
        <scheme val="minor"/>
      </rPr>
      <t xml:space="preserve">Seeking to calculate number of modernised meters which have remote system special output indicator is proposed for this action. </t>
    </r>
  </si>
  <si>
    <r>
      <t>It is assumed that all heat and hot water suppliers have to modernise  heat and hot meters.According to information provided by Lithuanian District Heating Association about 10 percent of enterprises already modernised mentioned meters. Therefore, it is assumed that about 40  enterprises  would apply for funding and be supported by financial instruments by 2029. Out of them about 2/3 enterprises are located in Mid West Lithuania. Since implementation of the action will start in 2023 and taking into  account that not all the heat and hot water suppliers will have projects ready to submit in 2023, we assume that about 10 percent of allocation will be invested and accordingly 10 percent of enterprises be supported up to the end of 2024: (40 *2/3)*0,1=</t>
    </r>
    <r>
      <rPr>
        <sz val="11"/>
        <rFont val="Calibri"/>
        <family val="2"/>
      </rPr>
      <t>~</t>
    </r>
    <r>
      <rPr>
        <sz val="11"/>
        <rFont val="Calibri"/>
        <family val="2"/>
        <scheme val="minor"/>
      </rPr>
      <t>3 .</t>
    </r>
  </si>
  <si>
    <t>counting removed at the level of the specific objective</t>
  </si>
  <si>
    <t>comments</t>
  </si>
  <si>
    <t>Ministry of energy Unique will be about 50 percent. Ministry of economy and innovation all unique will be</t>
  </si>
  <si>
    <t>projects data</t>
  </si>
  <si>
    <t>Indicators' calculation based on funding model and intensity (approx. 70 percent) applied in 2014-2020 OP (EU amount- 31.000.000 Eur +  co-financing rate (Eur.) - 13.285.714. Total - 44.285.714).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44.285.714 eur could be renovated  44.285.714/ 345 = ~ 128364 m² floor area of public buildings. The intermediate value for 2024 is set to 0, as it is assumed that renovation projects will start in 2023 and will not be completed in 2024 (duration of renovation projects is approx. 2 years).</t>
  </si>
  <si>
    <t>Baseline calculation:  128364 m2  floor area of ineffiecient public buildings consume 28240 MWh/year (128364 m2 x 220kWh/m²/year = 28240 MWh/year, where 220 kWh/m2 - an average annual energy consumption of 1 m2 floor area of  public building  (data provided by Lithuanian Energy Agency) .Target 2029 calculation:  according to 2014-2020 OP implementation after renovation public buildings cosume at least 40 percent less energy, therefore consumption will be 28240 MWh/year x 60 % =16944 MWh/year.</t>
  </si>
  <si>
    <t>Baseline calculation:28240 000 kWh/year x 0,1 kgCO2/kWh (pollution factor for heat from DH according to Technical Regulation of Construction, Ministry of Environment)= 2 824 000kgCO2 ~ 2824 tCO2/year. Target 2029 calculation:  16 944 000 x 0,1 = 1 694 400 kgCO2/year ~1694 tCO2/year</t>
  </si>
  <si>
    <r>
      <rPr>
        <b/>
        <sz val="11"/>
        <rFont val="Calibri"/>
        <family val="2"/>
        <charset val="186"/>
        <scheme val="minor"/>
      </rPr>
      <t xml:space="preserve">045 </t>
    </r>
    <r>
      <rPr>
        <sz val="11"/>
        <rFont val="Calibri"/>
        <family val="2"/>
        <charset val="186"/>
        <scheme val="minor"/>
      </rPr>
      <t>- Energy efficiency renovation or energy efficiency measures regarding public infrastructure, demonstration projects and supporting measures compliant with energy efficiency criteria (Siekiant efektyvaus energijos vartojimo vykdoma viešosios infrastruktūros renovacija arba viešajai infrastruktūrai taikomos energijos vartojimo efektyvumo priemonės, parodomieji projektai ir pagalbinės priemonės, atitinkančios energijos vartojimo efektyvumo kriterijus)</t>
    </r>
  </si>
  <si>
    <r>
      <rPr>
        <b/>
        <sz val="11"/>
        <rFont val="Calibri"/>
        <family val="2"/>
        <charset val="186"/>
        <scheme val="minor"/>
      </rPr>
      <t>045</t>
    </r>
    <r>
      <rPr>
        <sz val="11"/>
        <rFont val="Calibri"/>
        <family val="2"/>
        <charset val="186"/>
        <scheme val="minor"/>
      </rPr>
      <t xml:space="preserve"> - Energy efficiency renovation or energy efficiency measures regarding public infrastructure, demonstration projects and supporting measures compliant with energy efficiency criteria (Siekiant efektyvaus energijos vartojimo vykdoma viešosios infrastruktūros renovacija arba viešajai infrastruktūrai taikomos energijos vartojimo efektyvumo priemonės, parodomieji projektai ir pagalbinės priemonės, atitinkančios energijos vartojimo efektyvumo kriterijus)</t>
    </r>
  </si>
  <si>
    <t>Ministry of Enviroment</t>
  </si>
  <si>
    <t>VVL</t>
  </si>
  <si>
    <t>It is assumed that EU funds will create a risk-sharing fund that will attract 1: 5 private investment.
Renovation of one multi-apartment building requires 450,000 euros of investment, so the program allocation is 90,000 euros (1/5 and 4/5 from private financiers).
The average number of flats / dwellings in one multi-apartment building is 30. Therefore, in order to improve the energy efficiency of one dwelling is needed 3.000 euros (90.000/30) of programme EU allocations.
RCO18 indicator final value totaly in Midle-West region and Whole Lithuania: ((257.645.628 ERDF+72.474.963CF- 7.000.000 CF TA) /3.000 =107.707 dwellings. TA- technical assistance, promotion and supevision of renovation projects.
In the Midle-West LT there are 70 % of multi-apartment buildings to be renovated, in the Capital region - 30%. Multi-apartment buildings in Capital region will be financed from CF.
RCO18 indicator final value for Midle-West region: 107.707*70%=75.395 dwellings
The intermediate value for 2024 is set to 0, as it is assumed that renovation projects will start in 2023 and will not be completed in 2024 (duration of renovation projects is 2-3 years).</t>
  </si>
  <si>
    <t>Taking into account the estimated total anual primary energy consumption (indicated in the energy performance certificates) of the multi-apartament houses, renovated in 2014-2020,  before the renovation one dwelling consumes an average of 15 MWh of primary energy per year, after renovation the goal - 40 percent reduction.
The baseline value is: 1.130.920 MWh / year = 75.395 * 15, the target value of 2029 is: 678.552 MWh / year = 1.130.920 - 40%.</t>
  </si>
  <si>
    <t xml:space="preserve">Taking into account the value of CO2 emission factor of heat from heating networks (Lithuanian average) established in the Construction technical regulation STR 2.01.02: 2016 “Design and certification of energy performance of buildings” - 0.10 kgCO2 / kWh = 0.1 tCO2 / MWh,
the values of the indicator are as follows:
baseline: 113.092 = 1.130.920 * 0.1, in 2029 the target is: 67.855 = 678.552 * 0.1
</t>
  </si>
  <si>
    <t>It is assumed that EU funds will create a risk-sharing fund that will attract 1: 5 private investment.
Renovation of one multi-apartment building requires 450,000 euros of investment, so the program allocation is 90,000 euros (1/5 and 4/5 from private financiers).
The average number of flats / dwellings in one multi-apartment building is 30. Therefore, in order to improve the energy efficiency of one dwelling is needed 3.000 euros (90.000/30) of programme EU allocations.
RCO18 indicator final value totaly in Midle-West region and Whole Lithuania: ((257.645.628 ERDF+72.474.963CF- 7.000.000 CF TA) /3.000 =107.707 dwellings .  TA- technical assistance, promotion and supevision of renovation projects.
In the Midle-West LT there are 70 % of multi-apartment buildings to be renovated, in the Capital region - 30%. Multi-apartment buildings in Capital region will be financed from CF.
RCO18 indicator final value for CF: 107.707*30%=32.312 dwellings
The intermediate value for 2024 is set to 0, as it is assumed that renovation projects will start in 2023 and will not be completed in 2024 (duration of renovation projects is 2-3 years).</t>
  </si>
  <si>
    <t>Taking into account the estimated total anual primary energy consumption (indicated in the energy performance certificates) of the multi-apartament houses, renovated in 2014-2020,  before the renovation one dwelling consumes an average of 15 MWh of primary energy per year, after renovation the goal - 40 percent reduction.
The baseline value  is 484.687 MWh / year = 32.312 * 15, after renovation the target value for 2029 is 290.812 MWh / year = 484.687-40%</t>
  </si>
  <si>
    <t xml:space="preserve">Taking into account the value of CO2 emission factor of heat from heating networks (Lithuanian average) established in the Construction technical regulation STR 2.01.02: 2016 “Design and certification of energy performance of buildings” - 0.10 kgCO2 / kWh = 0.1 tCO2 / MWh,
the values of the indicator are as follows:
basline: 48.469=484.687 * 0.1 , the target for 2029 is 29.081=290.812 * 0.1 </t>
  </si>
  <si>
    <t>dwellings
(Būstai)</t>
  </si>
  <si>
    <t>dwellings
(būstai)</t>
  </si>
  <si>
    <t>fiches are the same as RCO01</t>
  </si>
  <si>
    <t>fiches are the same as RCO03</t>
  </si>
  <si>
    <t>Specific objective – 2.1.  Promoting energy efficiency and reducing greenhouse gas emissions (Skatinti energijos vartojimo efektyvumą ir mažinti išmetamų šiltnamio efektą sukeliančių dujų kiekį)</t>
  </si>
  <si>
    <t>2.1.1. To improve energy efficiency in households not connected to DH (Didinti energijos vartojimo efektyvumą (EVE) namų ūkiuose, neprijungtuose prie centralizuotų šimumos tiekimo tinklų (CŠT))</t>
  </si>
  <si>
    <t>2.1.4. Renovation of multi-apartment buildings and promotion of green renovation (Atnaujinti daugiabučius gyvenamuosius namus, diegiant energijos vartojimo efektyvumo (EVE) ir atsinaujinančių išteklių naudojimo priemones, skatinti „žaliąją“ renovaciją)</t>
  </si>
  <si>
    <t>2.1.2. To renovate public buildings improving energy efficiency (Atnaujinti viešuosius pastatus, didinant juose energijos vartojimo efektyvumą (EVE))</t>
  </si>
  <si>
    <t>2.1.5. Increasing energy efficiency for industrial enterprises (Didinti energijos vartojimo efektyvumą (EVE) pramonės įmonėse)</t>
  </si>
  <si>
    <t xml:space="preserve">2.1.3. To improve energy efficiency of district heating, cooling and  hot water supply systems and develop systems (Didinti centralizuoto šilumos, karšto vandens ir vėsumos tiekimo sistemų energijos vartojimo efektyvumą (EVE) bei plėsti sistemas)                         </t>
  </si>
  <si>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 268 = 78 companies.</t>
  </si>
  <si>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100.814.160,00 Eur (60.488.496,00*100/60).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(100.814.160,00/319.819,18)*0,85=268 enterprises. As regards milestines for 2024, it is assumed thet the progress of the action, according to the forecast made in 2022 March-April (data from planned calls for proposals and payments), would amount to 29% of the final targets set based on the allocation for 2021-2027: 29%*268=78 companies.
</t>
    </r>
  </si>
  <si>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*228= 66 companies.</t>
  </si>
  <si>
    <t>The total amount of the action is calculated according to the experience of 2014-2020 and the intensity level accorindg to the State Aid rules and intensity for Capital region (EU-50%, national-50%) and it is  80.651.332,00 Eur (40.325.666,00*100/50). The 2029 target for RCO02 is based on the assumption of 300.707,21 Eur average project value per enterprise (in terms of 2014-2020 financed projects in Capital Region under the 3 priority measures   "Regio Invest LT+", "Regio potencialas“). Also the result is reduced 15 % because of implementation risk (according to the experience of 2014-2020 value of discontinued projects is 15% of the value of completed projects): (80.651.332,00/300.707,21)*0,85=228 enterprises. As regards milestines for 2024, it is assumed thet the progress of the action, according to the forecast made in 2022 March-April (data from planned calls for proposals and payments), would amount to 29% of the final targets set based on the allocation for 2021-2027: 29%*228=66 companies.</t>
  </si>
  <si>
    <r>
      <t xml:space="preserve">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t>
    </r>
    <r>
      <rPr>
        <strike/>
        <sz val="11"/>
        <rFont val="Calibri"/>
        <family val="2"/>
        <scheme val="minor"/>
      </rPr>
      <t xml:space="preserve"> </t>
    </r>
    <r>
      <rPr>
        <sz val="11"/>
        <rFont val="Calibri"/>
        <family val="2"/>
        <scheme val="minor"/>
      </rPr>
      <t>814.660 MWh/year* 0,42 t CO2e/MWh=342.157 t CO2e/year, the final (2029) target for RCR29 is 635.435 MWh/year * 0,42 t CO2e/MWh=266.883 t CO2e/year.</t>
    </r>
  </si>
  <si>
    <t>Ministry of energy Unique will be about 50 percent.</t>
  </si>
  <si>
    <t>Ministry of economy and innovation all unique will be</t>
  </si>
  <si>
    <r>
      <t xml:space="preserve">Calculation of indicators based on the 50 percent of funding intensity to maintain the same financial model as in 2014-2020 </t>
    </r>
    <r>
      <rPr>
        <b/>
        <sz val="11"/>
        <color theme="1"/>
        <rFont val="Calibri"/>
        <family val="2"/>
        <charset val="186"/>
      </rPr>
      <t>period</t>
    </r>
    <r>
      <rPr>
        <sz val="11"/>
        <color theme="1"/>
        <rFont val="Calibri"/>
        <family val="2"/>
        <charset val="186"/>
      </rPr>
      <t xml:space="preserve"> </t>
    </r>
    <r>
      <rPr>
        <strike/>
        <sz val="11"/>
        <color theme="1"/>
        <rFont val="Calibri"/>
        <family val="2"/>
        <charset val="186"/>
      </rPr>
      <t>(EU amount- 41.500.000 Eur +  co-financing rate (Eur.) - 41.500.000 Eur.Total- 83.000.000 Eur)</t>
    </r>
    <r>
      <rPr>
        <sz val="11"/>
        <color theme="1"/>
        <rFont val="Calibri"/>
        <family val="2"/>
        <charset val="186"/>
      </rPr>
      <t>.  We assume that administrative costs will be similar</t>
    </r>
    <r>
      <rPr>
        <b/>
        <sz val="11"/>
        <rFont val="Calibri"/>
        <family val="2"/>
        <charset val="186"/>
      </rPr>
      <t xml:space="preserve"> 5,11</t>
    </r>
    <r>
      <rPr>
        <sz val="11"/>
        <color theme="1"/>
        <rFont val="Calibri"/>
        <family val="2"/>
        <charset val="186"/>
      </rPr>
      <t xml:space="preserve"> </t>
    </r>
    <r>
      <rPr>
        <strike/>
        <sz val="11"/>
        <color theme="1"/>
        <rFont val="Calibri"/>
        <family val="2"/>
        <charset val="186"/>
      </rPr>
      <t xml:space="preserve">4,11 </t>
    </r>
    <r>
      <rPr>
        <sz val="11"/>
        <color theme="1"/>
        <rFont val="Calibri"/>
        <family val="2"/>
        <charset val="186"/>
      </rPr>
      <t xml:space="preserve"> percent  (</t>
    </r>
    <r>
      <rPr>
        <strike/>
        <sz val="11"/>
        <color theme="1"/>
        <rFont val="Calibri"/>
        <family val="2"/>
        <charset val="186"/>
      </rPr>
      <t>83.000.000</t>
    </r>
    <r>
      <rPr>
        <sz val="11"/>
        <color theme="1"/>
        <rFont val="Calibri"/>
        <family val="2"/>
        <charset val="186"/>
      </rPr>
      <t xml:space="preserve"> </t>
    </r>
    <r>
      <rPr>
        <b/>
        <sz val="11"/>
        <color theme="1"/>
        <rFont val="Calibri"/>
        <family val="2"/>
        <charset val="186"/>
      </rPr>
      <t>41.500.000</t>
    </r>
    <r>
      <rPr>
        <sz val="11"/>
        <color theme="1"/>
        <rFont val="Calibri"/>
        <family val="2"/>
        <charset val="186"/>
      </rPr>
      <t xml:space="preserve"> Eur. - </t>
    </r>
    <r>
      <rPr>
        <strike/>
        <sz val="11"/>
        <color theme="1"/>
        <rFont val="Calibri"/>
        <family val="2"/>
        <charset val="186"/>
      </rPr>
      <t>4,11</t>
    </r>
    <r>
      <rPr>
        <sz val="11"/>
        <color theme="1"/>
        <rFont val="Calibri"/>
        <family val="2"/>
        <charset val="186"/>
      </rPr>
      <t xml:space="preserve"> </t>
    </r>
    <r>
      <rPr>
        <b/>
        <sz val="11"/>
        <color theme="1"/>
        <rFont val="Calibri"/>
        <family val="2"/>
        <charset val="186"/>
      </rPr>
      <t>5,11</t>
    </r>
    <r>
      <rPr>
        <sz val="11"/>
        <color theme="1"/>
        <rFont val="Calibri"/>
        <family val="2"/>
        <charset val="186"/>
      </rPr>
      <t xml:space="preserve"> percent= </t>
    </r>
    <r>
      <rPr>
        <strike/>
        <sz val="11"/>
        <color theme="1"/>
        <rFont val="Calibri"/>
        <family val="2"/>
        <charset val="186"/>
      </rPr>
      <t>79.588.700</t>
    </r>
    <r>
      <rPr>
        <sz val="11"/>
        <color theme="1"/>
        <rFont val="Calibri"/>
        <family val="2"/>
        <charset val="186"/>
      </rPr>
      <t xml:space="preserve"> </t>
    </r>
    <r>
      <rPr>
        <b/>
        <sz val="11"/>
        <color theme="1"/>
        <rFont val="Calibri"/>
        <family val="2"/>
        <charset val="186"/>
      </rPr>
      <t>39.379.350</t>
    </r>
    <r>
      <rPr>
        <sz val="11"/>
        <color theme="1"/>
        <rFont val="Calibri"/>
        <family val="2"/>
        <charset val="186"/>
      </rPr>
      <t xml:space="preserve"> Eur.)  </t>
    </r>
    <r>
      <rPr>
        <strike/>
        <sz val="11"/>
        <color theme="1"/>
        <rFont val="Calibri"/>
        <family val="2"/>
        <charset val="186"/>
      </rPr>
      <t>as in 2014-2020 OP for boilers' replacement projects (04.3.2- LVPA-V-111 measure „Replacement of households' boilers")</t>
    </r>
    <r>
      <rPr>
        <sz val="11"/>
        <color theme="1"/>
        <rFont val="Calibri"/>
        <family val="2"/>
        <charset val="186"/>
      </rPr>
      <t xml:space="preserve"> and those </t>
    </r>
    <r>
      <rPr>
        <b/>
        <sz val="11"/>
        <color theme="1"/>
        <rFont val="Calibri"/>
        <family val="2"/>
        <charset val="186"/>
      </rPr>
      <t>administrative</t>
    </r>
    <r>
      <rPr>
        <sz val="11"/>
        <color theme="1"/>
        <rFont val="Calibri"/>
        <family val="2"/>
        <charset val="186"/>
      </rPr>
      <t xml:space="preserve"> costs </t>
    </r>
    <r>
      <rPr>
        <b/>
        <sz val="11"/>
        <color theme="1"/>
        <rFont val="Calibri"/>
        <family val="2"/>
        <charset val="186"/>
      </rPr>
      <t>(2.120.650 Eur.)</t>
    </r>
    <r>
      <rPr>
        <sz val="11"/>
        <color theme="1"/>
        <rFont val="Calibri"/>
        <family val="2"/>
        <charset val="186"/>
      </rPr>
      <t xml:space="preserve">  are not included in the calculation of indicators. According to 2014-2020 OP implementation results, an average heat production capacity installed per household is 11 kW</t>
    </r>
    <r>
      <rPr>
        <b/>
        <sz val="11"/>
        <color theme="1"/>
        <rFont val="Calibri"/>
        <family val="2"/>
        <charset val="186"/>
      </rPr>
      <t xml:space="preserve">, of which, the European Union's share of investments price consists to </t>
    </r>
    <r>
      <rPr>
        <strike/>
        <sz val="11"/>
        <color theme="1"/>
        <rFont val="Calibri"/>
        <family val="2"/>
        <charset val="186"/>
      </rPr>
      <t>with the price of 3696</t>
    </r>
    <r>
      <rPr>
        <sz val="11"/>
        <color theme="1"/>
        <rFont val="Calibri"/>
        <family val="2"/>
        <charset val="186"/>
      </rPr>
      <t xml:space="preserve"> </t>
    </r>
    <r>
      <rPr>
        <b/>
        <sz val="11"/>
        <color theme="1"/>
        <rFont val="Calibri"/>
        <family val="2"/>
        <charset val="186"/>
      </rPr>
      <t>3841</t>
    </r>
    <r>
      <rPr>
        <sz val="11"/>
        <color theme="1"/>
        <rFont val="Calibri"/>
        <family val="2"/>
        <charset val="186"/>
      </rPr>
      <t xml:space="preserve"> eur (</t>
    </r>
    <r>
      <rPr>
        <b/>
        <sz val="11"/>
        <color theme="1"/>
        <rFont val="Calibri"/>
        <family val="2"/>
        <charset val="186"/>
      </rPr>
      <t>part of the EU per kW 349,2</t>
    </r>
    <r>
      <rPr>
        <sz val="11"/>
        <color theme="1"/>
        <rFont val="Calibri"/>
        <family val="2"/>
        <charset val="186"/>
      </rPr>
      <t xml:space="preserve"> </t>
    </r>
    <r>
      <rPr>
        <strike/>
        <sz val="11"/>
        <color theme="1"/>
        <rFont val="Calibri"/>
        <family val="2"/>
        <charset val="186"/>
      </rPr>
      <t>1kW=336</t>
    </r>
    <r>
      <rPr>
        <sz val="11"/>
        <color theme="1"/>
        <rFont val="Calibri"/>
        <family val="2"/>
        <charset val="186"/>
      </rPr>
      <t xml:space="preserve"> eur). With the allocated investment </t>
    </r>
    <r>
      <rPr>
        <b/>
        <sz val="11"/>
        <color theme="1"/>
        <rFont val="Calibri"/>
        <family val="2"/>
        <charset val="186"/>
      </rPr>
      <t>10252</t>
    </r>
    <r>
      <rPr>
        <sz val="11"/>
        <color theme="1"/>
        <rFont val="Calibri"/>
        <family val="2"/>
        <charset val="186"/>
      </rPr>
      <t xml:space="preserve"> </t>
    </r>
    <r>
      <rPr>
        <strike/>
        <sz val="11"/>
        <color theme="1"/>
        <rFont val="Calibri"/>
        <family val="2"/>
        <charset val="186"/>
      </rPr>
      <t xml:space="preserve">21534 </t>
    </r>
    <r>
      <rPr>
        <sz val="11"/>
        <color theme="1"/>
        <rFont val="Calibri"/>
        <family val="2"/>
        <charset val="186"/>
      </rPr>
      <t xml:space="preserve">households will have more efficient heat production capacities:  </t>
    </r>
    <r>
      <rPr>
        <b/>
        <sz val="11"/>
        <color theme="1"/>
        <rFont val="Calibri"/>
        <family val="2"/>
        <charset val="186"/>
      </rPr>
      <t>39.379.350</t>
    </r>
    <r>
      <rPr>
        <sz val="11"/>
        <color theme="1"/>
        <rFont val="Calibri"/>
        <family val="2"/>
        <charset val="186"/>
      </rPr>
      <t xml:space="preserve"> </t>
    </r>
    <r>
      <rPr>
        <strike/>
        <sz val="11"/>
        <color theme="1"/>
        <rFont val="Calibri"/>
        <family val="2"/>
        <charset val="186"/>
      </rPr>
      <t>79 588 700</t>
    </r>
    <r>
      <rPr>
        <sz val="11"/>
        <color theme="1"/>
        <rFont val="Calibri"/>
        <family val="2"/>
        <charset val="186"/>
      </rPr>
      <t>/</t>
    </r>
    <r>
      <rPr>
        <b/>
        <sz val="11"/>
        <color theme="1"/>
        <rFont val="Calibri"/>
        <family val="2"/>
        <charset val="186"/>
      </rPr>
      <t>3841</t>
    </r>
    <r>
      <rPr>
        <sz val="11"/>
        <color theme="1"/>
        <rFont val="Calibri"/>
        <family val="2"/>
        <charset val="186"/>
      </rPr>
      <t xml:space="preserve"> </t>
    </r>
    <r>
      <rPr>
        <strike/>
        <sz val="11"/>
        <color theme="1"/>
        <rFont val="Calibri"/>
        <family val="2"/>
        <charset val="186"/>
      </rPr>
      <t xml:space="preserve">3696 </t>
    </r>
    <r>
      <rPr>
        <sz val="11"/>
        <color theme="1"/>
        <rFont val="Calibri"/>
        <family val="2"/>
        <charset val="186"/>
      </rPr>
      <t>=~</t>
    </r>
    <r>
      <rPr>
        <b/>
        <sz val="11"/>
        <color theme="1"/>
        <rFont val="Calibri"/>
        <family val="2"/>
        <charset val="186"/>
      </rPr>
      <t>10252</t>
    </r>
    <r>
      <rPr>
        <sz val="11"/>
        <color theme="1"/>
        <rFont val="Calibri"/>
        <family val="2"/>
        <charset val="186"/>
      </rPr>
      <t xml:space="preserve"> </t>
    </r>
    <r>
      <rPr>
        <strike/>
        <sz val="11"/>
        <color theme="1"/>
        <rFont val="Calibri"/>
        <family val="2"/>
        <charset val="186"/>
      </rPr>
      <t>21534</t>
    </r>
    <r>
      <rPr>
        <sz val="11"/>
        <color theme="1"/>
        <rFont val="Calibri"/>
        <family val="2"/>
        <charset val="186"/>
      </rPr>
      <t xml:space="preserve">.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t>
    </r>
    <r>
      <rPr>
        <strike/>
        <sz val="11"/>
        <color theme="1"/>
        <rFont val="Calibri"/>
        <family val="2"/>
        <charset val="186"/>
      </rPr>
      <t>approx.</t>
    </r>
    <r>
      <rPr>
        <sz val="11"/>
        <color theme="1"/>
        <rFont val="Calibri"/>
        <family val="2"/>
        <charset val="186"/>
      </rPr>
      <t xml:space="preserve"> in the </t>
    </r>
    <r>
      <rPr>
        <strike/>
        <sz val="11"/>
        <color theme="1"/>
        <rFont val="Calibri"/>
        <family val="2"/>
        <charset val="186"/>
      </rPr>
      <t>mid of</t>
    </r>
    <r>
      <rPr>
        <sz val="11"/>
        <color theme="1"/>
        <rFont val="Calibri"/>
        <family val="2"/>
        <charset val="186"/>
      </rPr>
      <t xml:space="preserve"> 2023. Therefore we assume that about 10 percent of funds will be invested by 2024, then milestone will be </t>
    </r>
    <r>
      <rPr>
        <b/>
        <sz val="11"/>
        <color theme="1"/>
        <rFont val="Calibri"/>
        <family val="2"/>
        <charset val="186"/>
      </rPr>
      <t>10252</t>
    </r>
    <r>
      <rPr>
        <sz val="11"/>
        <color theme="1"/>
        <rFont val="Calibri"/>
        <family val="2"/>
        <charset val="186"/>
      </rPr>
      <t xml:space="preserve"> </t>
    </r>
    <r>
      <rPr>
        <strike/>
        <sz val="11"/>
        <color theme="1"/>
        <rFont val="Calibri"/>
        <family val="2"/>
        <charset val="186"/>
      </rPr>
      <t>21534</t>
    </r>
    <r>
      <rPr>
        <sz val="11"/>
        <color theme="1"/>
        <rFont val="Calibri"/>
        <family val="2"/>
        <charset val="186"/>
      </rPr>
      <t>x0,1=</t>
    </r>
    <r>
      <rPr>
        <strike/>
        <sz val="11"/>
        <color theme="1"/>
        <rFont val="Calibri"/>
        <family val="2"/>
        <charset val="186"/>
      </rPr>
      <t>2153</t>
    </r>
    <r>
      <rPr>
        <sz val="11"/>
        <color theme="1"/>
        <rFont val="Calibri"/>
        <family val="2"/>
        <charset val="186"/>
      </rPr>
      <t xml:space="preserve">  </t>
    </r>
    <r>
      <rPr>
        <b/>
        <sz val="11"/>
        <color theme="1"/>
        <rFont val="Calibri"/>
        <family val="2"/>
        <charset val="186"/>
      </rPr>
      <t>1025</t>
    </r>
    <r>
      <rPr>
        <sz val="11"/>
        <color theme="1"/>
        <rFont val="Calibri"/>
        <family val="2"/>
        <charset val="186"/>
      </rPr>
      <t xml:space="preserve"> households with more efficient heat production capacities </t>
    </r>
    <r>
      <rPr>
        <b/>
        <sz val="11"/>
        <color theme="1"/>
        <rFont val="Calibri"/>
        <family val="2"/>
        <charset val="186"/>
      </rPr>
      <t>(mostly with heat pumps)</t>
    </r>
    <r>
      <rPr>
        <sz val="11"/>
        <color theme="1"/>
        <rFont val="Calibri"/>
        <family val="2"/>
        <charset val="186"/>
      </rPr>
      <t>.</t>
    </r>
  </si>
  <si>
    <r>
      <t xml:space="preserve">Calculation of indicators based on the 50 percent of funding intensity to maintain the same financial model as in 2014-2020 </t>
    </r>
    <r>
      <rPr>
        <b/>
        <sz val="11"/>
        <rFont val="Calibri"/>
        <family val="2"/>
        <charset val="186"/>
      </rPr>
      <t>period</t>
    </r>
    <r>
      <rPr>
        <sz val="11"/>
        <rFont val="Calibri"/>
        <family val="2"/>
        <charset val="186"/>
      </rPr>
      <t xml:space="preserve"> </t>
    </r>
    <r>
      <rPr>
        <strike/>
        <sz val="11"/>
        <rFont val="Calibri"/>
        <family val="2"/>
        <charset val="186"/>
      </rPr>
      <t>(EU amount- 41.500.000 Eur +  co-financing rate (Eur.) - 41.500.000 Eur.Total- 83.000.000 Eur)</t>
    </r>
    <r>
      <rPr>
        <sz val="11"/>
        <rFont val="Calibri"/>
        <family val="2"/>
        <charset val="186"/>
      </rPr>
      <t>.  We assume that administrative costs will be similar</t>
    </r>
    <r>
      <rPr>
        <b/>
        <sz val="11"/>
        <rFont val="Calibri"/>
        <family val="2"/>
        <charset val="186"/>
      </rPr>
      <t xml:space="preserve"> 5,11</t>
    </r>
    <r>
      <rPr>
        <sz val="11"/>
        <rFont val="Calibri"/>
        <family val="2"/>
        <charset val="186"/>
      </rPr>
      <t xml:space="preserve"> </t>
    </r>
    <r>
      <rPr>
        <strike/>
        <sz val="11"/>
        <rFont val="Calibri"/>
        <family val="2"/>
        <charset val="186"/>
      </rPr>
      <t xml:space="preserve">4,11 </t>
    </r>
    <r>
      <rPr>
        <sz val="11"/>
        <rFont val="Calibri"/>
        <family val="2"/>
        <charset val="186"/>
      </rPr>
      <t xml:space="preserve"> percent  (</t>
    </r>
    <r>
      <rPr>
        <strike/>
        <sz val="11"/>
        <rFont val="Calibri"/>
        <family val="2"/>
        <charset val="186"/>
      </rPr>
      <t>83.000.000</t>
    </r>
    <r>
      <rPr>
        <sz val="11"/>
        <rFont val="Calibri"/>
        <family val="2"/>
        <charset val="186"/>
      </rPr>
      <t xml:space="preserve"> </t>
    </r>
    <r>
      <rPr>
        <b/>
        <sz val="11"/>
        <rFont val="Calibri"/>
        <family val="2"/>
        <charset val="186"/>
      </rPr>
      <t>41.500.000</t>
    </r>
    <r>
      <rPr>
        <sz val="11"/>
        <rFont val="Calibri"/>
        <family val="2"/>
        <charset val="186"/>
      </rPr>
      <t xml:space="preserve"> Eur. - </t>
    </r>
    <r>
      <rPr>
        <strike/>
        <sz val="11"/>
        <rFont val="Calibri"/>
        <family val="2"/>
        <charset val="186"/>
      </rPr>
      <t>4,11</t>
    </r>
    <r>
      <rPr>
        <sz val="11"/>
        <rFont val="Calibri"/>
        <family val="2"/>
        <charset val="186"/>
      </rPr>
      <t xml:space="preserve"> </t>
    </r>
    <r>
      <rPr>
        <b/>
        <sz val="11"/>
        <rFont val="Calibri"/>
        <family val="2"/>
        <charset val="186"/>
      </rPr>
      <t>5,11</t>
    </r>
    <r>
      <rPr>
        <sz val="11"/>
        <rFont val="Calibri"/>
        <family val="2"/>
        <charset val="186"/>
      </rPr>
      <t xml:space="preserve"> percent= </t>
    </r>
    <r>
      <rPr>
        <strike/>
        <sz val="11"/>
        <rFont val="Calibri"/>
        <family val="2"/>
        <charset val="186"/>
      </rPr>
      <t>79.588.700</t>
    </r>
    <r>
      <rPr>
        <sz val="11"/>
        <rFont val="Calibri"/>
        <family val="2"/>
        <charset val="186"/>
      </rPr>
      <t xml:space="preserve"> </t>
    </r>
    <r>
      <rPr>
        <b/>
        <sz val="11"/>
        <rFont val="Calibri"/>
        <family val="2"/>
        <charset val="186"/>
      </rPr>
      <t>39.379.350</t>
    </r>
    <r>
      <rPr>
        <sz val="11"/>
        <rFont val="Calibri"/>
        <family val="2"/>
        <charset val="186"/>
      </rPr>
      <t xml:space="preserve"> Eur.)  </t>
    </r>
    <r>
      <rPr>
        <strike/>
        <sz val="11"/>
        <rFont val="Calibri"/>
        <family val="2"/>
        <charset val="186"/>
      </rPr>
      <t>as in 2014-2020 OP for boilers' replacement projects (04.3.2- LVPA-V-111 measure „Replacement of households' boilers")</t>
    </r>
    <r>
      <rPr>
        <sz val="11"/>
        <rFont val="Calibri"/>
        <family val="2"/>
        <charset val="186"/>
      </rPr>
      <t xml:space="preserve"> and those </t>
    </r>
    <r>
      <rPr>
        <b/>
        <sz val="11"/>
        <rFont val="Calibri"/>
        <family val="2"/>
        <charset val="186"/>
      </rPr>
      <t>administrative</t>
    </r>
    <r>
      <rPr>
        <sz val="11"/>
        <rFont val="Calibri"/>
        <family val="2"/>
        <charset val="186"/>
      </rPr>
      <t xml:space="preserve"> costs </t>
    </r>
    <r>
      <rPr>
        <b/>
        <sz val="11"/>
        <rFont val="Calibri"/>
        <family val="2"/>
        <charset val="186"/>
      </rPr>
      <t>(2.120.650 Eur.)</t>
    </r>
    <r>
      <rPr>
        <sz val="11"/>
        <rFont val="Calibri"/>
        <family val="2"/>
        <charset val="186"/>
      </rPr>
      <t xml:space="preserve">  are not included in the calculation of indicators. According to 2014-2020 OP implementation results, an average heat production capacity installed per household is 11 kW</t>
    </r>
    <r>
      <rPr>
        <b/>
        <sz val="11"/>
        <rFont val="Calibri"/>
        <family val="2"/>
        <charset val="186"/>
      </rPr>
      <t xml:space="preserve">, of which, the European Union's share of investments price consists to </t>
    </r>
    <r>
      <rPr>
        <strike/>
        <sz val="11"/>
        <rFont val="Calibri"/>
        <family val="2"/>
        <charset val="186"/>
      </rPr>
      <t>with the price of 3696</t>
    </r>
    <r>
      <rPr>
        <sz val="11"/>
        <rFont val="Calibri"/>
        <family val="2"/>
        <charset val="186"/>
      </rPr>
      <t xml:space="preserve"> </t>
    </r>
    <r>
      <rPr>
        <b/>
        <sz val="11"/>
        <rFont val="Calibri"/>
        <family val="2"/>
        <charset val="186"/>
      </rPr>
      <t>3841</t>
    </r>
    <r>
      <rPr>
        <sz val="11"/>
        <rFont val="Calibri"/>
        <family val="2"/>
        <charset val="186"/>
      </rPr>
      <t xml:space="preserve"> eur (</t>
    </r>
    <r>
      <rPr>
        <b/>
        <sz val="11"/>
        <rFont val="Calibri"/>
        <family val="2"/>
        <charset val="186"/>
      </rPr>
      <t>part of the EU per kW 349,2</t>
    </r>
    <r>
      <rPr>
        <sz val="11"/>
        <rFont val="Calibri"/>
        <family val="2"/>
        <charset val="186"/>
      </rPr>
      <t xml:space="preserve"> </t>
    </r>
    <r>
      <rPr>
        <strike/>
        <sz val="11"/>
        <rFont val="Calibri"/>
        <family val="2"/>
        <charset val="186"/>
      </rPr>
      <t>1kW=336</t>
    </r>
    <r>
      <rPr>
        <sz val="11"/>
        <rFont val="Calibri"/>
        <family val="2"/>
        <charset val="186"/>
      </rPr>
      <t xml:space="preserve"> eur). With the allocated investment </t>
    </r>
    <r>
      <rPr>
        <b/>
        <sz val="11"/>
        <rFont val="Calibri"/>
        <family val="2"/>
        <charset val="186"/>
      </rPr>
      <t>10252</t>
    </r>
    <r>
      <rPr>
        <sz val="11"/>
        <rFont val="Calibri"/>
        <family val="2"/>
        <charset val="186"/>
      </rPr>
      <t xml:space="preserve"> </t>
    </r>
    <r>
      <rPr>
        <strike/>
        <sz val="11"/>
        <rFont val="Calibri"/>
        <family val="2"/>
        <charset val="186"/>
      </rPr>
      <t xml:space="preserve">21534 </t>
    </r>
    <r>
      <rPr>
        <sz val="11"/>
        <rFont val="Calibri"/>
        <family val="2"/>
        <charset val="186"/>
      </rPr>
      <t xml:space="preserve">households will have more efficient heat production capacities:  </t>
    </r>
    <r>
      <rPr>
        <b/>
        <sz val="11"/>
        <rFont val="Calibri"/>
        <family val="2"/>
        <charset val="186"/>
      </rPr>
      <t>39.379.350</t>
    </r>
    <r>
      <rPr>
        <sz val="11"/>
        <rFont val="Calibri"/>
        <family val="2"/>
        <charset val="186"/>
      </rPr>
      <t xml:space="preserve"> </t>
    </r>
    <r>
      <rPr>
        <strike/>
        <sz val="11"/>
        <rFont val="Calibri"/>
        <family val="2"/>
        <charset val="186"/>
      </rPr>
      <t>79 588 700</t>
    </r>
    <r>
      <rPr>
        <sz val="11"/>
        <rFont val="Calibri"/>
        <family val="2"/>
        <charset val="186"/>
      </rPr>
      <t>/</t>
    </r>
    <r>
      <rPr>
        <b/>
        <sz val="11"/>
        <rFont val="Calibri"/>
        <family val="2"/>
        <charset val="186"/>
      </rPr>
      <t>3841</t>
    </r>
    <r>
      <rPr>
        <sz val="11"/>
        <rFont val="Calibri"/>
        <family val="2"/>
        <charset val="186"/>
      </rPr>
      <t xml:space="preserve"> </t>
    </r>
    <r>
      <rPr>
        <strike/>
        <sz val="11"/>
        <rFont val="Calibri"/>
        <family val="2"/>
        <charset val="186"/>
      </rPr>
      <t xml:space="preserve">3696 </t>
    </r>
    <r>
      <rPr>
        <sz val="11"/>
        <rFont val="Calibri"/>
        <family val="2"/>
        <charset val="186"/>
      </rPr>
      <t>=~</t>
    </r>
    <r>
      <rPr>
        <b/>
        <sz val="11"/>
        <rFont val="Calibri"/>
        <family val="2"/>
        <charset val="186"/>
      </rPr>
      <t>10252</t>
    </r>
    <r>
      <rPr>
        <sz val="11"/>
        <rFont val="Calibri"/>
        <family val="2"/>
        <charset val="186"/>
      </rPr>
      <t xml:space="preserve"> </t>
    </r>
    <r>
      <rPr>
        <strike/>
        <sz val="11"/>
        <rFont val="Calibri"/>
        <family val="2"/>
        <charset val="186"/>
      </rPr>
      <t>21534</t>
    </r>
    <r>
      <rPr>
        <sz val="11"/>
        <rFont val="Calibri"/>
        <family val="2"/>
        <charset val="186"/>
      </rPr>
      <t xml:space="preserve">.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t>
    </r>
    <r>
      <rPr>
        <strike/>
        <sz val="11"/>
        <rFont val="Calibri"/>
        <family val="2"/>
        <charset val="186"/>
      </rPr>
      <t>approx.</t>
    </r>
    <r>
      <rPr>
        <sz val="11"/>
        <rFont val="Calibri"/>
        <family val="2"/>
        <charset val="186"/>
      </rPr>
      <t xml:space="preserve"> in the </t>
    </r>
    <r>
      <rPr>
        <strike/>
        <sz val="11"/>
        <rFont val="Calibri"/>
        <family val="2"/>
        <charset val="186"/>
      </rPr>
      <t>mid of</t>
    </r>
    <r>
      <rPr>
        <sz val="11"/>
        <rFont val="Calibri"/>
        <family val="2"/>
        <charset val="186"/>
      </rPr>
      <t xml:space="preserve"> 2023. Therefore we assume that about 10 percent of funds will be invested by 2024, then milestone will be </t>
    </r>
    <r>
      <rPr>
        <b/>
        <sz val="11"/>
        <rFont val="Calibri"/>
        <family val="2"/>
        <charset val="186"/>
      </rPr>
      <t>10252</t>
    </r>
    <r>
      <rPr>
        <sz val="11"/>
        <rFont val="Calibri"/>
        <family val="2"/>
        <charset val="186"/>
      </rPr>
      <t xml:space="preserve"> </t>
    </r>
    <r>
      <rPr>
        <strike/>
        <sz val="11"/>
        <rFont val="Calibri"/>
        <family val="2"/>
        <charset val="186"/>
      </rPr>
      <t>21534</t>
    </r>
    <r>
      <rPr>
        <sz val="11"/>
        <rFont val="Calibri"/>
        <family val="2"/>
        <charset val="186"/>
      </rPr>
      <t>x0,1=</t>
    </r>
    <r>
      <rPr>
        <strike/>
        <sz val="11"/>
        <rFont val="Calibri"/>
        <family val="2"/>
        <charset val="186"/>
      </rPr>
      <t>2153</t>
    </r>
    <r>
      <rPr>
        <sz val="11"/>
        <rFont val="Calibri"/>
        <family val="2"/>
        <charset val="186"/>
      </rPr>
      <t xml:space="preserve">  </t>
    </r>
    <r>
      <rPr>
        <b/>
        <sz val="11"/>
        <rFont val="Calibri"/>
        <family val="2"/>
        <charset val="186"/>
      </rPr>
      <t>1025</t>
    </r>
    <r>
      <rPr>
        <sz val="11"/>
        <rFont val="Calibri"/>
        <family val="2"/>
        <charset val="186"/>
      </rPr>
      <t xml:space="preserve"> households with more efficient heat production capacities </t>
    </r>
    <r>
      <rPr>
        <b/>
        <sz val="11"/>
        <rFont val="Calibri"/>
        <family val="2"/>
        <charset val="186"/>
      </rPr>
      <t>(mostly with heat pumps)</t>
    </r>
    <r>
      <rPr>
        <sz val="11"/>
        <rFont val="Calibri"/>
        <family val="2"/>
        <charset val="186"/>
      </rPr>
      <t>.</t>
    </r>
  </si>
  <si>
    <r>
      <t>50 percent of EU funds (</t>
    </r>
    <r>
      <rPr>
        <strike/>
        <sz val="11"/>
        <rFont val="Calibri"/>
        <family val="2"/>
        <charset val="186"/>
        <scheme val="minor"/>
      </rPr>
      <t>9 642 857,15</t>
    </r>
    <r>
      <rPr>
        <sz val="11"/>
        <rFont val="Calibri"/>
        <family val="2"/>
        <charset val="186"/>
        <scheme val="minor"/>
      </rPr>
      <t xml:space="preserve"> </t>
    </r>
    <r>
      <rPr>
        <b/>
        <sz val="11"/>
        <rFont val="Calibri"/>
        <family val="2"/>
        <charset val="186"/>
        <scheme val="minor"/>
      </rPr>
      <t xml:space="preserve">6 750 000 </t>
    </r>
    <r>
      <rPr>
        <sz val="11"/>
        <rFont val="Calibri"/>
        <family val="2"/>
        <charset val="186"/>
        <scheme val="minor"/>
      </rPr>
      <t xml:space="preserve">EUR) will be </t>
    </r>
    <r>
      <rPr>
        <strike/>
        <sz val="11"/>
        <rFont val="Calibri"/>
        <family val="2"/>
        <charset val="186"/>
        <scheme val="minor"/>
      </rPr>
      <t>invested in</t>
    </r>
    <r>
      <rPr>
        <sz val="11"/>
        <rFont val="Calibri"/>
        <family val="2"/>
        <charset val="186"/>
        <scheme val="minor"/>
      </rPr>
      <t xml:space="preserve"> </t>
    </r>
    <r>
      <rPr>
        <b/>
        <sz val="11"/>
        <rFont val="Calibri"/>
        <family val="2"/>
        <charset val="186"/>
        <scheme val="minor"/>
      </rPr>
      <t>available for</t>
    </r>
    <r>
      <rPr>
        <sz val="11"/>
        <rFont val="Calibri"/>
        <family val="2"/>
        <charset val="186"/>
        <scheme val="minor"/>
      </rPr>
      <t xml:space="preserve"> the increase of energy efficiency of DH network adapting it to  low-temperature regime </t>
    </r>
    <r>
      <rPr>
        <b/>
        <sz val="11"/>
        <rFont val="Calibri"/>
        <family val="2"/>
        <charset val="186"/>
        <scheme val="minor"/>
      </rPr>
      <t>(including administrative expenses)</t>
    </r>
    <r>
      <rPr>
        <sz val="11"/>
        <rFont val="Calibri"/>
        <family val="2"/>
        <charset val="186"/>
        <scheme val="minor"/>
      </rPr>
      <t>; 50 percent of EU funds (</t>
    </r>
    <r>
      <rPr>
        <strike/>
        <sz val="11"/>
        <rFont val="Calibri"/>
        <family val="2"/>
        <charset val="186"/>
        <scheme val="minor"/>
      </rPr>
      <t>9 642 857,15</t>
    </r>
    <r>
      <rPr>
        <b/>
        <sz val="11"/>
        <rFont val="Calibri"/>
        <family val="2"/>
        <charset val="186"/>
        <scheme val="minor"/>
      </rPr>
      <t xml:space="preserve"> 6 750 000 </t>
    </r>
    <r>
      <rPr>
        <sz val="11"/>
        <rFont val="Calibri"/>
        <family val="2"/>
        <charset val="186"/>
        <scheme val="minor"/>
      </rPr>
      <t xml:space="preserve">EUR) will be </t>
    </r>
    <r>
      <rPr>
        <strike/>
        <sz val="11"/>
        <rFont val="Calibri"/>
        <family val="2"/>
        <charset val="186"/>
        <scheme val="minor"/>
      </rPr>
      <t>invested in</t>
    </r>
    <r>
      <rPr>
        <sz val="11"/>
        <rFont val="Calibri"/>
        <family val="2"/>
        <charset val="186"/>
        <scheme val="minor"/>
      </rPr>
      <t xml:space="preserve"> </t>
    </r>
    <r>
      <rPr>
        <b/>
        <sz val="11"/>
        <rFont val="Calibri"/>
        <family val="2"/>
        <charset val="186"/>
        <scheme val="minor"/>
      </rPr>
      <t>available for</t>
    </r>
    <r>
      <rPr>
        <sz val="11"/>
        <rFont val="Calibri"/>
        <family val="2"/>
        <charset val="186"/>
        <scheme val="minor"/>
      </rPr>
      <t xml:space="preserve"> the modernization of introductory heat metering devices</t>
    </r>
    <r>
      <rPr>
        <strike/>
        <sz val="11"/>
        <rFont val="Calibri"/>
        <family val="2"/>
        <charset val="186"/>
        <scheme val="minor"/>
      </rPr>
      <t xml:space="preserve"> and hot water meters</t>
    </r>
    <r>
      <rPr>
        <sz val="11"/>
        <rFont val="Calibri"/>
        <family val="2"/>
        <charset val="186"/>
        <scheme val="minor"/>
      </rPr>
      <t xml:space="preserve"> </t>
    </r>
    <r>
      <rPr>
        <b/>
        <sz val="11"/>
        <rFont val="Calibri"/>
        <family val="2"/>
        <charset val="186"/>
        <scheme val="minor"/>
      </rPr>
      <t>(including administrative expenses)</t>
    </r>
    <r>
      <rPr>
        <sz val="11"/>
        <rFont val="Calibri"/>
        <family val="2"/>
        <charset val="186"/>
        <scheme val="minor"/>
      </rPr>
      <t xml:space="preserve">. </t>
    </r>
    <r>
      <rPr>
        <b/>
        <sz val="11"/>
        <rFont val="Calibri"/>
        <family val="2"/>
        <charset val="186"/>
        <scheme val="minor"/>
      </rPr>
      <t>Out of the amount earmarked for project activities, up to 7 percent of the EU funds available for project implementation are planned as administrative costs. Therefore 6 750 000/1,07 = 6 308 411 EUR of EU funds will be invested in the increase of energy efficiency of DH network adapting it to  low-temperature regime and 6 308 411 EUR of EU funds - in the modernization of introductory heat metering devices. The applicants will contribute at least 20 percent of the project costs. The total amount available for the achievement of project indicators (total amount less administrative costs) will be 6 308 411 (EU funds) + 1 577 103 (private funds) = 7 885 514 EUR for the increase of energy efficiency of DH network adapting it to  low-temperature regime and 7 885 514 EUR -  for the modernization of introductory heat metering devices.</t>
    </r>
    <r>
      <rPr>
        <sz val="11"/>
        <rFont val="Calibri"/>
        <family val="2"/>
        <charset val="186"/>
        <scheme val="minor"/>
      </rPr>
      <t xml:space="preserve">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t>
    </r>
    <r>
      <rPr>
        <strike/>
        <sz val="11"/>
        <rFont val="Calibri"/>
        <family val="2"/>
        <charset val="186"/>
        <scheme val="minor"/>
      </rPr>
      <t>21</t>
    </r>
    <r>
      <rPr>
        <sz val="11"/>
        <rFont val="Calibri"/>
        <family val="2"/>
        <charset val="186"/>
        <scheme val="minor"/>
      </rPr>
      <t xml:space="preserve"> </t>
    </r>
    <r>
      <rPr>
        <b/>
        <sz val="11"/>
        <rFont val="Calibri"/>
        <family val="2"/>
        <charset val="186"/>
        <scheme val="minor"/>
      </rPr>
      <t>17</t>
    </r>
    <r>
      <rPr>
        <sz val="11"/>
        <rFont val="Calibri"/>
        <family val="2"/>
        <charset val="186"/>
        <scheme val="minor"/>
      </rPr>
      <t xml:space="preserve"> km consume </t>
    </r>
    <r>
      <rPr>
        <strike/>
        <sz val="11"/>
        <rFont val="Calibri"/>
        <family val="2"/>
        <charset val="186"/>
        <scheme val="minor"/>
      </rPr>
      <t>21</t>
    </r>
    <r>
      <rPr>
        <b/>
        <sz val="11"/>
        <rFont val="Calibri"/>
        <family val="2"/>
        <charset val="186"/>
        <scheme val="minor"/>
      </rPr>
      <t>17</t>
    </r>
    <r>
      <rPr>
        <sz val="11"/>
        <rFont val="Calibri"/>
        <family val="2"/>
        <charset val="186"/>
        <scheme val="minor"/>
      </rPr>
      <t xml:space="preserve">x400 = </t>
    </r>
    <r>
      <rPr>
        <strike/>
        <sz val="11"/>
        <rFont val="Calibri"/>
        <family val="2"/>
        <charset val="186"/>
        <scheme val="minor"/>
      </rPr>
      <t>8400</t>
    </r>
    <r>
      <rPr>
        <sz val="11"/>
        <rFont val="Calibri"/>
        <family val="2"/>
        <charset val="186"/>
        <scheme val="minor"/>
      </rPr>
      <t xml:space="preserve"> </t>
    </r>
    <r>
      <rPr>
        <b/>
        <sz val="11"/>
        <rFont val="Calibri"/>
        <family val="2"/>
        <charset val="186"/>
        <scheme val="minor"/>
      </rPr>
      <t>6800</t>
    </r>
    <r>
      <rPr>
        <sz val="11"/>
        <rFont val="Calibri"/>
        <family val="2"/>
        <charset val="186"/>
        <scheme val="minor"/>
      </rPr>
      <t xml:space="preserve"> MWh/year;  2)  introductory heat meters</t>
    </r>
    <r>
      <rPr>
        <strike/>
        <sz val="11"/>
        <rFont val="Calibri"/>
        <family val="2"/>
        <charset val="186"/>
        <scheme val="minor"/>
      </rPr>
      <t xml:space="preserve"> and hot water meters</t>
    </r>
    <r>
      <rPr>
        <sz val="11"/>
        <rFont val="Calibri"/>
        <family val="2"/>
        <charset val="186"/>
        <scheme val="minor"/>
      </rPr>
      <t xml:space="preserve">: according to  annual review prepared by  Lithuanian District Heating Association on  economic activity of heat supply companies in 2019  an average 350 MWh of thermal energy per year has passed through 1 introductory heat meter without being read remotely. Since with </t>
    </r>
    <r>
      <rPr>
        <strike/>
        <sz val="11"/>
        <rFont val="Calibri"/>
        <family val="2"/>
        <charset val="186"/>
        <scheme val="minor"/>
      </rPr>
      <t xml:space="preserve">9642857,15 </t>
    </r>
    <r>
      <rPr>
        <b/>
        <sz val="11"/>
        <rFont val="Calibri"/>
        <family val="2"/>
        <charset val="186"/>
        <scheme val="minor"/>
      </rPr>
      <t>7 885 514</t>
    </r>
    <r>
      <rPr>
        <sz val="11"/>
        <rFont val="Calibri"/>
        <family val="2"/>
        <charset val="186"/>
        <scheme val="minor"/>
      </rPr>
      <t xml:space="preserve"> EUR investments  </t>
    </r>
    <r>
      <rPr>
        <strike/>
        <sz val="11"/>
        <rFont val="Calibri"/>
        <family val="2"/>
        <charset val="186"/>
        <scheme val="minor"/>
      </rPr>
      <t>3214</t>
    </r>
    <r>
      <rPr>
        <sz val="11"/>
        <rFont val="Calibri"/>
        <family val="2"/>
        <charset val="186"/>
        <scheme val="minor"/>
      </rPr>
      <t xml:space="preserve"> </t>
    </r>
    <r>
      <rPr>
        <b/>
        <sz val="11"/>
        <rFont val="Calibri"/>
        <family val="2"/>
        <charset val="186"/>
        <scheme val="minor"/>
      </rPr>
      <t>5257</t>
    </r>
    <r>
      <rPr>
        <sz val="11"/>
        <rFont val="Calibri"/>
        <family val="2"/>
        <charset val="186"/>
        <scheme val="minor"/>
      </rPr>
      <t xml:space="preserve"> introductory heat meters</t>
    </r>
    <r>
      <rPr>
        <strike/>
        <sz val="11"/>
        <rFont val="Calibri"/>
        <family val="2"/>
        <charset val="186"/>
        <scheme val="minor"/>
      </rPr>
      <t xml:space="preserve"> and 48214  hot water meters</t>
    </r>
    <r>
      <rPr>
        <sz val="11"/>
        <rFont val="Calibri"/>
        <family val="2"/>
        <charset val="186"/>
        <scheme val="minor"/>
      </rPr>
      <t xml:space="preserve"> will be installed, threfore about   </t>
    </r>
    <r>
      <rPr>
        <strike/>
        <sz val="11"/>
        <rFont val="Calibri"/>
        <family val="2"/>
        <charset val="186"/>
        <scheme val="minor"/>
      </rPr>
      <t>3214</t>
    </r>
    <r>
      <rPr>
        <b/>
        <sz val="11"/>
        <rFont val="Calibri"/>
        <family val="2"/>
        <charset val="186"/>
        <scheme val="minor"/>
      </rPr>
      <t>5257</t>
    </r>
    <r>
      <rPr>
        <sz val="11"/>
        <rFont val="Calibri"/>
        <family val="2"/>
        <charset val="186"/>
        <scheme val="minor"/>
      </rPr>
      <t>x350=</t>
    </r>
    <r>
      <rPr>
        <strike/>
        <sz val="11"/>
        <rFont val="Calibri"/>
        <family val="2"/>
        <charset val="186"/>
        <scheme val="minor"/>
      </rPr>
      <t>1 124 900</t>
    </r>
    <r>
      <rPr>
        <sz val="11"/>
        <rFont val="Calibri"/>
        <family val="2"/>
        <charset val="186"/>
        <scheme val="minor"/>
      </rPr>
      <t xml:space="preserve"> </t>
    </r>
    <r>
      <rPr>
        <b/>
        <sz val="11"/>
        <rFont val="Calibri"/>
        <family val="2"/>
        <charset val="186"/>
        <scheme val="minor"/>
      </rPr>
      <t xml:space="preserve">1 839 950 </t>
    </r>
    <r>
      <rPr>
        <sz val="11"/>
        <rFont val="Calibri"/>
        <family val="2"/>
        <charset val="186"/>
        <scheme val="minor"/>
      </rPr>
      <t xml:space="preserve">MWh/year  of thermal energy  would pass (consumed by) through  </t>
    </r>
    <r>
      <rPr>
        <strike/>
        <sz val="11"/>
        <rFont val="Calibri"/>
        <family val="2"/>
        <charset val="186"/>
        <scheme val="minor"/>
      </rPr>
      <t>3214</t>
    </r>
    <r>
      <rPr>
        <sz val="11"/>
        <rFont val="Calibri"/>
        <family val="2"/>
        <charset val="186"/>
        <scheme val="minor"/>
      </rPr>
      <t xml:space="preserve"> </t>
    </r>
    <r>
      <rPr>
        <b/>
        <sz val="11"/>
        <rFont val="Calibri"/>
        <family val="2"/>
        <charset val="186"/>
        <scheme val="minor"/>
      </rPr>
      <t>5257</t>
    </r>
    <r>
      <rPr>
        <sz val="11"/>
        <rFont val="Calibri"/>
        <family val="2"/>
        <charset val="186"/>
        <scheme val="minor"/>
      </rPr>
      <t xml:space="preserve"> heat meters   without remote reading. Total energy consumption  will be </t>
    </r>
    <r>
      <rPr>
        <strike/>
        <sz val="11"/>
        <rFont val="Calibri"/>
        <family val="2"/>
        <charset val="186"/>
        <scheme val="minor"/>
      </rPr>
      <t>8400</t>
    </r>
    <r>
      <rPr>
        <b/>
        <sz val="11"/>
        <rFont val="Calibri"/>
        <family val="2"/>
        <charset val="186"/>
        <scheme val="minor"/>
      </rPr>
      <t>6800</t>
    </r>
    <r>
      <rPr>
        <sz val="11"/>
        <rFont val="Calibri"/>
        <family val="2"/>
        <charset val="186"/>
        <scheme val="minor"/>
      </rPr>
      <t>+</t>
    </r>
    <r>
      <rPr>
        <strike/>
        <sz val="11"/>
        <rFont val="Calibri"/>
        <family val="2"/>
        <charset val="186"/>
        <scheme val="minor"/>
      </rPr>
      <t>1 124 900</t>
    </r>
    <r>
      <rPr>
        <sz val="11"/>
        <rFont val="Calibri"/>
        <family val="2"/>
        <charset val="186"/>
        <scheme val="minor"/>
      </rPr>
      <t xml:space="preserve"> </t>
    </r>
    <r>
      <rPr>
        <b/>
        <sz val="11"/>
        <rFont val="Calibri"/>
        <family val="2"/>
        <charset val="186"/>
        <scheme val="minor"/>
      </rPr>
      <t>1 839 950</t>
    </r>
    <r>
      <rPr>
        <sz val="11"/>
        <rFont val="Calibri"/>
        <family val="2"/>
        <charset val="186"/>
        <scheme val="minor"/>
      </rPr>
      <t xml:space="preserve"> = </t>
    </r>
    <r>
      <rPr>
        <b/>
        <strike/>
        <sz val="11"/>
        <rFont val="Calibri"/>
        <family val="2"/>
        <charset val="186"/>
        <scheme val="minor"/>
      </rPr>
      <t>1 133 300</t>
    </r>
    <r>
      <rPr>
        <b/>
        <sz val="11"/>
        <rFont val="Calibri"/>
        <family val="2"/>
        <charset val="186"/>
        <scheme val="minor"/>
      </rPr>
      <t xml:space="preserve"> 1 846 750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t>
    </r>
    <r>
      <rPr>
        <strike/>
        <sz val="11"/>
        <rFont val="Calibri"/>
        <family val="2"/>
        <charset val="186"/>
        <scheme val="minor"/>
      </rPr>
      <t>21</t>
    </r>
    <r>
      <rPr>
        <b/>
        <sz val="11"/>
        <rFont val="Calibri"/>
        <family val="2"/>
        <charset val="186"/>
        <scheme val="minor"/>
      </rPr>
      <t>17</t>
    </r>
    <r>
      <rPr>
        <sz val="11"/>
        <rFont val="Calibri"/>
        <family val="2"/>
        <charset val="186"/>
        <scheme val="minor"/>
      </rPr>
      <t xml:space="preserve"> km of DH network would save  50x</t>
    </r>
    <r>
      <rPr>
        <strike/>
        <sz val="11"/>
        <rFont val="Calibri"/>
        <family val="2"/>
        <charset val="186"/>
        <scheme val="minor"/>
      </rPr>
      <t>21</t>
    </r>
    <r>
      <rPr>
        <b/>
        <sz val="11"/>
        <rFont val="Calibri"/>
        <family val="2"/>
        <charset val="186"/>
        <scheme val="minor"/>
      </rPr>
      <t xml:space="preserve">17 </t>
    </r>
    <r>
      <rPr>
        <sz val="11"/>
        <rFont val="Calibri"/>
        <family val="2"/>
        <charset val="186"/>
        <scheme val="minor"/>
      </rPr>
      <t xml:space="preserve">= </t>
    </r>
    <r>
      <rPr>
        <strike/>
        <sz val="11"/>
        <rFont val="Calibri"/>
        <family val="2"/>
        <charset val="186"/>
        <scheme val="minor"/>
      </rPr>
      <t>1050</t>
    </r>
    <r>
      <rPr>
        <b/>
        <sz val="11"/>
        <rFont val="Calibri"/>
        <family val="2"/>
        <charset val="186"/>
        <scheme val="minor"/>
      </rPr>
      <t>850</t>
    </r>
    <r>
      <rPr>
        <sz val="11"/>
        <rFont val="Calibri"/>
        <family val="2"/>
        <charset val="186"/>
        <scheme val="minor"/>
      </rPr>
      <t xml:space="preserve"> MWh/year and accordingly use  8</t>
    </r>
    <r>
      <rPr>
        <strike/>
        <sz val="11"/>
        <rFont val="Calibri"/>
        <family val="2"/>
        <charset val="186"/>
        <scheme val="minor"/>
      </rPr>
      <t>400-1050 = 7350</t>
    </r>
    <r>
      <rPr>
        <sz val="11"/>
        <rFont val="Calibri"/>
        <family val="2"/>
        <charset val="186"/>
        <scheme val="minor"/>
      </rPr>
      <t xml:space="preserve"> </t>
    </r>
    <r>
      <rPr>
        <b/>
        <sz val="11"/>
        <rFont val="Calibri"/>
        <family val="2"/>
        <charset val="186"/>
        <scheme val="minor"/>
      </rPr>
      <t>6800 - 850 = 5950</t>
    </r>
    <r>
      <rPr>
        <sz val="11"/>
        <rFont val="Calibri"/>
        <family val="2"/>
        <charset val="186"/>
        <scheme val="minor"/>
      </rPr>
      <t xml:space="preserve"> MWh/year; 2) The modernization of heat metering and  hot water meters with remote data reading will save about 1 percent of primary energy consumption, then savings due to meters' modernization would be </t>
    </r>
    <r>
      <rPr>
        <strike/>
        <sz val="11"/>
        <rFont val="Calibri"/>
        <family val="2"/>
        <charset val="186"/>
        <scheme val="minor"/>
      </rPr>
      <t>1 124 900</t>
    </r>
    <r>
      <rPr>
        <sz val="11"/>
        <rFont val="Calibri"/>
        <family val="2"/>
        <charset val="186"/>
        <scheme val="minor"/>
      </rPr>
      <t xml:space="preserve"> </t>
    </r>
    <r>
      <rPr>
        <b/>
        <sz val="11"/>
        <rFont val="Calibri"/>
        <family val="2"/>
        <charset val="186"/>
        <scheme val="minor"/>
      </rPr>
      <t>1 839 950</t>
    </r>
    <r>
      <rPr>
        <sz val="11"/>
        <rFont val="Calibri"/>
        <family val="2"/>
        <charset val="186"/>
        <scheme val="minor"/>
      </rPr>
      <t xml:space="preserve"> MWh/</t>
    </r>
    <r>
      <rPr>
        <strike/>
        <sz val="11"/>
        <rFont val="Calibri"/>
        <family val="2"/>
        <charset val="186"/>
        <scheme val="minor"/>
      </rPr>
      <t>metus</t>
    </r>
    <r>
      <rPr>
        <sz val="11"/>
        <rFont val="Calibri"/>
        <family val="2"/>
        <charset val="186"/>
        <scheme val="minor"/>
      </rPr>
      <t xml:space="preserve"> </t>
    </r>
    <r>
      <rPr>
        <b/>
        <sz val="11"/>
        <rFont val="Calibri"/>
        <family val="2"/>
        <charset val="186"/>
        <scheme val="minor"/>
      </rPr>
      <t>year</t>
    </r>
    <r>
      <rPr>
        <sz val="11"/>
        <rFont val="Calibri"/>
        <family val="2"/>
        <charset val="186"/>
        <scheme val="minor"/>
      </rPr>
      <t xml:space="preserve"> x 0,01=</t>
    </r>
    <r>
      <rPr>
        <b/>
        <sz val="11"/>
        <rFont val="Calibri"/>
        <family val="2"/>
        <charset val="186"/>
        <scheme val="minor"/>
      </rPr>
      <t>18399</t>
    </r>
    <r>
      <rPr>
        <sz val="11"/>
        <rFont val="Calibri"/>
        <family val="2"/>
        <charset val="186"/>
        <scheme val="minor"/>
      </rPr>
      <t xml:space="preserve"> MWh/year and energy consumption would  be </t>
    </r>
    <r>
      <rPr>
        <strike/>
        <sz val="11"/>
        <rFont val="Calibri"/>
        <family val="2"/>
        <charset val="186"/>
        <scheme val="minor"/>
      </rPr>
      <t>1124900-11249=1113651</t>
    </r>
    <r>
      <rPr>
        <sz val="11"/>
        <rFont val="Calibri"/>
        <family val="2"/>
        <charset val="186"/>
        <scheme val="minor"/>
      </rPr>
      <t xml:space="preserve"> </t>
    </r>
    <r>
      <rPr>
        <b/>
        <sz val="11"/>
        <rFont val="Calibri"/>
        <family val="2"/>
        <charset val="186"/>
        <scheme val="minor"/>
      </rPr>
      <t>1 839 950 - 18399 = 1 821 551</t>
    </r>
    <r>
      <rPr>
        <sz val="11"/>
        <rFont val="Calibri"/>
        <family val="2"/>
        <charset val="186"/>
        <scheme val="minor"/>
      </rPr>
      <t xml:space="preserve"> MWh/</t>
    </r>
    <r>
      <rPr>
        <strike/>
        <sz val="11"/>
        <rFont val="Calibri"/>
        <family val="2"/>
        <charset val="186"/>
        <scheme val="minor"/>
      </rPr>
      <t>metus</t>
    </r>
    <r>
      <rPr>
        <b/>
        <sz val="11"/>
        <rFont val="Calibri"/>
        <family val="2"/>
        <charset val="186"/>
        <scheme val="minor"/>
      </rPr>
      <t>year</t>
    </r>
    <r>
      <rPr>
        <sz val="11"/>
        <rFont val="Calibri"/>
        <family val="2"/>
        <charset val="186"/>
        <scheme val="minor"/>
      </rPr>
      <t xml:space="preserve">. Total energy consumption after DH network adaptation and metering modernizations will be </t>
    </r>
    <r>
      <rPr>
        <strike/>
        <sz val="11"/>
        <rFont val="Calibri"/>
        <family val="2"/>
        <charset val="186"/>
        <scheme val="minor"/>
      </rPr>
      <t>7350</t>
    </r>
    <r>
      <rPr>
        <b/>
        <sz val="11"/>
        <rFont val="Calibri"/>
        <family val="2"/>
        <charset val="186"/>
        <scheme val="minor"/>
      </rPr>
      <t>5950</t>
    </r>
    <r>
      <rPr>
        <sz val="11"/>
        <rFont val="Calibri"/>
        <family val="2"/>
        <charset val="186"/>
        <scheme val="minor"/>
      </rPr>
      <t>+</t>
    </r>
    <r>
      <rPr>
        <strike/>
        <sz val="11"/>
        <rFont val="Calibri"/>
        <family val="2"/>
        <charset val="186"/>
        <scheme val="minor"/>
      </rPr>
      <t xml:space="preserve">1113651 </t>
    </r>
    <r>
      <rPr>
        <b/>
        <sz val="11"/>
        <rFont val="Calibri"/>
        <family val="2"/>
        <charset val="186"/>
        <scheme val="minor"/>
      </rPr>
      <t>1 821 551</t>
    </r>
    <r>
      <rPr>
        <sz val="11"/>
        <rFont val="Calibri"/>
        <family val="2"/>
        <charset val="186"/>
        <scheme val="minor"/>
      </rPr>
      <t xml:space="preserve"> = </t>
    </r>
    <r>
      <rPr>
        <b/>
        <strike/>
        <sz val="11"/>
        <rFont val="Calibri"/>
        <family val="2"/>
        <charset val="186"/>
        <scheme val="minor"/>
      </rPr>
      <t xml:space="preserve">1 121 001 </t>
    </r>
    <r>
      <rPr>
        <b/>
        <sz val="11"/>
        <rFont val="Calibri"/>
        <family val="2"/>
        <charset val="186"/>
        <scheme val="minor"/>
      </rPr>
      <t>1 827 501 MWh/</t>
    </r>
    <r>
      <rPr>
        <b/>
        <strike/>
        <sz val="11"/>
        <rFont val="Calibri"/>
        <family val="2"/>
        <charset val="186"/>
        <scheme val="minor"/>
      </rPr>
      <t>metus</t>
    </r>
    <r>
      <rPr>
        <b/>
        <sz val="11"/>
        <rFont val="Calibri"/>
        <family val="2"/>
        <charset val="186"/>
        <scheme val="minor"/>
      </rPr>
      <t xml:space="preserve"> year.</t>
    </r>
    <r>
      <rPr>
        <sz val="11"/>
        <rFont val="Calibri"/>
        <family val="2"/>
        <charset val="186"/>
        <scheme val="minor"/>
      </rPr>
      <t xml:space="preserve">
</t>
    </r>
  </si>
  <si>
    <r>
      <rPr>
        <u/>
        <sz val="11"/>
        <rFont val="Calibri"/>
        <family val="2"/>
        <charset val="186"/>
        <scheme val="minor"/>
      </rPr>
      <t>Baseline calculation</t>
    </r>
    <r>
      <rPr>
        <sz val="11"/>
        <rFont val="Calibri"/>
        <family val="2"/>
        <charset val="186"/>
        <scheme val="minor"/>
      </rPr>
      <t xml:space="preserve">: </t>
    </r>
    <r>
      <rPr>
        <strike/>
        <sz val="11"/>
        <rFont val="Calibri"/>
        <family val="2"/>
        <charset val="186"/>
        <scheme val="minor"/>
      </rPr>
      <t>1133300</t>
    </r>
    <r>
      <rPr>
        <sz val="11"/>
        <rFont val="Calibri"/>
        <family val="2"/>
        <charset val="186"/>
        <scheme val="minor"/>
      </rPr>
      <t xml:space="preserve"> </t>
    </r>
    <r>
      <rPr>
        <b/>
        <sz val="11"/>
        <rFont val="Calibri"/>
        <family val="2"/>
        <charset val="186"/>
        <scheme val="minor"/>
      </rPr>
      <t xml:space="preserve">1 846 750 </t>
    </r>
    <r>
      <rPr>
        <sz val="11"/>
        <rFont val="Calibri"/>
        <family val="2"/>
        <charset val="186"/>
        <scheme val="minor"/>
      </rPr>
      <t xml:space="preserve"> MWh/year x  0,1 tCO2/MWh (pollution factor for heat from DH according to Technical Regulation of Construction, Ministry of Environment)= </t>
    </r>
    <r>
      <rPr>
        <strike/>
        <sz val="11"/>
        <rFont val="Calibri"/>
        <family val="2"/>
        <charset val="186"/>
        <scheme val="minor"/>
      </rPr>
      <t>113330</t>
    </r>
    <r>
      <rPr>
        <sz val="11"/>
        <rFont val="Calibri"/>
        <family val="2"/>
        <charset val="186"/>
        <scheme val="minor"/>
      </rPr>
      <t xml:space="preserve"> </t>
    </r>
    <r>
      <rPr>
        <b/>
        <sz val="11"/>
        <rFont val="Calibri"/>
        <family val="2"/>
        <charset val="186"/>
        <scheme val="minor"/>
      </rPr>
      <t>184 675</t>
    </r>
    <r>
      <rPr>
        <sz val="11"/>
        <rFont val="Calibri"/>
        <family val="2"/>
        <charset val="186"/>
        <scheme val="minor"/>
      </rPr>
      <t xml:space="preserve"> tCO2/year. </t>
    </r>
    <r>
      <rPr>
        <u/>
        <sz val="11"/>
        <rFont val="Calibri"/>
        <family val="2"/>
        <charset val="186"/>
        <scheme val="minor"/>
      </rPr>
      <t>Target 2029 calculation</t>
    </r>
    <r>
      <rPr>
        <sz val="11"/>
        <rFont val="Calibri"/>
        <family val="2"/>
        <charset val="186"/>
        <scheme val="minor"/>
      </rPr>
      <t xml:space="preserve">:  </t>
    </r>
    <r>
      <rPr>
        <strike/>
        <sz val="11"/>
        <rFont val="Calibri"/>
        <family val="2"/>
        <charset val="186"/>
        <scheme val="minor"/>
      </rPr>
      <t>1121001</t>
    </r>
    <r>
      <rPr>
        <b/>
        <sz val="11"/>
        <rFont val="Calibri"/>
        <family val="2"/>
        <charset val="186"/>
        <scheme val="minor"/>
      </rPr>
      <t xml:space="preserve"> 1 827 501</t>
    </r>
    <r>
      <rPr>
        <sz val="11"/>
        <rFont val="Calibri"/>
        <family val="2"/>
        <charset val="186"/>
        <scheme val="minor"/>
      </rPr>
      <t xml:space="preserve"> MWh/year x  0,1 tCO2/MWh  = </t>
    </r>
    <r>
      <rPr>
        <b/>
        <strike/>
        <sz val="11"/>
        <rFont val="Calibri"/>
        <family val="2"/>
        <charset val="186"/>
        <scheme val="minor"/>
      </rPr>
      <t>112100</t>
    </r>
    <r>
      <rPr>
        <b/>
        <sz val="11"/>
        <rFont val="Calibri"/>
        <family val="2"/>
        <charset val="186"/>
        <scheme val="minor"/>
      </rPr>
      <t xml:space="preserve"> 182 750 tCO2/year.</t>
    </r>
  </si>
  <si>
    <r>
      <rPr>
        <b/>
        <sz val="11"/>
        <rFont val="Calibri"/>
        <family val="2"/>
        <charset val="186"/>
        <scheme val="minor"/>
      </rPr>
      <t>Calculation of indicators based on the assumption that intensity of funding (a combination of a subsidy and a long term loan) will be 80 percent</t>
    </r>
    <r>
      <rPr>
        <sz val="11"/>
        <rFont val="Calibri"/>
        <family val="2"/>
        <charset val="186"/>
        <scheme val="minor"/>
      </rPr>
      <t xml:space="preserve"> </t>
    </r>
    <r>
      <rPr>
        <strike/>
        <sz val="11"/>
        <rFont val="Calibri"/>
        <family val="2"/>
        <charset val="186"/>
        <scheme val="minor"/>
      </rPr>
      <t>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t>
    </r>
    <r>
      <rPr>
        <sz val="11"/>
        <rFont val="Calibri"/>
        <family val="2"/>
        <charset val="186"/>
        <scheme val="minor"/>
      </rPr>
      <t xml:space="preserve">. </t>
    </r>
    <r>
      <rPr>
        <b/>
        <sz val="11"/>
        <rFont val="Calibri"/>
        <family val="2"/>
        <charset val="186"/>
        <scheme val="minor"/>
      </rPr>
      <t>Thus the EU will contribute 13 500 000 EUR. The administrative costs will amount to up to 7 percent of the  costs for project activities. 13 500 000 / 1,07 = 12 616 822 EUR (80 percent of the total, excluding the administrative costs) will be available for project activities. Applicants will contribute EUR 3 154 206 EUR (20 percent of the total, excluding the administrative fee). The total amount on the basis of which the achievement of indicators will be counted will be EUR 12 616 822 + 3 154 206 = 15 771 028</t>
    </r>
    <r>
      <rPr>
        <sz val="11"/>
        <rFont val="Calibri"/>
        <family val="2"/>
        <charset val="186"/>
        <scheme val="minor"/>
      </rPr>
      <t>. 50 percent of the planned funds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7 885 514</t>
    </r>
    <r>
      <rPr>
        <sz val="11"/>
        <rFont val="Calibri"/>
        <family val="2"/>
        <charset val="186"/>
        <scheme val="minor"/>
      </rPr>
      <t xml:space="preserve"> EUR) will be invested in the modernization of heat </t>
    </r>
    <r>
      <rPr>
        <strike/>
        <sz val="11"/>
        <rFont val="Calibri"/>
        <family val="2"/>
        <charset val="186"/>
        <scheme val="minor"/>
      </rPr>
      <t>and hot water</t>
    </r>
    <r>
      <rPr>
        <sz val="11"/>
        <rFont val="Calibri"/>
        <family val="2"/>
        <charset val="186"/>
        <scheme val="minor"/>
      </rPr>
      <t xml:space="preserve"> metering devices and management systems.  </t>
    </r>
    <r>
      <rPr>
        <strike/>
        <sz val="11"/>
        <rFont val="Calibri"/>
        <family val="2"/>
        <charset val="186"/>
        <scheme val="minor"/>
      </rPr>
      <t>It is assumed that 50 100 percent ( 4821428 9642857,15 EUR each) will be used for the modernization of heat metering and 50 percent for the modernization of hot water meters</t>
    </r>
    <r>
      <rPr>
        <sz val="11"/>
        <rFont val="Calibri"/>
        <family val="2"/>
        <charset val="186"/>
        <scheme val="minor"/>
      </rPr>
      <t>. According to the data of Lithuanian District Heating Association, installation / modernization of 1 introductory heat meter with the whole remote system costs about 1500 euros</t>
    </r>
    <r>
      <rPr>
        <strike/>
        <sz val="11"/>
        <rFont val="Calibri"/>
        <family val="2"/>
        <charset val="186"/>
        <scheme val="minor"/>
      </rPr>
      <t>, installation of hot water meter with the whole remote system costs 100 euros</t>
    </r>
    <r>
      <rPr>
        <sz val="11"/>
        <rFont val="Calibri"/>
        <family val="2"/>
        <charset val="186"/>
        <scheme val="minor"/>
      </rPr>
      <t>. So until 2029(</t>
    </r>
    <r>
      <rPr>
        <strike/>
        <sz val="11"/>
        <rFont val="Calibri"/>
        <family val="2"/>
        <charset val="186"/>
        <scheme val="minor"/>
      </rPr>
      <t>4821428/1500)+(4821428/100</t>
    </r>
    <r>
      <rPr>
        <sz val="11"/>
        <rFont val="Calibri"/>
        <family val="2"/>
        <charset val="186"/>
        <scheme val="minor"/>
      </rPr>
      <t xml:space="preserve"> </t>
    </r>
    <r>
      <rPr>
        <b/>
        <sz val="11"/>
        <rFont val="Calibri"/>
        <family val="2"/>
        <charset val="186"/>
        <scheme val="minor"/>
      </rPr>
      <t>7 885 514</t>
    </r>
    <r>
      <rPr>
        <sz val="11"/>
        <rFont val="Calibri"/>
        <family val="2"/>
        <charset val="186"/>
        <scheme val="minor"/>
      </rPr>
      <t>/1500)=</t>
    </r>
    <r>
      <rPr>
        <b/>
        <strike/>
        <sz val="11"/>
        <rFont val="Calibri"/>
        <family val="2"/>
        <charset val="186"/>
        <scheme val="minor"/>
      </rPr>
      <t>51428</t>
    </r>
    <r>
      <rPr>
        <b/>
        <sz val="11"/>
        <rFont val="Calibri"/>
        <family val="2"/>
        <charset val="186"/>
        <scheme val="minor"/>
      </rPr>
      <t xml:space="preserve">5257 </t>
    </r>
    <r>
      <rPr>
        <sz val="11"/>
        <rFont val="Calibri"/>
        <family val="2"/>
        <charset val="186"/>
        <scheme val="minor"/>
      </rPr>
      <t>units can be installed / modernized in total.  Since the action is new and it's funding model includes FI blending with subsidy, we assume that action's implementation will start  in 202</t>
    </r>
    <r>
      <rPr>
        <strike/>
        <sz val="11"/>
        <rFont val="Calibri"/>
        <family val="2"/>
        <charset val="186"/>
        <scheme val="minor"/>
      </rPr>
      <t>3</t>
    </r>
    <r>
      <rPr>
        <b/>
        <sz val="11"/>
        <rFont val="Calibri"/>
        <family val="2"/>
        <charset val="186"/>
        <scheme val="minor"/>
      </rPr>
      <t>4</t>
    </r>
    <r>
      <rPr>
        <sz val="11"/>
        <rFont val="Calibri"/>
        <family val="2"/>
        <charset val="186"/>
        <scheme val="minor"/>
      </rPr>
      <t xml:space="preserve">. Taking into account that at least 12 months will be needed for the project implementation,  It is assumed that by </t>
    </r>
    <r>
      <rPr>
        <b/>
        <sz val="11"/>
        <rFont val="Calibri"/>
        <family val="2"/>
        <charset val="186"/>
        <scheme val="minor"/>
      </rPr>
      <t>the end of</t>
    </r>
    <r>
      <rPr>
        <sz val="11"/>
        <rFont val="Calibri"/>
        <family val="2"/>
        <charset val="186"/>
        <scheme val="minor"/>
      </rPr>
      <t xml:space="preserve"> 2024, about 10 percent of the funds will be invested, respectively, about (</t>
    </r>
    <r>
      <rPr>
        <strike/>
        <sz val="11"/>
        <rFont val="Calibri"/>
        <family val="2"/>
        <charset val="186"/>
        <scheme val="minor"/>
      </rPr>
      <t>51428</t>
    </r>
    <r>
      <rPr>
        <sz val="11"/>
        <rFont val="Calibri"/>
        <family val="2"/>
        <charset val="186"/>
        <scheme val="minor"/>
      </rPr>
      <t xml:space="preserve"> </t>
    </r>
    <r>
      <rPr>
        <b/>
        <sz val="11"/>
        <rFont val="Calibri"/>
        <family val="2"/>
        <charset val="186"/>
        <scheme val="minor"/>
      </rPr>
      <t>5257</t>
    </r>
    <r>
      <rPr>
        <sz val="11"/>
        <rFont val="Calibri"/>
        <family val="2"/>
        <charset val="186"/>
        <scheme val="minor"/>
      </rPr>
      <t xml:space="preserve"> x 0,1)=</t>
    </r>
    <r>
      <rPr>
        <b/>
        <sz val="11"/>
        <rFont val="Calibri"/>
        <family val="2"/>
        <charset val="186"/>
        <scheme val="minor"/>
      </rPr>
      <t xml:space="preserve"> </t>
    </r>
    <r>
      <rPr>
        <b/>
        <sz val="11"/>
        <rFont val="Calibri"/>
        <family val="2"/>
        <charset val="186"/>
      </rPr>
      <t>~</t>
    </r>
    <r>
      <rPr>
        <strike/>
        <sz val="11"/>
        <rFont val="Calibri"/>
        <family val="2"/>
        <charset val="186"/>
        <scheme val="minor"/>
      </rPr>
      <t>5143</t>
    </r>
    <r>
      <rPr>
        <sz val="11"/>
        <rFont val="Calibri"/>
        <family val="2"/>
        <charset val="186"/>
        <scheme val="minor"/>
      </rPr>
      <t xml:space="preserve"> </t>
    </r>
    <r>
      <rPr>
        <b/>
        <sz val="11"/>
        <rFont val="Calibri"/>
        <family val="2"/>
        <charset val="186"/>
        <scheme val="minor"/>
      </rPr>
      <t xml:space="preserve"> 525</t>
    </r>
    <r>
      <rPr>
        <sz val="11"/>
        <rFont val="Calibri"/>
        <family val="2"/>
        <charset val="186"/>
        <scheme val="minor"/>
      </rPr>
      <t xml:space="preserve"> units will be installed . </t>
    </r>
    <r>
      <rPr>
        <i/>
        <sz val="11"/>
        <rFont val="Calibri"/>
        <family val="2"/>
        <charset val="186"/>
        <scheme val="minor"/>
      </rPr>
      <t xml:space="preserve">Seeking to calculate number of modernised meters which have remote system special output indicator is proposed for this action. </t>
    </r>
  </si>
  <si>
    <r>
      <t xml:space="preserve">Baseline calculation:  </t>
    </r>
    <r>
      <rPr>
        <strike/>
        <sz val="11"/>
        <rFont val="Calibri"/>
        <family val="2"/>
        <charset val="186"/>
        <scheme val="minor"/>
      </rPr>
      <t>128364</t>
    </r>
    <r>
      <rPr>
        <sz val="11"/>
        <rFont val="Calibri"/>
        <family val="2"/>
        <charset val="186"/>
        <scheme val="minor"/>
      </rPr>
      <t xml:space="preserve"> </t>
    </r>
    <r>
      <rPr>
        <b/>
        <sz val="11"/>
        <rFont val="Calibri"/>
        <family val="2"/>
        <charset val="186"/>
        <scheme val="minor"/>
      </rPr>
      <t>87</t>
    </r>
    <r>
      <rPr>
        <sz val="11"/>
        <rFont val="Calibri"/>
        <family val="2"/>
        <charset val="186"/>
        <scheme val="minor"/>
      </rPr>
      <t xml:space="preserve"> </t>
    </r>
    <r>
      <rPr>
        <b/>
        <sz val="11"/>
        <rFont val="Calibri"/>
        <family val="2"/>
        <charset val="186"/>
        <scheme val="minor"/>
      </rPr>
      <t>970</t>
    </r>
    <r>
      <rPr>
        <sz val="11"/>
        <rFont val="Calibri"/>
        <family val="2"/>
        <charset val="186"/>
        <scheme val="minor"/>
      </rPr>
      <t xml:space="preserve"> m2 floor area of inefficient public buildings consume </t>
    </r>
    <r>
      <rPr>
        <strike/>
        <sz val="11"/>
        <rFont val="Calibri"/>
        <family val="2"/>
        <charset val="186"/>
        <scheme val="minor"/>
      </rPr>
      <t>28240</t>
    </r>
    <r>
      <rPr>
        <sz val="11"/>
        <rFont val="Calibri"/>
        <family val="2"/>
        <charset val="186"/>
        <scheme val="minor"/>
      </rPr>
      <t xml:space="preserve"> </t>
    </r>
    <r>
      <rPr>
        <b/>
        <sz val="11"/>
        <rFont val="Calibri"/>
        <family val="2"/>
        <charset val="186"/>
        <scheme val="minor"/>
      </rPr>
      <t>19 353</t>
    </r>
    <r>
      <rPr>
        <sz val="11"/>
        <rFont val="Calibri"/>
        <family val="2"/>
        <charset val="186"/>
        <scheme val="minor"/>
      </rPr>
      <t xml:space="preserve">  MWh/year (</t>
    </r>
    <r>
      <rPr>
        <strike/>
        <sz val="11"/>
        <rFont val="Calibri"/>
        <family val="2"/>
        <charset val="186"/>
        <scheme val="minor"/>
      </rPr>
      <t>128364 m2 x 220kWh/m²/year = 28240</t>
    </r>
    <r>
      <rPr>
        <sz val="11"/>
        <rFont val="Calibri"/>
        <family val="2"/>
        <charset val="186"/>
        <scheme val="minor"/>
      </rPr>
      <t xml:space="preserve"> </t>
    </r>
    <r>
      <rPr>
        <b/>
        <sz val="11"/>
        <rFont val="Calibri"/>
        <family val="2"/>
        <charset val="186"/>
        <scheme val="minor"/>
      </rPr>
      <t>87 970  m2 x 220kWh/m²/year = 19 353 MWh/year</t>
    </r>
    <r>
      <rPr>
        <sz val="11"/>
        <rFont val="Calibri"/>
        <family val="2"/>
        <charset val="186"/>
        <scheme val="minor"/>
      </rPr>
      <t xml:space="preserve">, where 220 kWh/ m2 - an average annual energy consumption of 1 m2 floor area of  public building  (data provided by Lithuanian Energy Agency). Target 2029 calculation:  according to 2014-2020 OP implementation after renovation public buildings consume at least 40 percent less energy, therefore consumption will be </t>
    </r>
    <r>
      <rPr>
        <strike/>
        <sz val="11"/>
        <rFont val="Calibri"/>
        <family val="2"/>
        <charset val="186"/>
        <scheme val="minor"/>
      </rPr>
      <t>28240</t>
    </r>
    <r>
      <rPr>
        <sz val="11"/>
        <rFont val="Calibri"/>
        <family val="2"/>
        <charset val="186"/>
        <scheme val="minor"/>
      </rPr>
      <t xml:space="preserve"> </t>
    </r>
    <r>
      <rPr>
        <b/>
        <sz val="11"/>
        <rFont val="Calibri"/>
        <family val="2"/>
        <charset val="186"/>
        <scheme val="minor"/>
      </rPr>
      <t>19 353</t>
    </r>
    <r>
      <rPr>
        <sz val="11"/>
        <rFont val="Calibri"/>
        <family val="2"/>
        <charset val="186"/>
        <scheme val="minor"/>
      </rPr>
      <t xml:space="preserve">  MWh/year x 60 % =</t>
    </r>
    <r>
      <rPr>
        <strike/>
        <sz val="11"/>
        <rFont val="Calibri"/>
        <family val="2"/>
        <charset val="186"/>
        <scheme val="minor"/>
      </rPr>
      <t>16944</t>
    </r>
    <r>
      <rPr>
        <sz val="11"/>
        <rFont val="Calibri"/>
        <family val="2"/>
        <charset val="186"/>
        <scheme val="minor"/>
      </rPr>
      <t xml:space="preserve"> </t>
    </r>
    <r>
      <rPr>
        <b/>
        <sz val="11"/>
        <rFont val="Calibri"/>
        <family val="2"/>
        <charset val="186"/>
        <scheme val="minor"/>
      </rPr>
      <t>11 611</t>
    </r>
    <r>
      <rPr>
        <sz val="11"/>
        <rFont val="Calibri"/>
        <family val="2"/>
        <charset val="186"/>
        <scheme val="minor"/>
      </rPr>
      <t>MWh/year.</t>
    </r>
  </si>
  <si>
    <r>
      <rPr>
        <b/>
        <sz val="11"/>
        <rFont val="Calibri"/>
        <family val="2"/>
        <scheme val="minor"/>
      </rPr>
      <t>The Monitoring Committee approved the special project selection criteria which directs funds to the applicants from the Vilnius county of Lithuania</t>
    </r>
    <r>
      <rPr>
        <sz val="11"/>
        <rFont val="Calibri"/>
        <family val="2"/>
        <scheme val="minor"/>
      </rPr>
      <t xml:space="preserve">. It is assumed that </t>
    </r>
    <r>
      <rPr>
        <strike/>
        <sz val="11"/>
        <rFont val="Calibri"/>
        <family val="2"/>
        <scheme val="minor"/>
      </rPr>
      <t>all heat and hot water suppliers have to modernise  heat and hot meters.According to information provided by Lithuanian District Heating Association about 10 percent of enterprises already modernised mentioned meters. Therefore, it is assumed that about 40</t>
    </r>
    <r>
      <rPr>
        <sz val="11"/>
        <rFont val="Calibri"/>
        <family val="2"/>
        <scheme val="minor"/>
      </rPr>
      <t xml:space="preserve">  </t>
    </r>
    <r>
      <rPr>
        <b/>
        <sz val="11"/>
        <rFont val="Calibri"/>
        <family val="2"/>
        <scheme val="minor"/>
      </rPr>
      <t>in the Vilnius county of Lithuania 6</t>
    </r>
    <r>
      <rPr>
        <sz val="11"/>
        <rFont val="Calibri"/>
        <family val="2"/>
        <scheme val="minor"/>
      </rPr>
      <t xml:space="preserve"> enterprises  will apply for funding and be supported by financial instruments by 2029. Since implementation of the action will start in 2023 and taking into  account that not all the heat and hot water suppliers will have projects ready to submit in 2023, we assume that </t>
    </r>
    <r>
      <rPr>
        <strike/>
        <sz val="11"/>
        <rFont val="Calibri"/>
        <family val="2"/>
        <scheme val="minor"/>
      </rPr>
      <t>about 10 percent of allocation will be invested and accordingly 10 percent of enterprises be supported up to the end of 2024 40*0,1=4</t>
    </r>
    <r>
      <rPr>
        <sz val="11"/>
        <rFont val="Calibri"/>
        <family val="2"/>
        <scheme val="minor"/>
      </rPr>
      <t xml:space="preserve"> </t>
    </r>
    <r>
      <rPr>
        <b/>
        <sz val="11"/>
        <rFont val="Calibri"/>
        <family val="2"/>
        <scheme val="minor"/>
      </rPr>
      <t>1 enterprise will be supported by the end of 2024.</t>
    </r>
  </si>
  <si>
    <r>
      <t xml:space="preserve">Baseline calculation: </t>
    </r>
    <r>
      <rPr>
        <strike/>
        <sz val="11"/>
        <rFont val="Calibri"/>
        <family val="2"/>
        <charset val="186"/>
      </rPr>
      <t xml:space="preserve">28240 000 </t>
    </r>
    <r>
      <rPr>
        <sz val="11"/>
        <rFont val="Calibri"/>
        <family val="2"/>
        <charset val="186"/>
      </rPr>
      <t xml:space="preserve">19 353 000 kWh/year x 0,1 kgCO2/kWh (pollution factor for heat from DH according to Technical Regulation of Construction, Ministry of Environment)= </t>
    </r>
    <r>
      <rPr>
        <strike/>
        <sz val="11"/>
        <rFont val="Calibri"/>
        <family val="2"/>
        <charset val="186"/>
      </rPr>
      <t>2 824 000kgCO2 ~ 2824 tCO2/year</t>
    </r>
    <r>
      <rPr>
        <sz val="11"/>
        <rFont val="Calibri"/>
        <family val="2"/>
        <charset val="186"/>
      </rPr>
      <t xml:space="preserve"> </t>
    </r>
    <r>
      <rPr>
        <b/>
        <sz val="11"/>
        <rFont val="Calibri"/>
        <family val="2"/>
        <charset val="186"/>
      </rPr>
      <t>1 935 300 kgCO2 ~ 1 935 tCO2/year</t>
    </r>
    <r>
      <rPr>
        <sz val="11"/>
        <rFont val="Calibri"/>
        <family val="2"/>
        <charset val="186"/>
      </rPr>
      <t xml:space="preserve">. </t>
    </r>
    <r>
      <rPr>
        <b/>
        <sz val="11"/>
        <rFont val="Calibri"/>
        <family val="2"/>
        <charset val="186"/>
      </rPr>
      <t xml:space="preserve">(before renovation) </t>
    </r>
    <r>
      <rPr>
        <sz val="11"/>
        <rFont val="Calibri"/>
        <family val="2"/>
        <charset val="186"/>
      </rPr>
      <t xml:space="preserve">Target 2029 calculation </t>
    </r>
    <r>
      <rPr>
        <strike/>
        <sz val="11"/>
        <rFont val="Calibri"/>
        <family val="2"/>
        <charset val="186"/>
      </rPr>
      <t xml:space="preserve">16 944 000 x 0,1 = 1 694 400 kgCO2/year ~1694 tCO2/year </t>
    </r>
    <r>
      <rPr>
        <b/>
        <sz val="11"/>
        <rFont val="Calibri"/>
        <family val="2"/>
        <charset val="186"/>
      </rPr>
      <t>11 611 MWh/year x 0,1 kgCO2/kWh (pollution factor for heat from DH according to Technical Regulation of Construction, Ministry of Environment)= 1161,1 tCO2/year (after renovation)</t>
    </r>
  </si>
  <si>
    <r>
      <t>Baseline calculation</t>
    </r>
    <r>
      <rPr>
        <sz val="11"/>
        <rFont val="Calibri"/>
        <family val="2"/>
        <charset val="186"/>
      </rPr>
      <t xml:space="preserve">: According to 2014-2020 OP implementation results, </t>
    </r>
    <r>
      <rPr>
        <b/>
        <sz val="11"/>
        <rFont val="Calibri"/>
        <family val="2"/>
        <charset val="186"/>
      </rPr>
      <t xml:space="preserve">national methodologies and Commission decision (2013/114/EU) calculation recommendartions  </t>
    </r>
    <r>
      <rPr>
        <sz val="11"/>
        <rFont val="Calibri"/>
        <family val="2"/>
        <charset val="186"/>
      </rPr>
      <t xml:space="preserve">inefficient </t>
    </r>
    <r>
      <rPr>
        <b/>
        <sz val="11"/>
        <rFont val="Calibri"/>
        <family val="2"/>
        <charset val="186"/>
      </rPr>
      <t>heat production device (boiler)</t>
    </r>
    <r>
      <rPr>
        <sz val="11"/>
        <rFont val="Calibri"/>
        <family val="2"/>
        <charset val="186"/>
      </rPr>
      <t xml:space="preserve"> </t>
    </r>
    <r>
      <rPr>
        <strike/>
        <sz val="11"/>
        <rFont val="Calibri"/>
        <family val="2"/>
        <charset val="186"/>
      </rPr>
      <t>household</t>
    </r>
    <r>
      <rPr>
        <sz val="11"/>
        <rFont val="Calibri"/>
        <family val="2"/>
        <charset val="186"/>
      </rPr>
      <t xml:space="preserve"> </t>
    </r>
    <r>
      <rPr>
        <b/>
        <sz val="11"/>
        <rFont val="Calibri"/>
        <family val="2"/>
        <charset val="186"/>
      </rPr>
      <t xml:space="preserve">to satisfy the household's annual heat demand </t>
    </r>
    <r>
      <rPr>
        <sz val="11"/>
        <rFont val="Calibri"/>
        <family val="2"/>
        <charset val="186"/>
      </rPr>
      <t xml:space="preserve">consumes an average </t>
    </r>
    <r>
      <rPr>
        <strike/>
        <sz val="11"/>
        <rFont val="Calibri"/>
        <family val="2"/>
        <charset val="186"/>
      </rPr>
      <t>5,7</t>
    </r>
    <r>
      <rPr>
        <sz val="11"/>
        <rFont val="Calibri"/>
        <family val="2"/>
        <charset val="186"/>
      </rPr>
      <t xml:space="preserve"> </t>
    </r>
    <r>
      <rPr>
        <b/>
        <sz val="11"/>
        <rFont val="Calibri"/>
        <family val="2"/>
        <charset val="186"/>
      </rPr>
      <t xml:space="preserve">2,5 </t>
    </r>
    <r>
      <rPr>
        <sz val="11"/>
        <rFont val="Calibri"/>
        <family val="2"/>
        <charset val="186"/>
      </rPr>
      <t>toe of primary</t>
    </r>
    <r>
      <rPr>
        <b/>
        <sz val="11"/>
        <rFont val="Calibri"/>
        <family val="2"/>
        <charset val="186"/>
      </rPr>
      <t xml:space="preserve"> </t>
    </r>
    <r>
      <rPr>
        <sz val="11"/>
        <rFont val="Calibri"/>
        <family val="2"/>
        <charset val="186"/>
      </rPr>
      <t xml:space="preserve">energy or </t>
    </r>
    <r>
      <rPr>
        <b/>
        <sz val="11"/>
        <rFont val="Calibri"/>
        <family val="2"/>
        <charset val="186"/>
      </rPr>
      <t xml:space="preserve">29,07 </t>
    </r>
    <r>
      <rPr>
        <strike/>
        <sz val="11"/>
        <rFont val="Calibri"/>
        <family val="2"/>
        <charset val="186"/>
      </rPr>
      <t xml:space="preserve">66,28 </t>
    </r>
    <r>
      <rPr>
        <sz val="11"/>
        <rFont val="Calibri"/>
        <family val="2"/>
        <charset val="186"/>
      </rPr>
      <t>MWh (</t>
    </r>
    <r>
      <rPr>
        <b/>
        <sz val="11"/>
        <rFont val="Calibri"/>
        <family val="2"/>
        <charset val="186"/>
      </rPr>
      <t>2,5</t>
    </r>
    <r>
      <rPr>
        <sz val="11"/>
        <rFont val="Calibri"/>
        <family val="2"/>
        <charset val="186"/>
      </rPr>
      <t xml:space="preserve"> </t>
    </r>
    <r>
      <rPr>
        <strike/>
        <sz val="11"/>
        <rFont val="Calibri"/>
        <family val="2"/>
        <charset val="186"/>
      </rPr>
      <t xml:space="preserve">5,7 </t>
    </r>
    <r>
      <rPr>
        <sz val="11"/>
        <rFont val="Calibri"/>
        <family val="2"/>
        <charset val="186"/>
      </rPr>
      <t>x11,628=</t>
    </r>
    <r>
      <rPr>
        <strike/>
        <sz val="11"/>
        <rFont val="Calibri"/>
        <family val="2"/>
        <charset val="186"/>
      </rPr>
      <t>66,28</t>
    </r>
    <r>
      <rPr>
        <sz val="11"/>
        <rFont val="Calibri"/>
        <family val="2"/>
        <charset val="186"/>
      </rPr>
      <t xml:space="preserve"> </t>
    </r>
    <r>
      <rPr>
        <b/>
        <sz val="11"/>
        <rFont val="Calibri"/>
        <family val="2"/>
        <charset val="186"/>
      </rPr>
      <t>29,07</t>
    </r>
    <r>
      <rPr>
        <sz val="11"/>
        <rFont val="Calibri"/>
        <family val="2"/>
        <charset val="186"/>
      </rPr>
      <t xml:space="preserve"> MWh, where 1 toe = 11,628 MWh  (conversion factor).  </t>
    </r>
    <r>
      <rPr>
        <strike/>
        <sz val="11"/>
        <rFont val="Calibri"/>
        <family val="2"/>
        <charset val="186"/>
      </rPr>
      <t>21534</t>
    </r>
    <r>
      <rPr>
        <sz val="11"/>
        <rFont val="Calibri"/>
        <family val="2"/>
        <charset val="186"/>
      </rPr>
      <t xml:space="preserve"> </t>
    </r>
    <r>
      <rPr>
        <b/>
        <sz val="11"/>
        <rFont val="Calibri"/>
        <family val="2"/>
        <charset val="186"/>
      </rPr>
      <t xml:space="preserve">10252 </t>
    </r>
    <r>
      <rPr>
        <sz val="11"/>
        <rFont val="Calibri"/>
        <family val="2"/>
        <charset val="186"/>
      </rPr>
      <t xml:space="preserve">households consume </t>
    </r>
    <r>
      <rPr>
        <strike/>
        <sz val="11"/>
        <rFont val="Calibri"/>
        <family val="2"/>
        <charset val="186"/>
      </rPr>
      <t>21534</t>
    </r>
    <r>
      <rPr>
        <sz val="11"/>
        <rFont val="Calibri"/>
        <family val="2"/>
        <charset val="186"/>
      </rPr>
      <t xml:space="preserve"> </t>
    </r>
    <r>
      <rPr>
        <b/>
        <sz val="11"/>
        <rFont val="Calibri"/>
        <family val="2"/>
        <charset val="186"/>
      </rPr>
      <t>10252</t>
    </r>
    <r>
      <rPr>
        <sz val="11"/>
        <rFont val="Calibri"/>
        <family val="2"/>
        <charset val="186"/>
      </rPr>
      <t>x</t>
    </r>
    <r>
      <rPr>
        <b/>
        <sz val="11"/>
        <rFont val="Calibri"/>
        <family val="2"/>
        <charset val="186"/>
      </rPr>
      <t>29,07</t>
    </r>
    <r>
      <rPr>
        <sz val="11"/>
        <rFont val="Calibri"/>
        <family val="2"/>
        <charset val="186"/>
      </rPr>
      <t xml:space="preserve"> </t>
    </r>
    <r>
      <rPr>
        <strike/>
        <sz val="11"/>
        <rFont val="Calibri"/>
        <family val="2"/>
        <charset val="186"/>
      </rPr>
      <t>66,28</t>
    </r>
    <r>
      <rPr>
        <sz val="11"/>
        <rFont val="Calibri"/>
        <family val="2"/>
        <charset val="186"/>
      </rPr>
      <t>=</t>
    </r>
    <r>
      <rPr>
        <b/>
        <strike/>
        <sz val="11"/>
        <rFont val="Calibri"/>
        <family val="2"/>
        <charset val="186"/>
      </rPr>
      <t>1 427 274</t>
    </r>
    <r>
      <rPr>
        <b/>
        <sz val="11"/>
        <rFont val="Calibri"/>
        <family val="2"/>
        <charset val="186"/>
      </rPr>
      <t xml:space="preserve"> 298 026 MWh/year</t>
    </r>
    <r>
      <rPr>
        <sz val="11"/>
        <rFont val="Calibri"/>
        <family val="2"/>
        <charset val="186"/>
      </rPr>
      <t xml:space="preserve"> </t>
    </r>
    <r>
      <rPr>
        <strike/>
        <sz val="11"/>
        <rFont val="Calibri"/>
        <family val="2"/>
        <charset val="186"/>
      </rPr>
      <t>primary</t>
    </r>
    <r>
      <rPr>
        <sz val="11"/>
        <rFont val="Calibri"/>
        <family val="2"/>
        <charset val="186"/>
      </rPr>
      <t xml:space="preserve"> </t>
    </r>
    <r>
      <rPr>
        <b/>
        <sz val="11"/>
        <rFont val="Calibri"/>
        <family val="2"/>
        <charset val="186"/>
      </rPr>
      <t>final</t>
    </r>
    <r>
      <rPr>
        <sz val="11"/>
        <rFont val="Calibri"/>
        <family val="2"/>
        <charset val="186"/>
      </rPr>
      <t xml:space="preserve"> energy. </t>
    </r>
    <r>
      <rPr>
        <u/>
        <sz val="11"/>
        <rFont val="Calibri"/>
        <family val="2"/>
        <charset val="186"/>
      </rPr>
      <t>Target 2029 calculation</t>
    </r>
    <r>
      <rPr>
        <sz val="11"/>
        <rFont val="Calibri"/>
        <family val="2"/>
        <charset val="186"/>
      </rPr>
      <t xml:space="preserve">: efficient household </t>
    </r>
    <r>
      <rPr>
        <b/>
        <sz val="11"/>
        <rFont val="Calibri"/>
        <family val="2"/>
        <charset val="186"/>
      </rPr>
      <t>wth heat pump</t>
    </r>
    <r>
      <rPr>
        <sz val="11"/>
        <rFont val="Calibri"/>
        <family val="2"/>
        <charset val="186"/>
      </rPr>
      <t xml:space="preserve"> consumes an average</t>
    </r>
    <r>
      <rPr>
        <b/>
        <sz val="11"/>
        <rFont val="Calibri"/>
        <family val="2"/>
        <charset val="186"/>
      </rPr>
      <t xml:space="preserve"> 0,45</t>
    </r>
    <r>
      <rPr>
        <sz val="11"/>
        <rFont val="Calibri"/>
        <family val="2"/>
        <charset val="186"/>
      </rPr>
      <t xml:space="preserve"> </t>
    </r>
    <r>
      <rPr>
        <strike/>
        <sz val="11"/>
        <rFont val="Calibri"/>
        <family val="2"/>
        <charset val="186"/>
      </rPr>
      <t>1,8</t>
    </r>
    <r>
      <rPr>
        <sz val="11"/>
        <rFont val="Calibri"/>
        <family val="2"/>
        <charset val="186"/>
      </rPr>
      <t xml:space="preserve"> toe of </t>
    </r>
    <r>
      <rPr>
        <strike/>
        <sz val="11"/>
        <rFont val="Calibri"/>
        <family val="2"/>
        <charset val="186"/>
      </rPr>
      <t>primary</t>
    </r>
    <r>
      <rPr>
        <sz val="11"/>
        <rFont val="Calibri"/>
        <family val="2"/>
        <charset val="186"/>
      </rPr>
      <t xml:space="preserve"> </t>
    </r>
    <r>
      <rPr>
        <b/>
        <sz val="11"/>
        <rFont val="Calibri"/>
        <family val="2"/>
        <charset val="186"/>
      </rPr>
      <t xml:space="preserve">final </t>
    </r>
    <r>
      <rPr>
        <sz val="11"/>
        <rFont val="Calibri"/>
        <family val="2"/>
        <charset val="186"/>
      </rPr>
      <t xml:space="preserve">energy or </t>
    </r>
    <r>
      <rPr>
        <strike/>
        <sz val="11"/>
        <rFont val="Calibri"/>
        <family val="2"/>
        <charset val="186"/>
      </rPr>
      <t>20,9</t>
    </r>
    <r>
      <rPr>
        <sz val="11"/>
        <rFont val="Calibri"/>
        <family val="2"/>
        <charset val="186"/>
      </rPr>
      <t xml:space="preserve"> </t>
    </r>
    <r>
      <rPr>
        <b/>
        <sz val="11"/>
        <rFont val="Calibri"/>
        <family val="2"/>
        <charset val="186"/>
      </rPr>
      <t>5,2</t>
    </r>
    <r>
      <rPr>
        <sz val="11"/>
        <rFont val="Calibri"/>
        <family val="2"/>
        <charset val="186"/>
      </rPr>
      <t xml:space="preserve"> MWh (</t>
    </r>
    <r>
      <rPr>
        <strike/>
        <sz val="11"/>
        <rFont val="Calibri"/>
        <family val="2"/>
        <charset val="186"/>
      </rPr>
      <t>1,8</t>
    </r>
    <r>
      <rPr>
        <b/>
        <sz val="11"/>
        <rFont val="Calibri"/>
        <family val="2"/>
        <charset val="186"/>
      </rPr>
      <t xml:space="preserve"> 0,45</t>
    </r>
    <r>
      <rPr>
        <sz val="11"/>
        <rFont val="Calibri"/>
        <family val="2"/>
        <charset val="186"/>
      </rPr>
      <t xml:space="preserve">x11,628= </t>
    </r>
    <r>
      <rPr>
        <b/>
        <sz val="11"/>
        <rFont val="Calibri"/>
        <family val="2"/>
        <charset val="186"/>
      </rPr>
      <t>5,2</t>
    </r>
    <r>
      <rPr>
        <sz val="11"/>
        <rFont val="Calibri"/>
        <family val="2"/>
        <charset val="186"/>
      </rPr>
      <t xml:space="preserve"> </t>
    </r>
    <r>
      <rPr>
        <strike/>
        <sz val="11"/>
        <rFont val="Calibri"/>
        <family val="2"/>
        <charset val="186"/>
      </rPr>
      <t>20,9</t>
    </r>
    <r>
      <rPr>
        <sz val="11"/>
        <rFont val="Calibri"/>
        <family val="2"/>
        <charset val="186"/>
      </rPr>
      <t xml:space="preserve"> MWh). </t>
    </r>
    <r>
      <rPr>
        <b/>
        <sz val="11"/>
        <rFont val="Calibri"/>
        <family val="2"/>
        <charset val="186"/>
      </rPr>
      <t>Efficient biomass boiler consumes until 2 times less energy (average 30 % less)  1,75 toe or 1,75x11,628=  20,349 MWh.</t>
    </r>
    <r>
      <rPr>
        <sz val="11"/>
        <rFont val="Calibri"/>
        <family val="2"/>
        <charset val="186"/>
      </rPr>
      <t xml:space="preserve">  </t>
    </r>
    <r>
      <rPr>
        <b/>
        <sz val="11"/>
        <rFont val="Calibri"/>
        <family val="2"/>
        <charset val="186"/>
      </rPr>
      <t>Assuming that the majority of households will install heat pumps (</t>
    </r>
    <r>
      <rPr>
        <b/>
        <strike/>
        <sz val="11"/>
        <rFont val="Calibri"/>
        <family val="2"/>
        <charset val="186"/>
      </rPr>
      <t>at least</t>
    </r>
    <r>
      <rPr>
        <b/>
        <sz val="11"/>
        <rFont val="Calibri"/>
        <family val="2"/>
        <charset val="186"/>
      </rPr>
      <t xml:space="preserve"> about 80 %) and only a smaller proportion will install representative biofuel boilers meeting efficiency and pollution criteria  (</t>
    </r>
    <r>
      <rPr>
        <b/>
        <strike/>
        <sz val="11"/>
        <rFont val="Calibri"/>
        <family val="2"/>
        <charset val="186"/>
      </rPr>
      <t xml:space="preserve">at least </t>
    </r>
    <r>
      <rPr>
        <b/>
        <sz val="11"/>
        <rFont val="Calibri"/>
        <family val="2"/>
        <charset val="186"/>
      </rPr>
      <t>about 20 % )</t>
    </r>
    <r>
      <rPr>
        <b/>
        <strike/>
        <sz val="11"/>
        <rFont val="Calibri"/>
        <family val="2"/>
        <charset val="186"/>
      </rPr>
      <t xml:space="preserve"> </t>
    </r>
    <r>
      <rPr>
        <strike/>
        <sz val="11"/>
        <rFont val="Calibri"/>
        <family val="2"/>
        <charset val="186"/>
      </rPr>
      <t>21534</t>
    </r>
    <r>
      <rPr>
        <b/>
        <sz val="11"/>
        <rFont val="Calibri"/>
        <family val="2"/>
        <charset val="186"/>
      </rPr>
      <t xml:space="preserve"> 10252</t>
    </r>
    <r>
      <rPr>
        <sz val="11"/>
        <rFont val="Calibri"/>
        <family val="2"/>
        <charset val="186"/>
      </rPr>
      <t xml:space="preserve"> efficient households consume </t>
    </r>
    <r>
      <rPr>
        <b/>
        <sz val="11"/>
        <rFont val="Calibri"/>
        <family val="2"/>
        <charset val="186"/>
      </rPr>
      <t>10252</t>
    </r>
    <r>
      <rPr>
        <sz val="11"/>
        <rFont val="Calibri"/>
        <family val="2"/>
        <charset val="186"/>
      </rPr>
      <t xml:space="preserve"> </t>
    </r>
    <r>
      <rPr>
        <strike/>
        <sz val="11"/>
        <rFont val="Calibri"/>
        <family val="2"/>
        <charset val="186"/>
      </rPr>
      <t>21534</t>
    </r>
    <r>
      <rPr>
        <sz val="11"/>
        <rFont val="Calibri"/>
        <family val="2"/>
        <charset val="186"/>
      </rPr>
      <t>x</t>
    </r>
    <r>
      <rPr>
        <strike/>
        <sz val="11"/>
        <rFont val="Calibri"/>
        <family val="2"/>
        <charset val="186"/>
      </rPr>
      <t>20,9</t>
    </r>
    <r>
      <rPr>
        <b/>
        <sz val="11"/>
        <rFont val="Calibri"/>
        <family val="2"/>
        <charset val="186"/>
      </rPr>
      <t xml:space="preserve"> 8,23 MWh </t>
    </r>
    <r>
      <rPr>
        <sz val="11"/>
        <rFont val="Calibri"/>
        <family val="2"/>
        <charset val="186"/>
      </rPr>
      <t>=</t>
    </r>
    <r>
      <rPr>
        <b/>
        <strike/>
        <sz val="11"/>
        <rFont val="Calibri"/>
        <family val="2"/>
        <charset val="186"/>
      </rPr>
      <t>450 061</t>
    </r>
    <r>
      <rPr>
        <b/>
        <sz val="11"/>
        <rFont val="Calibri"/>
        <family val="2"/>
        <charset val="186"/>
      </rPr>
      <t xml:space="preserve"> 84 373,96 MWh/year.  Where 8,23 MWh=((5,2MWh*80)+(20,349*20))/100,  the latest actual known distribution data between technologies was used for this calculation)</t>
    </r>
  </si>
  <si>
    <r>
      <t>Baseline:</t>
    </r>
    <r>
      <rPr>
        <sz val="11"/>
        <rFont val="Calibri"/>
        <family val="2"/>
        <charset val="186"/>
      </rPr>
      <t xml:space="preserve"> </t>
    </r>
    <r>
      <rPr>
        <strike/>
        <sz val="11"/>
        <rFont val="Calibri"/>
        <family val="2"/>
        <charset val="186"/>
      </rPr>
      <t>1427274</t>
    </r>
    <r>
      <rPr>
        <sz val="11"/>
        <rFont val="Calibri"/>
        <family val="2"/>
        <charset val="186"/>
      </rPr>
      <t xml:space="preserve">  </t>
    </r>
    <r>
      <rPr>
        <b/>
        <sz val="11"/>
        <rFont val="Calibri"/>
        <family val="2"/>
        <charset val="186"/>
      </rPr>
      <t>298 026</t>
    </r>
    <r>
      <rPr>
        <sz val="11"/>
        <rFont val="Calibri"/>
        <family val="2"/>
        <charset val="186"/>
      </rPr>
      <t xml:space="preserve"> MWh/</t>
    </r>
    <r>
      <rPr>
        <b/>
        <sz val="11"/>
        <rFont val="Calibri"/>
        <family val="2"/>
        <charset val="186"/>
      </rPr>
      <t>year</t>
    </r>
    <r>
      <rPr>
        <sz val="11"/>
        <rFont val="Calibri"/>
        <family val="2"/>
        <charset val="186"/>
      </rPr>
      <t xml:space="preserve"> </t>
    </r>
    <r>
      <rPr>
        <strike/>
        <sz val="11"/>
        <rFont val="Calibri"/>
        <family val="2"/>
        <charset val="186"/>
      </rPr>
      <t>metus</t>
    </r>
    <r>
      <rPr>
        <sz val="11"/>
        <rFont val="Calibri"/>
        <family val="2"/>
        <charset val="186"/>
      </rPr>
      <t xml:space="preserve"> x  0,04 tCO2/MWh  (</t>
    </r>
    <r>
      <rPr>
        <strike/>
        <sz val="11"/>
        <rFont val="Calibri"/>
        <family val="2"/>
        <charset val="186"/>
      </rPr>
      <t xml:space="preserve">pollution factor </t>
    </r>
    <r>
      <rPr>
        <b/>
        <sz val="11"/>
        <rFont val="Calibri"/>
        <family val="2"/>
        <charset val="186"/>
      </rPr>
      <t>CO2 emission factor of energy sources used for energy production</t>
    </r>
    <r>
      <rPr>
        <sz val="11"/>
        <rFont val="Calibri"/>
        <family val="2"/>
        <charset val="186"/>
      </rPr>
      <t xml:space="preserve"> for biofuel according to Technical Regulation of Construction, Ministry of Environment)  =</t>
    </r>
    <r>
      <rPr>
        <b/>
        <sz val="11"/>
        <rFont val="Calibri"/>
        <family val="2"/>
        <charset val="186"/>
      </rPr>
      <t xml:space="preserve"> </t>
    </r>
    <r>
      <rPr>
        <b/>
        <strike/>
        <sz val="11"/>
        <rFont val="Calibri"/>
        <family val="2"/>
        <charset val="186"/>
      </rPr>
      <t>57091</t>
    </r>
    <r>
      <rPr>
        <b/>
        <sz val="11"/>
        <rFont val="Calibri"/>
        <family val="2"/>
        <charset val="186"/>
      </rPr>
      <t xml:space="preserve">  11 921</t>
    </r>
    <r>
      <rPr>
        <sz val="11"/>
        <rFont val="Calibri"/>
        <family val="2"/>
        <charset val="186"/>
      </rPr>
      <t xml:space="preserve"> </t>
    </r>
    <r>
      <rPr>
        <b/>
        <sz val="11"/>
        <rFont val="Calibri"/>
        <family val="2"/>
        <charset val="186"/>
      </rPr>
      <t>tCO2 ekv./year</t>
    </r>
    <r>
      <rPr>
        <sz val="11"/>
        <rFont val="Calibri"/>
        <family val="2"/>
        <charset val="186"/>
      </rPr>
      <t>.</t>
    </r>
    <r>
      <rPr>
        <u/>
        <sz val="11"/>
        <rFont val="Calibri"/>
        <family val="2"/>
        <charset val="186"/>
      </rPr>
      <t xml:space="preserve"> Target 2029:</t>
    </r>
    <r>
      <rPr>
        <sz val="11"/>
        <rFont val="Calibri"/>
        <family val="2"/>
        <charset val="186"/>
      </rPr>
      <t xml:space="preserve">  </t>
    </r>
    <r>
      <rPr>
        <strike/>
        <sz val="11"/>
        <rFont val="Calibri"/>
        <family val="2"/>
        <charset val="186"/>
      </rPr>
      <t>out of 450061 MWh/year</t>
    </r>
    <r>
      <rPr>
        <sz val="11"/>
        <rFont val="Calibri"/>
        <family val="2"/>
        <charset val="186"/>
      </rPr>
      <t xml:space="preserve">  </t>
    </r>
    <r>
      <rPr>
        <b/>
        <sz val="11"/>
        <rFont val="Calibri"/>
        <family val="2"/>
        <charset val="186"/>
      </rPr>
      <t>at least</t>
    </r>
    <r>
      <rPr>
        <sz val="11"/>
        <rFont val="Calibri"/>
        <family val="2"/>
        <charset val="186"/>
      </rPr>
      <t xml:space="preserve"> </t>
    </r>
    <r>
      <rPr>
        <b/>
        <sz val="11"/>
        <rFont val="Calibri"/>
        <family val="2"/>
        <charset val="186"/>
      </rPr>
      <t xml:space="preserve">about </t>
    </r>
    <r>
      <rPr>
        <sz val="11"/>
        <rFont val="Calibri"/>
        <family val="2"/>
        <charset val="186"/>
      </rPr>
      <t xml:space="preserve">80% of energy </t>
    </r>
    <r>
      <rPr>
        <b/>
        <sz val="11"/>
        <rFont val="Calibri"/>
        <family val="2"/>
        <charset val="186"/>
      </rPr>
      <t>demand</t>
    </r>
    <r>
      <rPr>
        <sz val="11"/>
        <rFont val="Calibri"/>
        <family val="2"/>
        <charset val="186"/>
      </rPr>
      <t xml:space="preserve"> will </t>
    </r>
    <r>
      <rPr>
        <b/>
        <sz val="11"/>
        <rFont val="Calibri"/>
        <family val="2"/>
        <charset val="186"/>
      </rPr>
      <t xml:space="preserve">met </t>
    </r>
    <r>
      <rPr>
        <strike/>
        <sz val="11"/>
        <rFont val="Calibri"/>
        <family val="2"/>
        <charset val="186"/>
      </rPr>
      <t>be consumed</t>
    </r>
    <r>
      <rPr>
        <sz val="11"/>
        <rFont val="Calibri"/>
        <family val="2"/>
        <charset val="186"/>
      </rPr>
      <t xml:space="preserve"> by heat pumps, </t>
    </r>
    <r>
      <rPr>
        <b/>
        <sz val="11"/>
        <rFont val="Calibri"/>
        <family val="2"/>
        <charset val="186"/>
      </rPr>
      <t xml:space="preserve">about </t>
    </r>
    <r>
      <rPr>
        <sz val="11"/>
        <rFont val="Calibri"/>
        <family val="2"/>
        <charset val="186"/>
      </rPr>
      <t xml:space="preserve">20% - by biofuel boilers. </t>
    </r>
    <r>
      <rPr>
        <strike/>
        <sz val="11"/>
        <rFont val="Calibri"/>
        <family val="2"/>
        <charset val="186"/>
      </rPr>
      <t>75%</t>
    </r>
    <r>
      <rPr>
        <sz val="11"/>
        <rFont val="Calibri"/>
        <family val="2"/>
        <charset val="186"/>
      </rPr>
      <t xml:space="preserve"> </t>
    </r>
    <r>
      <rPr>
        <b/>
        <sz val="11"/>
        <rFont val="Calibri"/>
        <family val="2"/>
        <charset val="186"/>
      </rPr>
      <t>100%</t>
    </r>
    <r>
      <rPr>
        <sz val="11"/>
        <rFont val="Calibri"/>
        <family val="2"/>
        <charset val="186"/>
      </rPr>
      <t xml:space="preserve"> of heat energy produced by heat pumps is being considered as energy produced from RES, therefore pollution factor for this energy share is not applicable. For the rest of energy share - pollution factor will be </t>
    </r>
    <r>
      <rPr>
        <strike/>
        <sz val="11"/>
        <rFont val="Calibri"/>
        <family val="2"/>
        <charset val="186"/>
      </rPr>
      <t xml:space="preserve">0,42 </t>
    </r>
    <r>
      <rPr>
        <b/>
        <sz val="11"/>
        <rFont val="Calibri"/>
        <family val="2"/>
        <charset val="186"/>
      </rPr>
      <t>0,04</t>
    </r>
    <r>
      <rPr>
        <strike/>
        <sz val="11"/>
        <rFont val="Calibri"/>
        <family val="2"/>
        <charset val="186"/>
      </rPr>
      <t xml:space="preserve"> </t>
    </r>
    <r>
      <rPr>
        <sz val="11"/>
        <rFont val="Calibri"/>
        <family val="2"/>
        <charset val="186"/>
      </rPr>
      <t>tCO2/MWh.  (</t>
    </r>
    <r>
      <rPr>
        <strike/>
        <sz val="11"/>
        <rFont val="Calibri"/>
        <family val="2"/>
        <charset val="186"/>
      </rPr>
      <t>450061</t>
    </r>
    <r>
      <rPr>
        <sz val="11"/>
        <rFont val="Calibri"/>
        <family val="2"/>
        <charset val="186"/>
      </rPr>
      <t xml:space="preserve"> </t>
    </r>
    <r>
      <rPr>
        <b/>
        <sz val="11"/>
        <rFont val="Calibri"/>
        <family val="2"/>
        <charset val="186"/>
      </rPr>
      <t>84373,96</t>
    </r>
    <r>
      <rPr>
        <sz val="11"/>
        <rFont val="Calibri"/>
        <family val="2"/>
        <charset val="186"/>
      </rPr>
      <t xml:space="preserve"> MWh/</t>
    </r>
    <r>
      <rPr>
        <b/>
        <sz val="11"/>
        <rFont val="Calibri"/>
        <family val="2"/>
        <charset val="186"/>
      </rPr>
      <t>year</t>
    </r>
    <r>
      <rPr>
        <sz val="11"/>
        <rFont val="Calibri"/>
        <family val="2"/>
        <charset val="186"/>
      </rPr>
      <t xml:space="preserve"> </t>
    </r>
    <r>
      <rPr>
        <strike/>
        <sz val="11"/>
        <rFont val="Calibri"/>
        <family val="2"/>
        <charset val="186"/>
      </rPr>
      <t>metu</t>
    </r>
    <r>
      <rPr>
        <sz val="11"/>
        <rFont val="Calibri"/>
        <family val="2"/>
        <charset val="186"/>
      </rPr>
      <t>s * 0,2*0,04 tCO2/MWh)</t>
    </r>
    <r>
      <rPr>
        <strike/>
        <sz val="11"/>
        <rFont val="Calibri"/>
        <family val="2"/>
        <charset val="186"/>
      </rPr>
      <t xml:space="preserve">+( 450061 MWh/metus*0,8*0,25* 0,42 tCO2/MWh) </t>
    </r>
    <r>
      <rPr>
        <sz val="11"/>
        <rFont val="Calibri"/>
        <family val="2"/>
        <charset val="186"/>
      </rPr>
      <t xml:space="preserve">= </t>
    </r>
    <r>
      <rPr>
        <b/>
        <strike/>
        <sz val="11"/>
        <rFont val="Calibri"/>
        <family val="2"/>
        <charset val="186"/>
      </rPr>
      <t xml:space="preserve">41405 </t>
    </r>
    <r>
      <rPr>
        <b/>
        <sz val="11"/>
        <rFont val="Calibri"/>
        <family val="2"/>
        <charset val="186"/>
      </rPr>
      <t>674,99 tCO2 ekv./year</t>
    </r>
  </si>
  <si>
    <r>
      <rPr>
        <sz val="11"/>
        <rFont val="Calibri"/>
        <family val="2"/>
        <charset val="186"/>
        <scheme val="minor"/>
      </rPr>
      <t xml:space="preserve">Indicators' calculation based on funding model and intensity </t>
    </r>
    <r>
      <rPr>
        <strike/>
        <sz val="11"/>
        <rFont val="Calibri"/>
        <family val="2"/>
        <charset val="186"/>
        <scheme val="minor"/>
      </rPr>
      <t xml:space="preserve">(approx. 70 percent) </t>
    </r>
    <r>
      <rPr>
        <sz val="11"/>
        <rFont val="Calibri"/>
        <family val="2"/>
        <charset val="186"/>
        <scheme val="minor"/>
      </rPr>
      <t xml:space="preserve">applied in </t>
    </r>
    <r>
      <rPr>
        <strike/>
        <sz val="11"/>
        <rFont val="Calibri"/>
        <family val="2"/>
        <charset val="186"/>
        <scheme val="minor"/>
      </rPr>
      <t>2014-2020 OP (EU amount- 31.000.000 Eur +  co-financing rate (Eur.) - 13.285.714. Total - 44.285.714).</t>
    </r>
    <r>
      <rPr>
        <b/>
        <sz val="11"/>
        <rFont val="Calibri"/>
        <family val="2"/>
        <charset val="186"/>
        <scheme val="minor"/>
      </rPr>
      <t xml:space="preserve">:
1)	6th March 2023 Energy efficiency ex ante assessment report https://esinvesticijos.lt/dokumentai/energijos-efektyvumo-isankstinio-ex-ante-vertinimo-ataskaita . According to ex ante70 percent is grant (43 400 000,00 eur of them 21 700 000,00 ERDF and 21 700 000,00 CF) ant 30 percent financial instrument (18 600 000,00 euro, of them  Loan 14 880 000,00 Eur and grant 3 720 000,00 Eur)
2)	According to REGULATION (EU) 2021/1060 OF THE EUROPEAN PARLIAMENT AND OF THE COUNCIL  of 24 June 2021 (Current consolidated version: 01/03/2023) Article 68 Specific eligibility rules for financial instruments” (4), the amount of management costs is up to 7 percent of the total amount of programme contributions disbursed to final recipients in loans.
Management cost 7 percent of Financial instrument is: 18 600 000,00 x 7 percent = 1.302.000,00 (of them 651 000 eur (CF) ir 651 000 (ERDF). 
31.000.000 Eur + 0 co-financing rate (Eur.) -  651 000,00 Eur (7 % management cost)=  TOTAL 30 349 000,00 Eur
</t>
    </r>
    <r>
      <rPr>
        <sz val="11"/>
        <rFont val="Calibri"/>
        <family val="2"/>
        <charset val="186"/>
        <scheme val="minor"/>
      </rPr>
      <t xml:space="preserve">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t>
    </r>
    <r>
      <rPr>
        <strike/>
        <sz val="11"/>
        <rFont val="Calibri"/>
        <family val="2"/>
        <charset val="186"/>
        <scheme val="minor"/>
      </rPr>
      <t>44.285.714</t>
    </r>
    <r>
      <rPr>
        <sz val="11"/>
        <rFont val="Calibri"/>
        <family val="2"/>
        <charset val="186"/>
        <scheme val="minor"/>
      </rPr>
      <t xml:space="preserve"> </t>
    </r>
    <r>
      <rPr>
        <b/>
        <sz val="11"/>
        <rFont val="Calibri"/>
        <family val="2"/>
        <charset val="186"/>
        <scheme val="minor"/>
      </rPr>
      <t>30 349 000,00</t>
    </r>
    <r>
      <rPr>
        <sz val="11"/>
        <rFont val="Calibri"/>
        <family val="2"/>
        <charset val="186"/>
        <scheme val="minor"/>
      </rPr>
      <t xml:space="preserve"> eur eur could be renovated </t>
    </r>
    <r>
      <rPr>
        <strike/>
        <sz val="11"/>
        <rFont val="Calibri"/>
        <family val="2"/>
        <charset val="186"/>
        <scheme val="minor"/>
      </rPr>
      <t xml:space="preserve">44.285.714 </t>
    </r>
    <r>
      <rPr>
        <b/>
        <sz val="11"/>
        <rFont val="Calibri"/>
        <family val="2"/>
        <charset val="186"/>
        <scheme val="minor"/>
      </rPr>
      <t>30 349 000,00 eur</t>
    </r>
    <r>
      <rPr>
        <sz val="11"/>
        <rFont val="Calibri"/>
        <family val="2"/>
        <charset val="186"/>
        <scheme val="minor"/>
      </rPr>
      <t xml:space="preserve"> / 345 = ~ </t>
    </r>
    <r>
      <rPr>
        <strike/>
        <sz val="11"/>
        <rFont val="Calibri"/>
        <family val="2"/>
        <charset val="186"/>
        <scheme val="minor"/>
      </rPr>
      <t xml:space="preserve">128364 </t>
    </r>
    <r>
      <rPr>
        <b/>
        <sz val="11"/>
        <rFont val="Calibri"/>
        <family val="2"/>
        <charset val="186"/>
        <scheme val="minor"/>
      </rPr>
      <t>87970</t>
    </r>
    <r>
      <rPr>
        <sz val="11"/>
        <rFont val="Calibri"/>
        <family val="2"/>
        <charset val="186"/>
        <scheme val="minor"/>
      </rPr>
      <t xml:space="preserve"> m² floor area of public buildings. The intermediate value for 2024 is set to 0, as it is assumed that renovation projects will start in 2023 and will not be completed in 2024 (duration of renovation projects is approx. 2 years).</t>
    </r>
  </si>
  <si>
    <r>
      <rPr>
        <sz val="11"/>
        <color rgb="FF000000"/>
        <rFont val="Calibri"/>
        <family val="2"/>
        <charset val="186"/>
        <scheme val="minor"/>
      </rPr>
      <t xml:space="preserve">Indicators' calculation based on funding model and intensity </t>
    </r>
    <r>
      <rPr>
        <strike/>
        <sz val="11"/>
        <color rgb="FF000000"/>
        <rFont val="Calibri"/>
        <family val="2"/>
        <charset val="186"/>
        <scheme val="minor"/>
      </rPr>
      <t xml:space="preserve">(approx. 70 percent) </t>
    </r>
    <r>
      <rPr>
        <sz val="11"/>
        <color rgb="FF000000"/>
        <rFont val="Calibri"/>
        <family val="2"/>
        <charset val="186"/>
        <scheme val="minor"/>
      </rPr>
      <t xml:space="preserve">applied in </t>
    </r>
    <r>
      <rPr>
        <strike/>
        <sz val="11"/>
        <color rgb="FF000000"/>
        <rFont val="Calibri"/>
        <family val="2"/>
        <charset val="186"/>
        <scheme val="minor"/>
      </rPr>
      <t>2014-2020 OP (EU amount- 31.000.000 Eur +  co-financing rate (Eur.) - 13.285.714. Total - 44.285.714).</t>
    </r>
    <r>
      <rPr>
        <b/>
        <sz val="11"/>
        <color rgb="FF000000"/>
        <rFont val="Calibri"/>
        <family val="2"/>
        <charset val="186"/>
        <scheme val="minor"/>
      </rPr>
      <t xml:space="preserve">:
1)	6th March 2023 Energy efficiency ex ante assessment report https://esinvesticijos.lt/dokumentai/energijos-efektyvumo-isankstinio-ex-ante-vertinimo-ataskaita . According to ex ante70 percent is grant (43 400 000,00 eur of them 21 700 000,00 ERDF and 21 700 000,00 CF) ant 30 percent financial instrument (18 600 000,00 euro, of them  Loan 14 880 000,00 Eur and grant 3 720 000,00 Eur)
2)	According to REGULATION (EU) 2021/1060 OF THE EUROPEAN PARLIAMENT AND OF THE COUNCIL  of 24 June 2021 (Current consolidated version: 01/03/2023) Article 68 Specific eligibility rules for financial instruments” (4), the amount of management costs is up to 7 percent of the total amount of programme contributions disbursed to final recipients in loans.
Management cost 7 percent of Financial instrument is: 18 600 000,00 x 7 percent = 1.302.000,00 (of them 651 000 eur (CF) ir 651 000 (ERDF). 
31.000.000 Eur + 0 co-financing rate (Eur.) -  651 000,00 Eur (7 % management cost)=  TOTAL 30 349 000,00 Eur
</t>
    </r>
    <r>
      <rPr>
        <sz val="11"/>
        <color rgb="FF000000"/>
        <rFont val="Calibri"/>
        <family val="2"/>
        <charset val="186"/>
        <scheme val="minor"/>
      </rPr>
      <t xml:space="preserve">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t>
    </r>
    <r>
      <rPr>
        <strike/>
        <sz val="11"/>
        <color rgb="FF000000"/>
        <rFont val="Calibri"/>
        <family val="2"/>
        <charset val="186"/>
        <scheme val="minor"/>
      </rPr>
      <t>44.285.714</t>
    </r>
    <r>
      <rPr>
        <sz val="11"/>
        <color rgb="FF000000"/>
        <rFont val="Calibri"/>
        <family val="2"/>
        <charset val="186"/>
        <scheme val="minor"/>
      </rPr>
      <t xml:space="preserve"> </t>
    </r>
    <r>
      <rPr>
        <b/>
        <sz val="11"/>
        <color rgb="FF000000"/>
        <rFont val="Calibri"/>
        <family val="2"/>
        <charset val="186"/>
        <scheme val="minor"/>
      </rPr>
      <t>30 349 000,00</t>
    </r>
    <r>
      <rPr>
        <sz val="11"/>
        <color rgb="FF000000"/>
        <rFont val="Calibri"/>
        <family val="2"/>
        <charset val="186"/>
        <scheme val="minor"/>
      </rPr>
      <t xml:space="preserve"> eur eur could be renovated </t>
    </r>
    <r>
      <rPr>
        <strike/>
        <sz val="11"/>
        <color rgb="FF000000"/>
        <rFont val="Calibri"/>
        <family val="2"/>
        <charset val="186"/>
        <scheme val="minor"/>
      </rPr>
      <t xml:space="preserve">44.285.714 </t>
    </r>
    <r>
      <rPr>
        <b/>
        <sz val="11"/>
        <color rgb="FF000000"/>
        <rFont val="Calibri"/>
        <family val="2"/>
        <charset val="186"/>
        <scheme val="minor"/>
      </rPr>
      <t>30 349 000,00 eur</t>
    </r>
    <r>
      <rPr>
        <sz val="11"/>
        <color rgb="FF000000"/>
        <rFont val="Calibri"/>
        <family val="2"/>
        <charset val="186"/>
        <scheme val="minor"/>
      </rPr>
      <t xml:space="preserve"> / 345 = ~ </t>
    </r>
    <r>
      <rPr>
        <strike/>
        <sz val="11"/>
        <color rgb="FF000000"/>
        <rFont val="Calibri"/>
        <family val="2"/>
        <charset val="186"/>
        <scheme val="minor"/>
      </rPr>
      <t xml:space="preserve">128364 </t>
    </r>
    <r>
      <rPr>
        <b/>
        <sz val="11"/>
        <color rgb="FF000000"/>
        <rFont val="Calibri"/>
        <family val="2"/>
        <charset val="186"/>
        <scheme val="minor"/>
      </rPr>
      <t>87970</t>
    </r>
    <r>
      <rPr>
        <sz val="11"/>
        <color rgb="FF000000"/>
        <rFont val="Calibri"/>
        <family val="2"/>
        <charset val="186"/>
        <scheme val="minor"/>
      </rPr>
      <t xml:space="preserve"> m² floor area of public buildings. The intermediate value for 2024 is set to 0, as it is assumed that renovation projects will start in 2023 and will not be completed in 2024 (duration of renovation projects is approx. 2 years).</t>
    </r>
  </si>
  <si>
    <r>
      <t xml:space="preserve">The milestone 2024 and 2029 target for </t>
    </r>
    <r>
      <rPr>
        <strike/>
        <sz val="11"/>
        <rFont val="Calibri"/>
        <family val="2"/>
        <charset val="186"/>
        <scheme val="minor"/>
      </rPr>
      <t>RCO01 equals the milestone 2024 and 2029 target for RCO03.</t>
    </r>
    <r>
      <rPr>
        <sz val="11"/>
        <rFont val="Calibri"/>
        <family val="2"/>
        <scheme val="minor"/>
      </rPr>
      <t xml:space="preserve"> </t>
    </r>
    <r>
      <rPr>
        <b/>
        <sz val="11"/>
        <rFont val="Calibri"/>
        <family val="2"/>
        <charset val="186"/>
        <scheme val="minor"/>
      </rPr>
      <t xml:space="preserve">"Enterprises supported (of which: micro, small, medium, large)" equals the milestone 2024 and 2029 target for "Enterprises supported by financial instruments". </t>
    </r>
  </si>
  <si>
    <t>Justification for the proposed change 2024-04</t>
  </si>
  <si>
    <r>
      <t xml:space="preserve">It is assumed that </t>
    </r>
    <r>
      <rPr>
        <strike/>
        <sz val="11"/>
        <rFont val="Calibri"/>
        <family val="2"/>
        <scheme val="minor"/>
      </rPr>
      <t>all</t>
    </r>
    <r>
      <rPr>
        <sz val="11"/>
        <rFont val="Calibri"/>
        <family val="2"/>
        <scheme val="minor"/>
      </rPr>
      <t xml:space="preserve"> </t>
    </r>
    <r>
      <rPr>
        <b/>
        <sz val="11"/>
        <rFont val="Calibri"/>
        <family val="2"/>
        <scheme val="minor"/>
      </rPr>
      <t>the majority of</t>
    </r>
    <r>
      <rPr>
        <sz val="11"/>
        <rFont val="Calibri"/>
        <family val="2"/>
        <scheme val="minor"/>
      </rPr>
      <t xml:space="preserve"> heat a</t>
    </r>
    <r>
      <rPr>
        <strike/>
        <sz val="11"/>
        <rFont val="Calibri"/>
        <family val="2"/>
        <scheme val="minor"/>
      </rPr>
      <t xml:space="preserve">nd hot water </t>
    </r>
    <r>
      <rPr>
        <sz val="11"/>
        <rFont val="Calibri"/>
        <family val="2"/>
        <scheme val="minor"/>
      </rPr>
      <t xml:space="preserve">suppliers have to modernise  heat </t>
    </r>
    <r>
      <rPr>
        <strike/>
        <sz val="11"/>
        <rFont val="Calibri"/>
        <family val="2"/>
        <scheme val="minor"/>
      </rPr>
      <t>and hot</t>
    </r>
    <r>
      <rPr>
        <sz val="11"/>
        <rFont val="Calibri"/>
        <family val="2"/>
        <scheme val="minor"/>
      </rPr>
      <t xml:space="preserve"> meters. According to information provided by Lithuanian District Heating Association about 10 percent of enterprises already modernised mentioned meters. </t>
    </r>
    <r>
      <rPr>
        <strike/>
        <sz val="11"/>
        <rFont val="Calibri"/>
        <family val="2"/>
        <scheme val="minor"/>
      </rPr>
      <t>Therefore,</t>
    </r>
    <r>
      <rPr>
        <sz val="11"/>
        <rFont val="Calibri"/>
        <family val="2"/>
        <scheme val="minor"/>
      </rPr>
      <t xml:space="preserve"> </t>
    </r>
    <r>
      <rPr>
        <b/>
        <sz val="11"/>
        <rFont val="Calibri"/>
        <family val="2"/>
        <scheme val="minor"/>
      </rPr>
      <t>I</t>
    </r>
    <r>
      <rPr>
        <strike/>
        <sz val="11"/>
        <rFont val="Calibri"/>
        <family val="2"/>
        <scheme val="minor"/>
      </rPr>
      <t>i</t>
    </r>
    <r>
      <rPr>
        <sz val="11"/>
        <rFont val="Calibri"/>
        <family val="2"/>
        <scheme val="minor"/>
      </rPr>
      <t xml:space="preserve">t is assumed that about </t>
    </r>
    <r>
      <rPr>
        <strike/>
        <sz val="11"/>
        <rFont val="Calibri"/>
        <family val="2"/>
        <scheme val="minor"/>
      </rPr>
      <t>40</t>
    </r>
    <r>
      <rPr>
        <sz val="11"/>
        <rFont val="Calibri"/>
        <family val="2"/>
        <scheme val="minor"/>
      </rPr>
      <t xml:space="preserve">  </t>
    </r>
    <r>
      <rPr>
        <b/>
        <sz val="11"/>
        <rFont val="Calibri"/>
        <family val="2"/>
        <scheme val="minor"/>
      </rPr>
      <t>27</t>
    </r>
    <r>
      <rPr>
        <sz val="11"/>
        <rFont val="Calibri"/>
        <family val="2"/>
        <scheme val="minor"/>
      </rPr>
      <t xml:space="preserve"> enterprises </t>
    </r>
    <r>
      <rPr>
        <b/>
        <sz val="11"/>
        <rFont val="Calibri"/>
        <family val="2"/>
        <scheme val="minor"/>
      </rPr>
      <t>of the Mid-West Lithuania</t>
    </r>
    <r>
      <rPr>
        <sz val="11"/>
        <rFont val="Calibri"/>
        <family val="2"/>
        <scheme val="minor"/>
      </rPr>
      <t xml:space="preserve"> would apply for funding and be supported by financial instruments by 2029. </t>
    </r>
    <r>
      <rPr>
        <strike/>
        <sz val="11"/>
        <rFont val="Calibri"/>
        <family val="2"/>
        <scheme val="minor"/>
      </rPr>
      <t>Out of them about 2/3 enterprises are located in Mid West Lithuania.</t>
    </r>
    <r>
      <rPr>
        <sz val="11"/>
        <rFont val="Calibri"/>
        <family val="2"/>
        <scheme val="minor"/>
      </rPr>
      <t xml:space="preserve"> Since implementation of the action will start in 202</t>
    </r>
    <r>
      <rPr>
        <strike/>
        <sz val="11"/>
        <rFont val="Calibri"/>
        <family val="2"/>
        <scheme val="minor"/>
      </rPr>
      <t>3</t>
    </r>
    <r>
      <rPr>
        <b/>
        <sz val="11"/>
        <rFont val="Calibri"/>
        <family val="2"/>
        <scheme val="minor"/>
      </rPr>
      <t>4</t>
    </r>
    <r>
      <rPr>
        <sz val="11"/>
        <rFont val="Calibri"/>
        <family val="2"/>
        <scheme val="minor"/>
      </rPr>
      <t xml:space="preserve"> </t>
    </r>
    <r>
      <rPr>
        <strike/>
        <sz val="11"/>
        <rFont val="Calibri"/>
        <family val="2"/>
        <scheme val="minor"/>
      </rPr>
      <t>and taking into  account that not all the heat and hot water suppliers will have projects ready to submit in 2023</t>
    </r>
    <r>
      <rPr>
        <sz val="11"/>
        <rFont val="Calibri"/>
        <family val="2"/>
        <scheme val="minor"/>
      </rPr>
      <t xml:space="preserve">, we assume that about 10 percent of allocation will be invested and accordingly 10 percent of enterprises be supported up to the end of 2024: </t>
    </r>
    <r>
      <rPr>
        <strike/>
        <sz val="11"/>
        <rFont val="Calibri"/>
        <family val="2"/>
        <scheme val="minor"/>
      </rPr>
      <t xml:space="preserve">(40 *2/3)*0,1 </t>
    </r>
    <r>
      <rPr>
        <b/>
        <sz val="11"/>
        <rFont val="Calibri"/>
        <family val="2"/>
        <charset val="186"/>
        <scheme val="minor"/>
      </rPr>
      <t>27/10</t>
    </r>
    <r>
      <rPr>
        <sz val="11"/>
        <rFont val="Calibri"/>
        <family val="2"/>
        <scheme val="minor"/>
      </rPr>
      <t>=</t>
    </r>
    <r>
      <rPr>
        <sz val="11"/>
        <rFont val="Calibri"/>
        <family val="2"/>
      </rPr>
      <t>~</t>
    </r>
    <r>
      <rPr>
        <sz val="11"/>
        <rFont val="Calibri"/>
        <family val="2"/>
        <scheme val="minor"/>
      </rPr>
      <t>3 .</t>
    </r>
  </si>
  <si>
    <r>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t>
    </r>
    <r>
      <rPr>
        <sz val="11"/>
        <rFont val="Calibri"/>
        <family val="2"/>
        <charset val="186"/>
        <scheme val="minor"/>
      </rPr>
      <t xml:space="preserve"> 2021-2027:</t>
    </r>
    <r>
      <rPr>
        <b/>
        <sz val="11"/>
        <rFont val="Calibri"/>
        <family val="2"/>
        <charset val="186"/>
        <scheme val="minor"/>
      </rPr>
      <t xml:space="preserve">  </t>
    </r>
    <r>
      <rPr>
        <strike/>
        <sz val="11"/>
        <rFont val="Calibri"/>
        <family val="2"/>
        <charset val="186"/>
        <scheme val="minor"/>
      </rPr>
      <t>29% * 268 = 78</t>
    </r>
    <r>
      <rPr>
        <b/>
        <sz val="11"/>
        <rFont val="Calibri"/>
        <family val="2"/>
        <charset val="186"/>
        <scheme val="minor"/>
      </rPr>
      <t xml:space="preserve"> 29% * 215 = 62</t>
    </r>
    <r>
      <rPr>
        <sz val="11"/>
        <rFont val="Calibri"/>
        <family val="2"/>
        <charset val="186"/>
        <scheme val="minor"/>
      </rPr>
      <t xml:space="preserve"> companies.</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</si>
  <si>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t>
    </r>
    <r>
      <rPr>
        <strike/>
        <sz val="11"/>
        <rFont val="Calibri"/>
        <family val="2"/>
        <charset val="186"/>
        <scheme val="minor"/>
      </rPr>
      <t>100.814.160,00 Eur (60.488.496,00*100/60</t>
    </r>
    <r>
      <rPr>
        <sz val="11"/>
        <rFont val="Calibri"/>
        <family val="2"/>
        <scheme val="minor"/>
      </rPr>
      <t xml:space="preserve">) </t>
    </r>
    <r>
      <rPr>
        <b/>
        <sz val="11"/>
        <rFont val="Calibri"/>
        <family val="2"/>
        <scheme val="minor"/>
      </rPr>
      <t>81.032.730,00 Eur (48.619.638,00*100/60)</t>
    </r>
    <r>
      <rPr>
        <sz val="11"/>
        <rFont val="Calibri"/>
        <family val="2"/>
        <scheme val="minor"/>
      </rPr>
      <t>.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t>
    </r>
    <r>
      <rPr>
        <b/>
        <sz val="11"/>
        <rFont val="Calibri"/>
        <family val="2"/>
        <scheme val="minor"/>
      </rPr>
      <t xml:space="preserve"> </t>
    </r>
    <r>
      <rPr>
        <strike/>
        <sz val="11"/>
        <rFont val="Calibri"/>
        <family val="2"/>
        <charset val="186"/>
        <scheme val="minor"/>
      </rPr>
      <t>(100.814.160,00/319.819,18)*0,85=268</t>
    </r>
    <r>
      <rPr>
        <b/>
        <sz val="11"/>
        <rFont val="Calibri"/>
        <family val="2"/>
        <scheme val="minor"/>
      </rPr>
      <t xml:space="preserve"> (81.032.730,00/319.819,18)*0,85=215</t>
    </r>
    <r>
      <rPr>
        <sz val="11"/>
        <rFont val="Calibri"/>
        <family val="2"/>
        <scheme val="minor"/>
      </rPr>
      <t xml:space="preserve"> enterprises. As regards milestines for 2024, it is assumed thet the progress of the action, according to the forecast made in 2022 March-April (data from planned calls for proposals and payments), would amount to 29% of the final targets set based on the allocation for 2021-2027:  </t>
    </r>
    <r>
      <rPr>
        <strike/>
        <sz val="11"/>
        <rFont val="Calibri"/>
        <family val="2"/>
        <charset val="186"/>
        <scheme val="minor"/>
      </rPr>
      <t>29%*268=78</t>
    </r>
    <r>
      <rPr>
        <sz val="11"/>
        <rFont val="Calibri"/>
        <family val="2"/>
        <scheme val="minor"/>
      </rPr>
      <t xml:space="preserve"> </t>
    </r>
    <r>
      <rPr>
        <b/>
        <sz val="11"/>
        <rFont val="Calibri"/>
        <family val="2"/>
        <scheme val="minor"/>
      </rPr>
      <t>29%*215=62 companies</t>
    </r>
    <r>
      <rPr>
        <sz val="11"/>
        <rFont val="Calibri"/>
        <family val="2"/>
        <scheme val="minor"/>
      </rPr>
      <t xml:space="preserve">.
</t>
    </r>
  </si>
  <si>
    <r>
      <t xml:space="preserve">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t>
    </r>
    <r>
      <rPr>
        <strike/>
        <sz val="11"/>
        <rFont val="Calibri"/>
        <family val="2"/>
        <charset val="186"/>
        <scheme val="minor"/>
      </rPr>
      <t>100.814.160,00 Eur</t>
    </r>
    <r>
      <rPr>
        <sz val="11"/>
        <rFont val="Calibri"/>
        <family val="2"/>
        <charset val="186"/>
        <scheme val="minor"/>
      </rPr>
      <t xml:space="preserve"> </t>
    </r>
    <r>
      <rPr>
        <b/>
        <sz val="11"/>
        <rFont val="Calibri"/>
        <family val="2"/>
        <charset val="186"/>
        <scheme val="minor"/>
      </rPr>
      <t>81.032.730,00 Eur</t>
    </r>
    <r>
      <rPr>
        <sz val="11"/>
        <rFont val="Calibri"/>
        <family val="2"/>
        <charset val="186"/>
        <scheme val="minor"/>
      </rPr>
      <t xml:space="preserve">. It is assumed, that while investing </t>
    </r>
    <r>
      <rPr>
        <strike/>
        <sz val="11"/>
        <rFont val="Calibri"/>
        <family val="2"/>
        <charset val="186"/>
        <scheme val="minor"/>
      </rPr>
      <t>100.814.160,00 Eur</t>
    </r>
    <r>
      <rPr>
        <b/>
        <sz val="11"/>
        <rFont val="Calibri"/>
        <family val="2"/>
        <charset val="186"/>
        <scheme val="minor"/>
      </rPr>
      <t xml:space="preserve"> 81.032.730,00 Eur</t>
    </r>
    <r>
      <rPr>
        <sz val="11"/>
        <rFont val="Calibri"/>
        <family val="2"/>
        <charset val="186"/>
        <scheme val="minor"/>
      </rPr>
      <t>, the total amount of the energy that could be saved is calculated as follows   ((</t>
    </r>
    <r>
      <rPr>
        <strike/>
        <sz val="11"/>
        <rFont val="Calibri"/>
        <family val="2"/>
        <charset val="186"/>
        <scheme val="minor"/>
      </rPr>
      <t>100.814.160,00 Eur</t>
    </r>
    <r>
      <rPr>
        <sz val="11"/>
        <rFont val="Calibri"/>
        <family val="2"/>
        <charset val="186"/>
        <scheme val="minor"/>
      </rPr>
      <t xml:space="preserve"> </t>
    </r>
    <r>
      <rPr>
        <b/>
        <sz val="11"/>
        <rFont val="Calibri"/>
        <family val="2"/>
        <charset val="186"/>
        <scheme val="minor"/>
      </rPr>
      <t>81.032.730,00 Eur</t>
    </r>
    <r>
      <rPr>
        <sz val="11"/>
        <rFont val="Calibri"/>
        <family val="2"/>
        <charset val="186"/>
        <scheme val="minor"/>
      </rPr>
      <t xml:space="preserve">*1kWh)/((0,3+0,6) Eur/2))/1000kWh= </t>
    </r>
    <r>
      <rPr>
        <strike/>
        <sz val="11"/>
        <rFont val="Calibri"/>
        <family val="2"/>
        <charset val="186"/>
        <scheme val="minor"/>
      </rPr>
      <t>224.031,47</t>
    </r>
    <r>
      <rPr>
        <sz val="11"/>
        <rFont val="Calibri"/>
        <family val="2"/>
        <charset val="186"/>
        <scheme val="minor"/>
      </rPr>
      <t xml:space="preserve"> </t>
    </r>
    <r>
      <rPr>
        <b/>
        <sz val="11"/>
        <rFont val="Calibri"/>
        <family val="2"/>
        <charset val="186"/>
        <scheme val="minor"/>
      </rPr>
      <t>180.072,73</t>
    </r>
    <r>
      <rPr>
        <sz val="11"/>
        <rFont val="Calibri"/>
        <family val="2"/>
        <charset val="186"/>
        <scheme val="minor"/>
      </rPr>
      <t xml:space="preserve">MWh.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t>
    </r>
    <r>
      <rPr>
        <strike/>
        <sz val="11"/>
        <rFont val="Calibri"/>
        <family val="2"/>
        <charset val="186"/>
        <scheme val="minor"/>
      </rPr>
      <t>224.031,47MWh*100/22=1.018.325 MWh/year</t>
    </r>
    <r>
      <rPr>
        <sz val="11"/>
        <rFont val="Calibri"/>
        <family val="2"/>
        <charset val="186"/>
        <scheme val="minor"/>
      </rPr>
      <t xml:space="preserve"> </t>
    </r>
    <r>
      <rPr>
        <b/>
        <sz val="11"/>
        <rFont val="Calibri"/>
        <family val="2"/>
        <charset val="186"/>
        <scheme val="minor"/>
      </rPr>
      <t>180.072,73 MWh*100/22=818.512 MWh/year</t>
    </r>
    <r>
      <rPr>
        <sz val="11"/>
        <rFont val="Calibri"/>
        <family val="2"/>
        <charset val="186"/>
        <scheme val="minor"/>
      </rPr>
      <t xml:space="preserve">, and the final target 2029 for RCR26 is </t>
    </r>
    <r>
      <rPr>
        <strike/>
        <sz val="11"/>
        <rFont val="Calibri"/>
        <family val="2"/>
        <charset val="186"/>
        <scheme val="minor"/>
      </rPr>
      <t>1.018.325,86-224.031,47=794.293  MWh/year</t>
    </r>
    <r>
      <rPr>
        <sz val="11"/>
        <rFont val="Calibri"/>
        <family val="2"/>
        <charset val="186"/>
        <scheme val="minor"/>
      </rPr>
      <t xml:space="preserve"> </t>
    </r>
    <r>
      <rPr>
        <b/>
        <sz val="11"/>
        <rFont val="Calibri"/>
        <family val="2"/>
        <charset val="186"/>
        <scheme val="minor"/>
      </rPr>
      <t>818.512,41-180.072,73=638.440 MWh/year</t>
    </r>
    <r>
      <rPr>
        <sz val="11"/>
        <rFont val="Calibri"/>
        <family val="2"/>
        <charset val="186"/>
        <scheme val="minor"/>
      </rPr>
      <t>.</t>
    </r>
  </si>
  <si>
    <r>
      <t xml:space="preserve">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t>
    </r>
    <r>
      <rPr>
        <strike/>
        <sz val="11"/>
        <rFont val="Calibri"/>
        <family val="2"/>
        <charset val="186"/>
        <scheme val="minor"/>
      </rPr>
      <t xml:space="preserve"> 1.018.325 MWh/year* 0,42 t CO2e/MWh=427.696  t CO2e/year</t>
    </r>
    <r>
      <rPr>
        <sz val="11"/>
        <rFont val="Calibri"/>
        <family val="2"/>
        <charset val="186"/>
        <scheme val="minor"/>
      </rPr>
      <t xml:space="preserve">  </t>
    </r>
    <r>
      <rPr>
        <b/>
        <sz val="11"/>
        <rFont val="Calibri"/>
        <family val="2"/>
        <charset val="186"/>
        <scheme val="minor"/>
      </rPr>
      <t>818.512 MWh/year* 0,42 t CO2e/MWh=343.775 t CO2e/year</t>
    </r>
    <r>
      <rPr>
        <sz val="11"/>
        <rFont val="Calibri"/>
        <family val="2"/>
        <charset val="186"/>
        <scheme val="minor"/>
      </rPr>
      <t xml:space="preserve">, the final (2029) target for RCR29 is  </t>
    </r>
    <r>
      <rPr>
        <strike/>
        <sz val="11"/>
        <rFont val="Calibri"/>
        <family val="2"/>
        <charset val="186"/>
        <scheme val="minor"/>
      </rPr>
      <t>794.293  MWh/year * 0,42 t CO2e/MWh=333.603 t CO2e/year</t>
    </r>
    <r>
      <rPr>
        <sz val="11"/>
        <rFont val="Calibri"/>
        <family val="2"/>
        <charset val="186"/>
        <scheme val="minor"/>
      </rPr>
      <t xml:space="preserve"> </t>
    </r>
    <r>
      <rPr>
        <b/>
        <sz val="11"/>
        <rFont val="Calibri"/>
        <family val="2"/>
        <charset val="186"/>
        <scheme val="minor"/>
      </rPr>
      <t>638.440  MWh/year * 0,42 t CO2e/MWh=268.145 t CO2e/year</t>
    </r>
    <r>
      <rPr>
        <sz val="11"/>
        <rFont val="Calibri"/>
        <family val="2"/>
        <charset val="186"/>
        <scheme val="minor"/>
      </rPr>
      <t>.</t>
    </r>
  </si>
  <si>
    <r>
      <t xml:space="preserve">Calculation of indicators based on </t>
    </r>
    <r>
      <rPr>
        <strike/>
        <sz val="11"/>
        <rFont val="Calibri"/>
        <family val="2"/>
        <charset val="186"/>
        <scheme val="minor"/>
      </rPr>
      <t>70</t>
    </r>
    <r>
      <rPr>
        <sz val="11"/>
        <rFont val="Calibri"/>
        <family val="2"/>
        <charset val="186"/>
        <scheme val="minor"/>
      </rPr>
      <t xml:space="preserve"> </t>
    </r>
    <r>
      <rPr>
        <b/>
        <sz val="11"/>
        <rFont val="Calibri"/>
        <family val="2"/>
        <charset val="186"/>
        <scheme val="minor"/>
      </rPr>
      <t>80</t>
    </r>
    <r>
      <rPr>
        <sz val="11"/>
        <rFont val="Calibri"/>
        <family val="2"/>
        <charset val="186"/>
        <scheme val="minor"/>
      </rPr>
      <t xml:space="preserve"> percent fund intensity with the assumptions that </t>
    </r>
    <r>
      <rPr>
        <b/>
        <sz val="11"/>
        <rFont val="Calibri"/>
        <family val="2"/>
        <charset val="186"/>
        <scheme val="minor"/>
      </rPr>
      <t>a combination of a subsidy and a long term loan (less administrative costs up to 7 percent of the total) will be 80 percent of the project costs</t>
    </r>
    <r>
      <rPr>
        <sz val="11"/>
        <rFont val="Calibri"/>
        <family val="2"/>
        <charset val="186"/>
        <scheme val="minor"/>
      </rPr>
      <t xml:space="preserve"> </t>
    </r>
    <r>
      <rPr>
        <strike/>
        <sz val="11"/>
        <rFont val="Calibri"/>
        <family val="2"/>
        <charset val="186"/>
        <scheme val="minor"/>
      </rPr>
      <t>subsidies will reach up to 40 percent, FI (long term loan) will be up to 60 percent and the rest - private funds (according to the ex ante assessment which is in the finalisation process) (EU amount- 13.500.000 Eur +  co-financing rate (Eur.) - 5.785. 714,29. Total - 19.285.714,29)</t>
    </r>
    <r>
      <rPr>
        <sz val="11"/>
        <rFont val="Calibri"/>
        <family val="2"/>
        <charset val="186"/>
        <scheme val="minor"/>
      </rPr>
      <t xml:space="preserve">. </t>
    </r>
    <r>
      <rPr>
        <b/>
        <sz val="11"/>
        <rFont val="Calibri"/>
        <family val="2"/>
        <charset val="186"/>
        <scheme val="minor"/>
      </rPr>
      <t>Thus the EU will contribute 13 500 000 EUR (including administrative costs). The administrative costs will amount to up to 7 percent of funds available for project activities. Therefore 13 500 000 / 1,07 = 12 616 822 EUR will be available for project activities (80 percent of the total, less administrative costs) and applicants will contribute EUR 3 154 206 (20 percent of the total, less administrative fee). The total amount available to achieve the program indicators will be 12 616 822 + 3 154 206 = 15 771 028 EUR.</t>
    </r>
    <r>
      <rPr>
        <sz val="11"/>
        <rFont val="Calibri"/>
        <family val="2"/>
        <charset val="186"/>
        <scheme val="minor"/>
      </rPr>
      <t xml:space="preserve">  Since the loan is long term therefore FI effect on indicators will be visible after 2029. 50 percent funds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 xml:space="preserve">7 885 514 </t>
    </r>
    <r>
      <rPr>
        <sz val="11"/>
        <rFont val="Calibri"/>
        <family val="2"/>
        <charset val="186"/>
        <scheme val="minor"/>
      </rPr>
      <t xml:space="preserve">EUR) will be invested in the adaptation of DH to work in low temperature regime. According to the ongoing projects in district heating sector, the average costs of 1 m pipeline modernization is 450 EUR. Therefore with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7 885 514 EUR/450 000</t>
    </r>
    <r>
      <rPr>
        <sz val="11"/>
        <rFont val="Calibri"/>
        <family val="2"/>
        <charset val="186"/>
        <scheme val="minor"/>
      </rPr>
      <t>= ~</t>
    </r>
    <r>
      <rPr>
        <strike/>
        <sz val="11"/>
        <rFont val="Calibri"/>
        <family val="2"/>
        <charset val="186"/>
        <scheme val="minor"/>
      </rPr>
      <t>21</t>
    </r>
    <r>
      <rPr>
        <sz val="11"/>
        <rFont val="Calibri"/>
        <family val="2"/>
        <charset val="186"/>
        <scheme val="minor"/>
      </rPr>
      <t xml:space="preserve"> </t>
    </r>
    <r>
      <rPr>
        <b/>
        <sz val="11"/>
        <rFont val="Calibri"/>
        <family val="2"/>
        <charset val="186"/>
        <scheme val="minor"/>
      </rPr>
      <t>17</t>
    </r>
    <r>
      <rPr>
        <sz val="11"/>
        <rFont val="Calibri"/>
        <family val="2"/>
        <charset val="186"/>
        <scheme val="minor"/>
      </rPr>
      <t xml:space="preserve"> km of DH pipelines could be  modernized/adapted. </t>
    </r>
    <r>
      <rPr>
        <strike/>
        <sz val="11"/>
        <rFont val="Calibri"/>
        <family val="2"/>
        <charset val="186"/>
        <scheme val="minor"/>
      </rPr>
      <t>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 0,1= ~ 2 km will be modernized.</t>
    </r>
    <r>
      <rPr>
        <sz val="11"/>
        <rFont val="Calibri"/>
        <family val="2"/>
        <charset val="186"/>
        <scheme val="minor"/>
      </rPr>
      <t xml:space="preserve"> </t>
    </r>
    <r>
      <rPr>
        <b/>
        <sz val="11"/>
        <rFont val="Calibri"/>
        <family val="2"/>
        <charset val="186"/>
        <scheme val="minor"/>
      </rPr>
      <t>~10 percent (2 km) is planned for the end of 2024.</t>
    </r>
  </si>
  <si>
    <r>
      <t xml:space="preserve">Calculation of indicators based on </t>
    </r>
    <r>
      <rPr>
        <strike/>
        <sz val="11"/>
        <rFont val="Calibri"/>
        <family val="2"/>
        <charset val="186"/>
        <scheme val="minor"/>
      </rPr>
      <t>70</t>
    </r>
    <r>
      <rPr>
        <sz val="11"/>
        <rFont val="Calibri"/>
        <family val="2"/>
        <charset val="186"/>
        <scheme val="minor"/>
      </rPr>
      <t xml:space="preserve"> </t>
    </r>
    <r>
      <rPr>
        <b/>
        <sz val="11"/>
        <rFont val="Calibri"/>
        <family val="2"/>
        <charset val="186"/>
        <scheme val="minor"/>
      </rPr>
      <t>80</t>
    </r>
    <r>
      <rPr>
        <sz val="11"/>
        <rFont val="Calibri"/>
        <family val="2"/>
        <charset val="186"/>
        <scheme val="minor"/>
      </rPr>
      <t xml:space="preserve"> percent fund intensity with the assumptions that </t>
    </r>
    <r>
      <rPr>
        <b/>
        <sz val="11"/>
        <rFont val="Calibri"/>
        <family val="2"/>
        <charset val="186"/>
        <scheme val="minor"/>
      </rPr>
      <t>a combination of a subsidy and a long term loan (less administrative costs up to 7 percent of the total) will be 80 percent of the project costs</t>
    </r>
    <r>
      <rPr>
        <sz val="11"/>
        <rFont val="Calibri"/>
        <family val="2"/>
        <charset val="186"/>
        <scheme val="minor"/>
      </rPr>
      <t xml:space="preserve"> </t>
    </r>
    <r>
      <rPr>
        <strike/>
        <sz val="11"/>
        <rFont val="Calibri"/>
        <family val="2"/>
        <charset val="186"/>
        <scheme val="minor"/>
      </rPr>
      <t>subsidies will reach up to 40 percent, FI (long term loan) will be up to 60 percent and the rest - private funds (according to the ex ante assessment which is in the finalisation process) (EU amount- 13.500.000 Eur +  co-financing rate (Eur.) - 5.785. 714,29. Total - 19.285.714,29)</t>
    </r>
    <r>
      <rPr>
        <sz val="11"/>
        <rFont val="Calibri"/>
        <family val="2"/>
        <charset val="186"/>
        <scheme val="minor"/>
      </rPr>
      <t xml:space="preserve">. </t>
    </r>
    <r>
      <rPr>
        <b/>
        <sz val="11"/>
        <rFont val="Calibri"/>
        <family val="2"/>
        <charset val="186"/>
        <scheme val="minor"/>
      </rPr>
      <t>Thus the EU will contribute 13 500 000 EUR (including administrative costs). The administrative costs will amount to up to 7 percent of funds available for project activities. Therefore 13 500 000 / 1,07 = 12 616 822 EUR will be available for project activities (80 percent of the total, less administrative costs) and applicants will contribute EUR 3 154 205 (20 percent of the total, less administrative fee). The total amount available to achieve the program indicators will be 12 616 822 + 3 154 206 = 15 771 028 EUR.</t>
    </r>
    <r>
      <rPr>
        <sz val="11"/>
        <rFont val="Calibri"/>
        <family val="2"/>
        <charset val="186"/>
        <scheme val="minor"/>
      </rPr>
      <t xml:space="preserve">  Since the loan is long term therefore FI effect on indicators will be visible after 2029. 50 percent funds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 xml:space="preserve">7 885 514 </t>
    </r>
    <r>
      <rPr>
        <sz val="11"/>
        <rFont val="Calibri"/>
        <family val="2"/>
        <charset val="186"/>
        <scheme val="minor"/>
      </rPr>
      <t xml:space="preserve">EUR) will be invested in the adaptation of DH to work in low temperature regime. According to the ongoing projects in district heating sector, the average costs of 1 m pipeline modernization is 450 EUR. Therefore with </t>
    </r>
    <r>
      <rPr>
        <strike/>
        <sz val="11"/>
        <rFont val="Calibri"/>
        <family val="2"/>
        <charset val="186"/>
        <scheme val="minor"/>
      </rPr>
      <t>9.642.857,15</t>
    </r>
    <r>
      <rPr>
        <sz val="11"/>
        <rFont val="Calibri"/>
        <family val="2"/>
        <charset val="186"/>
        <scheme val="minor"/>
      </rPr>
      <t xml:space="preserve"> </t>
    </r>
    <r>
      <rPr>
        <b/>
        <sz val="11"/>
        <rFont val="Calibri"/>
        <family val="2"/>
        <charset val="186"/>
        <scheme val="minor"/>
      </rPr>
      <t>7 885 514 EUR/450 000</t>
    </r>
    <r>
      <rPr>
        <sz val="11"/>
        <rFont val="Calibri"/>
        <family val="2"/>
        <charset val="186"/>
        <scheme val="minor"/>
      </rPr>
      <t>= ~</t>
    </r>
    <r>
      <rPr>
        <strike/>
        <sz val="11"/>
        <rFont val="Calibri"/>
        <family val="2"/>
        <charset val="186"/>
        <scheme val="minor"/>
      </rPr>
      <t>21</t>
    </r>
    <r>
      <rPr>
        <sz val="11"/>
        <rFont val="Calibri"/>
        <family val="2"/>
        <charset val="186"/>
        <scheme val="minor"/>
      </rPr>
      <t xml:space="preserve"> </t>
    </r>
    <r>
      <rPr>
        <b/>
        <sz val="11"/>
        <rFont val="Calibri"/>
        <family val="2"/>
        <charset val="186"/>
        <scheme val="minor"/>
      </rPr>
      <t>17</t>
    </r>
    <r>
      <rPr>
        <sz val="11"/>
        <rFont val="Calibri"/>
        <family val="2"/>
        <charset val="186"/>
        <scheme val="minor"/>
      </rPr>
      <t xml:space="preserve"> km of DH pipelines could be  modernized/adapted. </t>
    </r>
    <r>
      <rPr>
        <strike/>
        <sz val="11"/>
        <rFont val="Calibri"/>
        <family val="2"/>
        <charset val="186"/>
        <scheme val="minor"/>
      </rPr>
      <t>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21*0,1= ~ 2 km will be modernized.</t>
    </r>
    <r>
      <rPr>
        <b/>
        <sz val="11"/>
        <rFont val="Calibri"/>
        <family val="2"/>
        <charset val="186"/>
        <scheme val="minor"/>
      </rPr>
      <t>~10 percent (2 km) is planned for the end of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</si>
</sst>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_-;\-* #,##0\ _€_-;_-* &quot;-&quot;\ _€_-;_-@_-"/>
    <numFmt numFmtId="165" formatCode="_-* #,##0.00\ _€_-;\-* #,##0.00\ _€_-;_-* &quot;-&quot;??\ _€_-;_-@_-"/>
    <numFmt numFmtId="166" formatCode="#,##0.0"/>
    <numFmt numFmtId="167" formatCode="0.0"/>
    <numFmt numFmtId="168" formatCode="_-* #,##0\ _€_-;\-* #,##0\ _€_-;_-* &quot;-&quot;??\ _€_-;_-@_-"/>
    <numFmt numFmtId="169" formatCode="0_ ;\-0\ "/>
    <numFmt numFmtId="170" formatCode="0.0%"/>
  </numFmts>
  <fonts count="10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sz val="11"/>
      <color theme="1"/>
      <name val="Calibri"/>
      <family val="2"/>
    </font>
    <font>
      <sz val="11"/>
      <name val="Calibri"/>
      <family val="2"/>
      <scheme val="minor"/>
    </font>
    <font>
      <b/>
      <sz val="16"/>
      <color rgb="FF00B050"/>
      <name val="Calibri"/>
      <family val="2"/>
      <charset val="186"/>
      <scheme val="minor"/>
    </font>
    <font>
      <b/>
      <sz val="14"/>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i/>
      <sz val="10"/>
      <color rgb="FF00B050"/>
      <name val="Calibri"/>
      <family val="2"/>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i/>
      <sz val="10"/>
      <color rgb="FF7030A0"/>
      <name val="Calibri"/>
      <family val="2"/>
      <charset val="186"/>
      <scheme val="minor"/>
    </font>
    <font>
      <i/>
      <sz val="11"/>
      <color theme="1"/>
      <name val="Calibri"/>
      <family val="2"/>
      <charset val="186"/>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b/>
      <u/>
      <sz val="10"/>
      <name val="Calibri"/>
      <family val="2"/>
      <charset val="186"/>
      <scheme val="minor"/>
    </font>
    <font>
      <b/>
      <sz val="12"/>
      <color rgb="FF00B050"/>
      <name val="Calibri"/>
      <family val="2"/>
      <charset val="186"/>
      <scheme val="minor"/>
    </font>
    <font>
      <sz val="11"/>
      <name val="Calibri"/>
      <family val="2"/>
      <charset val="186"/>
      <scheme val="minor"/>
    </font>
    <font>
      <sz val="11"/>
      <color theme="1"/>
      <name val="Calibri"/>
      <family val="2"/>
      <scheme val="minor"/>
    </font>
    <font>
      <sz val="11"/>
      <color rgb="FFFF0000"/>
      <name val="Calibri"/>
      <family val="2"/>
      <charset val="186"/>
      <scheme val="minor"/>
    </font>
    <font>
      <i/>
      <sz val="11"/>
      <color rgb="FFFF0000"/>
      <name val="Calibri"/>
      <family val="2"/>
      <charset val="186"/>
      <scheme val="minor"/>
    </font>
    <font>
      <sz val="11"/>
      <name val="Calibri"/>
      <family val="2"/>
      <charset val="186"/>
    </font>
    <font>
      <i/>
      <sz val="11"/>
      <name val="Calibri"/>
      <family val="2"/>
      <charset val="186"/>
    </font>
    <font>
      <u/>
      <sz val="11"/>
      <name val="Calibri"/>
      <family val="2"/>
      <charset val="186"/>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sz val="12"/>
      <name val="Calibri"/>
      <family val="2"/>
      <charset val="186"/>
      <scheme val="minor"/>
    </font>
    <font>
      <i/>
      <sz val="12"/>
      <name val="Calibri"/>
      <family val="2"/>
      <charset val="186"/>
      <scheme val="minor"/>
    </font>
    <font>
      <sz val="12"/>
      <color rgb="FF000000"/>
      <name val="Calibri"/>
      <family val="2"/>
      <charset val="186"/>
      <scheme val="minor"/>
    </font>
    <font>
      <strike/>
      <sz val="11"/>
      <name val="Calibri"/>
      <family val="2"/>
      <charset val="186"/>
      <scheme val="minor"/>
    </font>
    <font>
      <b/>
      <sz val="12"/>
      <color theme="1"/>
      <name val="Calibri"/>
      <family val="2"/>
      <scheme val="minor"/>
    </font>
    <font>
      <sz val="12"/>
      <color rgb="FF000000"/>
      <name val="Calibri"/>
      <family val="2"/>
      <scheme val="minor"/>
    </font>
    <font>
      <i/>
      <sz val="11"/>
      <name val="Calibri"/>
      <family val="2"/>
      <charset val="186"/>
      <scheme val="minor"/>
    </font>
    <font>
      <b/>
      <sz val="11"/>
      <name val="Calibri"/>
      <family val="2"/>
      <scheme val="minor"/>
    </font>
    <font>
      <sz val="11"/>
      <color rgb="FFFF0000"/>
      <name val="Calibri"/>
      <family val="2"/>
      <scheme val="minor"/>
    </font>
    <font>
      <b/>
      <sz val="11"/>
      <name val="Calibri"/>
      <family val="2"/>
      <charset val="186"/>
    </font>
    <font>
      <sz val="11"/>
      <name val="Calibri"/>
      <family val="2"/>
    </font>
    <font>
      <strike/>
      <sz val="11"/>
      <name val="Calibri"/>
      <family val="2"/>
      <scheme val="minor"/>
    </font>
    <font>
      <strike/>
      <sz val="11"/>
      <name val="Calibri"/>
      <family val="2"/>
      <charset val="186"/>
    </font>
    <font>
      <u/>
      <sz val="11"/>
      <name val="Calibri"/>
      <family val="2"/>
      <charset val="186"/>
    </font>
    <font>
      <b/>
      <strike/>
      <sz val="11"/>
      <name val="Calibri"/>
      <family val="2"/>
      <charset val="186"/>
    </font>
    <font>
      <b/>
      <strike/>
      <sz val="11"/>
      <name val="Calibri"/>
      <family val="2"/>
      <charset val="186"/>
      <scheme val="minor"/>
    </font>
    <font>
      <sz val="11"/>
      <color theme="1"/>
      <name val="Calibri"/>
      <family val="2"/>
      <charset val="186"/>
    </font>
    <font>
      <b/>
      <sz val="11"/>
      <color theme="1"/>
      <name val="Calibri"/>
      <family val="2"/>
      <charset val="186"/>
    </font>
    <font>
      <strike/>
      <sz val="11"/>
      <color theme="1"/>
      <name val="Calibri"/>
      <family val="2"/>
      <charset val="186"/>
    </font>
    <font>
      <sz val="11"/>
      <color rgb="FF000000"/>
      <name val="Calibri"/>
      <family val="2"/>
      <charset val="186"/>
      <scheme val="minor"/>
    </font>
    <font>
      <strike/>
      <sz val="11"/>
      <color rgb="FF000000"/>
      <name val="Calibri"/>
      <family val="2"/>
      <charset val="186"/>
      <scheme val="minor"/>
    </font>
    <font>
      <b/>
      <sz val="11"/>
      <color rgb="FF000000"/>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00"/>
        <bgColor rgb="FF000000"/>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4">
    <xf numFmtId="0" fontId="0" fillId="0" borderId="0"/>
    <xf numFmtId="165" fontId="70" fillId="0" borderId="0" applyFont="0" applyFill="0" applyBorder="0" applyAlignment="0" applyProtection="0"/>
    <xf numFmtId="164" fontId="70" fillId="0" borderId="0" applyFont="0" applyFill="0" applyBorder="0" applyAlignment="0" applyProtection="0"/>
    <xf numFmtId="9" fontId="70" fillId="0" borderId="0" applyFont="0" applyFill="0" applyBorder="0" applyAlignment="0" applyProtection="0"/>
  </cellStyleXfs>
  <cellXfs count="768">
    <xf numFmtId="0" fontId="0" fillId="0" borderId="0" xfId="0"/>
    <xf numFmtId="0" fontId="0" fillId="0" borderId="0" xfId="0" applyAlignment="1">
      <alignment vertical="center" wrapText="1"/>
    </xf>
    <xf numFmtId="0" fontId="0" fillId="2" borderId="0" xfId="0" applyFill="1" applyAlignment="1">
      <alignment horizontal="center" vertical="center" wrapText="1"/>
    </xf>
    <xf numFmtId="0" fontId="0" fillId="0" borderId="0" xfId="0" applyAlignment="1">
      <alignment horizontal="center" vertical="top" wrapText="1"/>
    </xf>
    <xf numFmtId="0" fontId="27" fillId="0" borderId="0" xfId="0" applyFont="1" applyAlignment="1">
      <alignment horizontal="center" vertical="center" wrapText="1"/>
    </xf>
    <xf numFmtId="0" fontId="27" fillId="0" borderId="0" xfId="0" applyFont="1" applyAlignment="1">
      <alignment wrapText="1"/>
    </xf>
    <xf numFmtId="0" fontId="0" fillId="0" borderId="0" xfId="0" applyAlignment="1">
      <alignment wrapText="1"/>
    </xf>
    <xf numFmtId="0" fontId="0" fillId="0" borderId="0" xfId="0" applyAlignment="1">
      <alignment vertical="top" wrapText="1"/>
    </xf>
    <xf numFmtId="4" fontId="0" fillId="0" borderId="0" xfId="0" applyNumberFormat="1" applyAlignment="1">
      <alignment vertical="center"/>
    </xf>
    <xf numFmtId="0" fontId="0" fillId="0" borderId="0" xfId="0" applyAlignment="1">
      <alignment vertical="center"/>
    </xf>
    <xf numFmtId="0" fontId="0" fillId="0" borderId="8" xfId="0" applyBorder="1"/>
    <xf numFmtId="166" fontId="0" fillId="0" borderId="0" xfId="0" applyNumberFormat="1"/>
    <xf numFmtId="0" fontId="23" fillId="0" borderId="10" xfId="0" applyFont="1" applyBorder="1" applyAlignment="1">
      <alignment horizontal="center" vertical="center"/>
    </xf>
    <xf numFmtId="0" fontId="23" fillId="2" borderId="10" xfId="0" applyFont="1" applyFill="1" applyBorder="1" applyAlignment="1">
      <alignment horizontal="center" vertical="center" wrapText="1"/>
    </xf>
    <xf numFmtId="0" fontId="23" fillId="0" borderId="18" xfId="0" applyFont="1" applyBorder="1" applyAlignment="1">
      <alignment horizontal="center" vertical="center" wrapText="1"/>
    </xf>
    <xf numFmtId="166" fontId="0" fillId="0" borderId="0" xfId="0" applyNumberFormat="1" applyAlignment="1">
      <alignment vertical="center" wrapText="1"/>
    </xf>
    <xf numFmtId="0" fontId="0" fillId="0" borderId="0" xfId="0" applyAlignment="1">
      <alignment horizontal="center" vertical="center"/>
    </xf>
    <xf numFmtId="0" fontId="22" fillId="0" borderId="0" xfId="0" applyFont="1"/>
    <xf numFmtId="0" fontId="22" fillId="0" borderId="1" xfId="0" applyFont="1" applyBorder="1" applyAlignment="1">
      <alignment horizontal="center" vertical="center" wrapText="1"/>
    </xf>
    <xf numFmtId="0" fontId="22" fillId="0" borderId="25" xfId="0" applyFont="1" applyBorder="1"/>
    <xf numFmtId="0" fontId="29" fillId="0" borderId="0" xfId="0" applyFont="1"/>
    <xf numFmtId="0" fontId="25" fillId="0" borderId="0" xfId="0" applyFont="1"/>
    <xf numFmtId="0" fontId="22" fillId="0" borderId="0" xfId="0" applyFont="1" applyAlignment="1">
      <alignment wrapText="1"/>
    </xf>
    <xf numFmtId="0" fontId="34" fillId="0" borderId="1" xfId="0" applyFont="1" applyBorder="1" applyAlignment="1">
      <alignment horizontal="center" vertical="center" wrapText="1"/>
    </xf>
    <xf numFmtId="4" fontId="34" fillId="0" borderId="1" xfId="0" applyNumberFormat="1" applyFont="1" applyBorder="1" applyAlignment="1">
      <alignment horizontal="center" vertical="center" wrapText="1"/>
    </xf>
    <xf numFmtId="0" fontId="34" fillId="0" borderId="1" xfId="0" applyFont="1" applyBorder="1" applyAlignment="1">
      <alignment vertical="center" wrapText="1"/>
    </xf>
    <xf numFmtId="0" fontId="38" fillId="0" borderId="1" xfId="0" applyFont="1" applyBorder="1" applyAlignment="1">
      <alignment horizontal="center" vertical="center" wrapText="1"/>
    </xf>
    <xf numFmtId="0" fontId="34" fillId="0" borderId="10" xfId="0" applyFont="1" applyBorder="1" applyAlignment="1">
      <alignment horizontal="center" vertical="center" wrapText="1"/>
    </xf>
    <xf numFmtId="0" fontId="0" fillId="0" borderId="28" xfId="0" applyBorder="1"/>
    <xf numFmtId="0" fontId="25" fillId="0" borderId="0" xfId="0" applyFont="1" applyAlignment="1">
      <alignment vertical="center" wrapText="1"/>
    </xf>
    <xf numFmtId="0" fontId="42" fillId="0" borderId="0" xfId="0" applyFont="1"/>
    <xf numFmtId="0" fontId="32" fillId="0" borderId="0" xfId="0" applyFont="1"/>
    <xf numFmtId="0" fontId="32" fillId="0" borderId="0" xfId="0" applyFont="1" applyAlignment="1">
      <alignment horizontal="center" vertical="center"/>
    </xf>
    <xf numFmtId="0" fontId="32" fillId="0" borderId="11" xfId="0" applyFont="1" applyBorder="1" applyAlignment="1">
      <alignment horizontal="center" vertical="center"/>
    </xf>
    <xf numFmtId="0" fontId="32" fillId="0" borderId="11" xfId="0" applyFont="1" applyBorder="1" applyAlignment="1">
      <alignment vertical="center" wrapText="1"/>
    </xf>
    <xf numFmtId="0" fontId="31" fillId="0" borderId="1" xfId="0" applyFont="1" applyBorder="1" applyAlignment="1">
      <alignment horizontal="center" vertical="center" wrapText="1"/>
    </xf>
    <xf numFmtId="166" fontId="38" fillId="0" borderId="1" xfId="0" applyNumberFormat="1" applyFont="1" applyBorder="1" applyAlignment="1">
      <alignment horizontal="center" vertical="center"/>
    </xf>
    <xf numFmtId="166" fontId="34" fillId="0" borderId="1" xfId="0" applyNumberFormat="1" applyFont="1" applyBorder="1" applyAlignment="1">
      <alignment horizontal="center" vertical="center"/>
    </xf>
    <xf numFmtId="0" fontId="46" fillId="0" borderId="0" xfId="0" applyFont="1"/>
    <xf numFmtId="0" fontId="32" fillId="0" borderId="1" xfId="0" applyFont="1" applyBorder="1" applyAlignment="1">
      <alignment horizontal="center" vertical="center"/>
    </xf>
    <xf numFmtId="166" fontId="31" fillId="0" borderId="2" xfId="0" applyNumberFormat="1" applyFont="1" applyBorder="1" applyAlignment="1">
      <alignment horizontal="center" vertical="center" wrapText="1"/>
    </xf>
    <xf numFmtId="0" fontId="32" fillId="0" borderId="1" xfId="0" applyFont="1" applyBorder="1" applyAlignment="1">
      <alignment horizontal="center" vertical="center" wrapText="1"/>
    </xf>
    <xf numFmtId="3" fontId="34" fillId="0" borderId="1" xfId="0" applyNumberFormat="1" applyFont="1" applyBorder="1" applyAlignment="1">
      <alignment horizontal="center" vertical="center" wrapText="1"/>
    </xf>
    <xf numFmtId="166" fontId="32" fillId="0" borderId="0" xfId="0" applyNumberFormat="1" applyFont="1"/>
    <xf numFmtId="166" fontId="31" fillId="0" borderId="12" xfId="0" applyNumberFormat="1" applyFont="1" applyBorder="1" applyAlignment="1">
      <alignment horizontal="left" vertical="center" wrapText="1"/>
    </xf>
    <xf numFmtId="0" fontId="32" fillId="0" borderId="0" xfId="0" applyFont="1" applyAlignment="1">
      <alignment horizontal="center"/>
    </xf>
    <xf numFmtId="166" fontId="31"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3" fontId="38" fillId="0" borderId="1" xfId="0" applyNumberFormat="1" applyFont="1" applyBorder="1" applyAlignment="1">
      <alignment horizontal="center" vertical="center"/>
    </xf>
    <xf numFmtId="166" fontId="38" fillId="0" borderId="1" xfId="0" applyNumberFormat="1" applyFont="1" applyBorder="1" applyAlignment="1">
      <alignment horizontal="center" vertical="center" wrapText="1"/>
    </xf>
    <xf numFmtId="0" fontId="31" fillId="0" borderId="2" xfId="0" applyFont="1" applyBorder="1" applyAlignment="1">
      <alignment horizontal="center" vertical="center"/>
    </xf>
    <xf numFmtId="3" fontId="32" fillId="0" borderId="1" xfId="0" applyNumberFormat="1" applyFont="1" applyBorder="1" applyAlignment="1">
      <alignment horizontal="center" vertical="center" wrapText="1"/>
    </xf>
    <xf numFmtId="166" fontId="32" fillId="0" borderId="1" xfId="0" applyNumberFormat="1" applyFont="1" applyBorder="1" applyAlignment="1">
      <alignment horizontal="center" vertical="center" wrapText="1"/>
    </xf>
    <xf numFmtId="0" fontId="32" fillId="0" borderId="1" xfId="0" applyFont="1" applyBorder="1" applyAlignment="1">
      <alignment horizontal="center" wrapText="1"/>
    </xf>
    <xf numFmtId="0" fontId="38" fillId="0" borderId="1" xfId="0" applyFont="1" applyBorder="1" applyAlignment="1">
      <alignment horizontal="center" vertical="center"/>
    </xf>
    <xf numFmtId="166" fontId="32" fillId="0" borderId="1" xfId="0" applyNumberFormat="1" applyFont="1" applyBorder="1" applyAlignment="1">
      <alignment horizontal="center" vertical="center"/>
    </xf>
    <xf numFmtId="0" fontId="32" fillId="0" borderId="2" xfId="0" applyFont="1" applyBorder="1" applyAlignment="1">
      <alignment horizontal="center" vertical="center" wrapText="1"/>
    </xf>
    <xf numFmtId="166" fontId="32" fillId="0" borderId="2" xfId="0" applyNumberFormat="1" applyFont="1" applyBorder="1" applyAlignment="1">
      <alignment horizontal="center" vertical="center" wrapText="1"/>
    </xf>
    <xf numFmtId="0" fontId="32" fillId="2" borderId="1" xfId="0" applyFont="1" applyFill="1" applyBorder="1" applyAlignment="1">
      <alignment horizontal="center" vertical="center" wrapText="1"/>
    </xf>
    <xf numFmtId="0" fontId="24" fillId="0" borderId="18" xfId="0" applyFont="1" applyBorder="1" applyAlignment="1">
      <alignment horizontal="left" vertical="center" wrapText="1"/>
    </xf>
    <xf numFmtId="0" fontId="25" fillId="0" borderId="1" xfId="0" applyFont="1" applyBorder="1" applyAlignment="1">
      <alignment horizontal="center" vertical="center"/>
    </xf>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8" fillId="0" borderId="1" xfId="0" applyFont="1" applyBorder="1" applyAlignment="1">
      <alignment horizontal="center" vertical="center"/>
    </xf>
    <xf numFmtId="0" fontId="35" fillId="0" borderId="2" xfId="0" applyFont="1" applyBorder="1" applyAlignment="1">
      <alignment horizontal="center" vertical="center"/>
    </xf>
    <xf numFmtId="0" fontId="25" fillId="0" borderId="1" xfId="0" applyFont="1" applyBorder="1" applyAlignment="1">
      <alignment vertical="top" wrapText="1"/>
    </xf>
    <xf numFmtId="0" fontId="32" fillId="0" borderId="1" xfId="0" applyFont="1" applyBorder="1" applyAlignment="1">
      <alignment vertical="center" wrapText="1"/>
    </xf>
    <xf numFmtId="0" fontId="32" fillId="0" borderId="1" xfId="0" applyFont="1" applyBorder="1" applyAlignment="1">
      <alignment horizontal="left" vertical="center" wrapText="1"/>
    </xf>
    <xf numFmtId="0" fontId="25" fillId="0" borderId="1" xfId="0" applyFont="1" applyBorder="1" applyAlignment="1">
      <alignment horizontal="left" vertical="center" wrapText="1"/>
    </xf>
    <xf numFmtId="0" fontId="32" fillId="0" borderId="11" xfId="0" applyFont="1" applyBorder="1" applyAlignment="1">
      <alignment horizontal="center" vertical="center" wrapText="1"/>
    </xf>
    <xf numFmtId="0" fontId="31" fillId="0" borderId="2" xfId="0" applyFont="1" applyBorder="1" applyAlignment="1">
      <alignment horizontal="center" vertical="center" wrapText="1"/>
    </xf>
    <xf numFmtId="4" fontId="38" fillId="0" borderId="1" xfId="0" applyNumberFormat="1" applyFont="1" applyBorder="1" applyAlignment="1">
      <alignment horizontal="center" vertical="center" wrapText="1"/>
    </xf>
    <xf numFmtId="166" fontId="34" fillId="0" borderId="1"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4" fontId="25" fillId="0" borderId="8" xfId="0" applyNumberFormat="1" applyFont="1" applyBorder="1" applyAlignment="1">
      <alignment horizontal="center" vertical="center" wrapText="1"/>
    </xf>
    <xf numFmtId="0" fontId="0" fillId="2" borderId="0" xfId="0" applyFill="1" applyAlignment="1">
      <alignment horizontal="center" vertical="top" wrapText="1"/>
    </xf>
    <xf numFmtId="4" fontId="0" fillId="0" borderId="0" xfId="0" applyNumberFormat="1" applyAlignment="1">
      <alignment horizontal="center" vertical="center"/>
    </xf>
    <xf numFmtId="0" fontId="36" fillId="0" borderId="2" xfId="0" applyFont="1" applyBorder="1" applyAlignment="1">
      <alignment horizontal="center" vertical="center" wrapText="1"/>
    </xf>
    <xf numFmtId="0" fontId="36" fillId="0" borderId="11" xfId="0" applyFont="1" applyBorder="1" applyAlignment="1">
      <alignment horizontal="center" vertical="center" wrapText="1"/>
    </xf>
    <xf numFmtId="0" fontId="25" fillId="0" borderId="2" xfId="0" applyFont="1" applyBorder="1" applyAlignment="1">
      <alignment vertical="top" wrapText="1"/>
    </xf>
    <xf numFmtId="0" fontId="39" fillId="0" borderId="2" xfId="0" applyFont="1" applyBorder="1" applyAlignment="1">
      <alignment horizontal="center" vertical="center" wrapText="1"/>
    </xf>
    <xf numFmtId="0" fontId="34" fillId="0" borderId="2" xfId="0" applyFont="1" applyBorder="1" applyAlignment="1">
      <alignment horizontal="center" vertical="center"/>
    </xf>
    <xf numFmtId="0" fontId="34" fillId="0" borderId="11" xfId="0" applyFont="1" applyBorder="1" applyAlignment="1">
      <alignment horizontal="center" vertical="center"/>
    </xf>
    <xf numFmtId="0" fontId="36" fillId="0" borderId="1" xfId="0" applyFont="1" applyBorder="1" applyAlignment="1">
      <alignment horizontal="center" vertical="center"/>
    </xf>
    <xf numFmtId="0" fontId="34" fillId="0" borderId="1" xfId="0" applyFont="1" applyBorder="1" applyAlignment="1">
      <alignment vertical="top" wrapText="1"/>
    </xf>
    <xf numFmtId="4" fontId="25" fillId="0" borderId="6" xfId="0" applyNumberFormat="1" applyFont="1" applyBorder="1" applyAlignment="1">
      <alignment horizontal="center" vertical="center" wrapText="1"/>
    </xf>
    <xf numFmtId="0" fontId="38" fillId="0" borderId="1" xfId="0" applyFont="1" applyBorder="1" applyAlignment="1">
      <alignment horizontal="left" vertical="center" wrapText="1"/>
    </xf>
    <xf numFmtId="4" fontId="25" fillId="0" borderId="1" xfId="0" applyNumberFormat="1" applyFont="1" applyBorder="1" applyAlignment="1">
      <alignment horizontal="center" vertical="center" wrapText="1"/>
    </xf>
    <xf numFmtId="0" fontId="32" fillId="0" borderId="1" xfId="0" applyFont="1" applyBorder="1" applyAlignment="1">
      <alignment horizontal="left" vertical="top" wrapText="1"/>
    </xf>
    <xf numFmtId="0" fontId="0" fillId="0" borderId="0" xfId="0" applyAlignment="1">
      <alignment horizontal="left" vertical="top"/>
    </xf>
    <xf numFmtId="0" fontId="25" fillId="0" borderId="1" xfId="0" applyFont="1" applyBorder="1" applyAlignment="1">
      <alignment horizontal="left" vertical="top" wrapText="1"/>
    </xf>
    <xf numFmtId="0" fontId="25" fillId="0" borderId="1" xfId="0" applyFont="1" applyBorder="1" applyAlignment="1">
      <alignment horizontal="left" wrapText="1"/>
    </xf>
    <xf numFmtId="0" fontId="25" fillId="0" borderId="3" xfId="0" applyFont="1" applyBorder="1" applyAlignment="1">
      <alignment horizontal="left" vertical="center" wrapText="1"/>
    </xf>
    <xf numFmtId="0" fontId="25" fillId="0" borderId="24" xfId="0" applyFont="1" applyBorder="1" applyAlignment="1">
      <alignment horizontal="left" vertical="center" wrapText="1"/>
    </xf>
    <xf numFmtId="0" fontId="25" fillId="0" borderId="3" xfId="0" applyFont="1" applyBorder="1" applyAlignment="1">
      <alignment horizontal="left" vertical="top" wrapText="1"/>
    </xf>
    <xf numFmtId="0" fontId="25" fillId="0" borderId="18" xfId="0" applyFont="1" applyBorder="1" applyAlignment="1">
      <alignment horizontal="left" vertical="top" wrapText="1"/>
    </xf>
    <xf numFmtId="0" fontId="25" fillId="0" borderId="3" xfId="0" applyFont="1" applyBorder="1" applyAlignment="1">
      <alignment vertical="center" wrapText="1"/>
    </xf>
    <xf numFmtId="0" fontId="25" fillId="0" borderId="3" xfId="0" applyFont="1" applyBorder="1" applyAlignment="1">
      <alignment horizontal="left" wrapText="1"/>
    </xf>
    <xf numFmtId="0" fontId="25" fillId="0" borderId="1" xfId="0" applyFont="1" applyBorder="1" applyAlignment="1">
      <alignment wrapText="1"/>
    </xf>
    <xf numFmtId="0" fontId="32" fillId="0" borderId="1" xfId="0" applyFont="1" applyBorder="1" applyAlignment="1">
      <alignment vertical="top" wrapText="1"/>
    </xf>
    <xf numFmtId="0" fontId="38" fillId="0" borderId="1" xfId="0" applyFont="1" applyBorder="1" applyAlignment="1">
      <alignment vertical="top" wrapText="1"/>
    </xf>
    <xf numFmtId="0" fontId="25" fillId="0" borderId="3" xfId="0" applyFont="1" applyBorder="1" applyAlignment="1">
      <alignment vertical="top" wrapText="1"/>
    </xf>
    <xf numFmtId="0" fontId="48"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1" xfId="0" applyFont="1" applyBorder="1" applyAlignment="1">
      <alignment horizontal="center" vertical="center"/>
    </xf>
    <xf numFmtId="0" fontId="35" fillId="0" borderId="11" xfId="0" applyFont="1" applyBorder="1" applyAlignment="1">
      <alignment horizontal="center" vertical="center"/>
    </xf>
    <xf numFmtId="0" fontId="34" fillId="0" borderId="6" xfId="0" applyFont="1" applyBorder="1" applyAlignment="1">
      <alignment horizontal="center" vertical="center"/>
    </xf>
    <xf numFmtId="0" fontId="48" fillId="0" borderId="6" xfId="0" applyFont="1" applyBorder="1" applyAlignment="1">
      <alignment horizontal="center" vertical="center" wrapText="1"/>
    </xf>
    <xf numFmtId="0" fontId="48" fillId="0" borderId="6" xfId="0" applyFont="1" applyBorder="1" applyAlignment="1">
      <alignment horizontal="center" vertical="center"/>
    </xf>
    <xf numFmtId="0" fontId="38" fillId="0" borderId="6"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11" xfId="0" applyFont="1" applyBorder="1" applyAlignment="1">
      <alignment horizontal="center" vertical="center" wrapText="1"/>
    </xf>
    <xf numFmtId="0" fontId="38" fillId="0" borderId="1" xfId="0" applyFont="1" applyBorder="1" applyAlignment="1">
      <alignment vertical="center" wrapText="1"/>
    </xf>
    <xf numFmtId="0" fontId="44" fillId="0" borderId="1" xfId="0" applyFont="1" applyBorder="1" applyAlignment="1">
      <alignment horizontal="center" vertical="center" wrapText="1"/>
    </xf>
    <xf numFmtId="3" fontId="34" fillId="0" borderId="11" xfId="0" applyNumberFormat="1" applyFont="1" applyBorder="1" applyAlignment="1">
      <alignment horizontal="center" vertical="center"/>
    </xf>
    <xf numFmtId="3" fontId="34" fillId="0" borderId="1" xfId="0" applyNumberFormat="1" applyFont="1" applyBorder="1" applyAlignment="1">
      <alignment horizontal="center" vertical="center"/>
    </xf>
    <xf numFmtId="0" fontId="34" fillId="0" borderId="10" xfId="0" applyFont="1" applyBorder="1" applyAlignment="1">
      <alignment horizontal="center" vertical="center"/>
    </xf>
    <xf numFmtId="0" fontId="56" fillId="0" borderId="2" xfId="0" applyFont="1" applyBorder="1" applyAlignment="1">
      <alignment horizontal="center" vertical="center" wrapText="1"/>
    </xf>
    <xf numFmtId="0" fontId="34" fillId="0" borderId="6" xfId="0" applyFont="1" applyBorder="1" applyAlignment="1">
      <alignment horizontal="center" vertical="center" wrapText="1"/>
    </xf>
    <xf numFmtId="0" fontId="35" fillId="0" borderId="1" xfId="0" applyFont="1" applyBorder="1" applyAlignment="1">
      <alignment horizontal="left" vertical="center" wrapText="1"/>
    </xf>
    <xf numFmtId="0" fontId="25" fillId="0" borderId="11" xfId="0" applyFont="1" applyBorder="1" applyAlignment="1">
      <alignment horizontal="center" vertical="center" wrapText="1"/>
    </xf>
    <xf numFmtId="0" fontId="34" fillId="0" borderId="8" xfId="0" applyFont="1" applyBorder="1" applyAlignment="1">
      <alignment horizontal="center" vertical="center"/>
    </xf>
    <xf numFmtId="0" fontId="25" fillId="0" borderId="17" xfId="0" applyFont="1" applyBorder="1" applyAlignment="1">
      <alignment vertical="top" wrapText="1"/>
    </xf>
    <xf numFmtId="0" fontId="25" fillId="0" borderId="24" xfId="0" applyFont="1" applyBorder="1" applyAlignment="1">
      <alignment vertical="top" wrapText="1"/>
    </xf>
    <xf numFmtId="0" fontId="25" fillId="0" borderId="18" xfId="0" applyFont="1" applyBorder="1" applyAlignment="1">
      <alignment vertical="top" wrapText="1"/>
    </xf>
    <xf numFmtId="0" fontId="34" fillId="0" borderId="17" xfId="0" applyFont="1" applyBorder="1" applyAlignment="1">
      <alignment horizontal="left" vertical="top" wrapText="1"/>
    </xf>
    <xf numFmtId="0" fontId="34" fillId="0" borderId="18" xfId="0" applyFont="1" applyBorder="1" applyAlignment="1">
      <alignment vertical="top" wrapText="1"/>
    </xf>
    <xf numFmtId="0" fontId="33" fillId="2" borderId="10" xfId="0" applyFont="1" applyFill="1" applyBorder="1" applyAlignment="1">
      <alignment horizontal="center" vertical="center" wrapText="1"/>
    </xf>
    <xf numFmtId="0" fontId="33" fillId="0" borderId="18" xfId="0" applyFont="1" applyBorder="1" applyAlignment="1">
      <alignment horizontal="center" vertical="center" wrapText="1"/>
    </xf>
    <xf numFmtId="0" fontId="57" fillId="0" borderId="10"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0" xfId="0" applyFont="1" applyBorder="1" applyAlignment="1">
      <alignment horizontal="center" vertical="center"/>
    </xf>
    <xf numFmtId="0" fontId="21" fillId="0" borderId="1" xfId="0" applyFont="1" applyBorder="1" applyAlignment="1">
      <alignment horizontal="center" vertical="center" wrapText="1"/>
    </xf>
    <xf numFmtId="0" fontId="0" fillId="0" borderId="25" xfId="0" applyBorder="1" applyAlignment="1">
      <alignment horizontal="left" vertical="top"/>
    </xf>
    <xf numFmtId="0" fontId="25" fillId="0" borderId="12" xfId="0" applyFont="1" applyBorder="1" applyAlignment="1">
      <alignment horizontal="left" vertical="top" wrapText="1"/>
    </xf>
    <xf numFmtId="0" fontId="0" fillId="0" borderId="26" xfId="0" applyBorder="1"/>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4" xfId="0" applyFont="1" applyBorder="1" applyAlignment="1">
      <alignment horizontal="left" vertical="top" wrapText="1"/>
    </xf>
    <xf numFmtId="0" fontId="25" fillId="0" borderId="6" xfId="0" applyFont="1" applyBorder="1" applyAlignment="1">
      <alignment horizontal="center" vertical="center" wrapText="1"/>
    </xf>
    <xf numFmtId="0" fontId="25" fillId="0" borderId="17" xfId="0" applyFont="1" applyBorder="1" applyAlignment="1">
      <alignment horizontal="left" vertical="top" wrapText="1"/>
    </xf>
    <xf numFmtId="0" fontId="22" fillId="0" borderId="26" xfId="0" applyFont="1" applyBorder="1"/>
    <xf numFmtId="167" fontId="22" fillId="0" borderId="1" xfId="0" applyNumberFormat="1" applyFont="1" applyBorder="1" applyAlignment="1">
      <alignment horizontal="center" vertical="center" wrapText="1"/>
    </xf>
    <xf numFmtId="0" fontId="32" fillId="0" borderId="15" xfId="0" applyFont="1" applyBorder="1" applyAlignment="1">
      <alignment horizontal="left" vertical="top" wrapText="1"/>
    </xf>
    <xf numFmtId="0" fontId="32" fillId="0" borderId="12" xfId="0" applyFont="1" applyBorder="1" applyAlignment="1">
      <alignment horizontal="left" vertical="top" wrapText="1"/>
    </xf>
    <xf numFmtId="3" fontId="38" fillId="0" borderId="1"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45" fillId="0" borderId="2" xfId="0" applyFont="1" applyBorder="1" applyAlignment="1">
      <alignment horizontal="center" vertical="center" wrapText="1"/>
    </xf>
    <xf numFmtId="3" fontId="34" fillId="0" borderId="2"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0" fontId="34" fillId="0" borderId="12" xfId="0" applyFont="1" applyBorder="1" applyAlignment="1">
      <alignment vertical="top" wrapText="1"/>
    </xf>
    <xf numFmtId="0" fontId="42" fillId="0" borderId="0" xfId="0" applyFont="1" applyAlignment="1">
      <alignment horizontal="center"/>
    </xf>
    <xf numFmtId="0" fontId="44" fillId="0" borderId="12" xfId="0" applyFont="1" applyBorder="1" applyAlignment="1">
      <alignment horizontal="center" vertical="center" wrapText="1"/>
    </xf>
    <xf numFmtId="0" fontId="38" fillId="0" borderId="2" xfId="0" applyFont="1" applyBorder="1" applyAlignment="1">
      <alignment horizontal="left" vertical="center" wrapText="1"/>
    </xf>
    <xf numFmtId="3" fontId="38" fillId="0" borderId="2" xfId="0" applyNumberFormat="1" applyFont="1" applyBorder="1" applyAlignment="1">
      <alignment horizontal="center" vertical="center"/>
    </xf>
    <xf numFmtId="0" fontId="35" fillId="0" borderId="1" xfId="0" applyFont="1" applyBorder="1" applyAlignment="1">
      <alignment vertical="center" wrapText="1"/>
    </xf>
    <xf numFmtId="0" fontId="38" fillId="0" borderId="2" xfId="0" applyFont="1" applyBorder="1" applyAlignment="1">
      <alignment vertical="center" wrapText="1"/>
    </xf>
    <xf numFmtId="167" fontId="21" fillId="0" borderId="1" xfId="0" applyNumberFormat="1" applyFont="1" applyBorder="1" applyAlignment="1">
      <alignment horizontal="center" vertical="center" wrapText="1"/>
    </xf>
    <xf numFmtId="166" fontId="61" fillId="0" borderId="0" xfId="0" applyNumberFormat="1" applyFont="1" applyAlignment="1">
      <alignment wrapText="1"/>
    </xf>
    <xf numFmtId="0" fontId="61" fillId="0" borderId="0" xfId="0" applyFont="1" applyAlignment="1">
      <alignment wrapText="1"/>
    </xf>
    <xf numFmtId="166" fontId="47" fillId="0" borderId="0" xfId="0" applyNumberFormat="1" applyFont="1"/>
    <xf numFmtId="0" fontId="32" fillId="0" borderId="6" xfId="0" applyFont="1" applyBorder="1" applyAlignment="1">
      <alignment horizontal="center" vertical="center" wrapText="1"/>
    </xf>
    <xf numFmtId="0" fontId="25" fillId="3" borderId="1" xfId="0" applyFont="1" applyFill="1" applyBorder="1" applyAlignment="1">
      <alignment horizontal="left" vertical="top" wrapText="1"/>
    </xf>
    <xf numFmtId="0" fontId="32" fillId="0" borderId="6" xfId="0" applyFont="1" applyBorder="1" applyAlignment="1">
      <alignment horizontal="center" vertical="center"/>
    </xf>
    <xf numFmtId="0" fontId="32" fillId="0" borderId="6" xfId="0" applyFont="1" applyBorder="1" applyAlignment="1">
      <alignment vertical="center" wrapText="1"/>
    </xf>
    <xf numFmtId="0" fontId="25" fillId="0" borderId="6" xfId="0" applyFont="1" applyBorder="1" applyAlignment="1">
      <alignment horizontal="left" vertical="center" wrapText="1"/>
    </xf>
    <xf numFmtId="0" fontId="58" fillId="0" borderId="0" xfId="0" applyFont="1"/>
    <xf numFmtId="0" fontId="0" fillId="0" borderId="29" xfId="0" applyBorder="1"/>
    <xf numFmtId="0" fontId="52" fillId="0" borderId="3" xfId="0" applyFont="1" applyBorder="1" applyAlignment="1">
      <alignment horizontal="left" vertical="top" wrapText="1"/>
    </xf>
    <xf numFmtId="0" fontId="25" fillId="3" borderId="1" xfId="0" applyFont="1" applyFill="1" applyBorder="1" applyAlignment="1">
      <alignment vertical="top" wrapText="1"/>
    </xf>
    <xf numFmtId="0" fontId="32" fillId="3" borderId="1" xfId="0" applyFont="1" applyFill="1" applyBorder="1" applyAlignment="1">
      <alignment vertical="top" wrapText="1"/>
    </xf>
    <xf numFmtId="0" fontId="25" fillId="3" borderId="6" xfId="0" applyFont="1" applyFill="1" applyBorder="1" applyAlignment="1">
      <alignment vertical="top" wrapText="1"/>
    </xf>
    <xf numFmtId="0" fontId="38" fillId="3" borderId="1" xfId="0" applyFont="1" applyFill="1" applyBorder="1" applyAlignment="1">
      <alignment vertical="top" wrapText="1"/>
    </xf>
    <xf numFmtId="0" fontId="38" fillId="0" borderId="6" xfId="0" applyFont="1" applyBorder="1" applyAlignment="1">
      <alignment horizontal="center" vertical="center"/>
    </xf>
    <xf numFmtId="0" fontId="38" fillId="0" borderId="6" xfId="0" applyFont="1" applyBorder="1" applyAlignment="1">
      <alignment horizontal="left" vertical="center" wrapText="1"/>
    </xf>
    <xf numFmtId="4" fontId="38" fillId="0" borderId="6" xfId="0" applyNumberFormat="1" applyFont="1" applyBorder="1" applyAlignment="1">
      <alignment horizontal="center" vertical="center" wrapText="1"/>
    </xf>
    <xf numFmtId="0" fontId="25" fillId="0" borderId="6" xfId="0" applyFont="1" applyBorder="1" applyAlignment="1">
      <alignment horizontal="left" vertical="top" wrapText="1"/>
    </xf>
    <xf numFmtId="0" fontId="55" fillId="0" borderId="1" xfId="0" applyFont="1" applyBorder="1" applyAlignment="1">
      <alignment horizontal="left" wrapText="1"/>
    </xf>
    <xf numFmtId="0" fontId="25" fillId="3" borderId="1" xfId="0" applyFont="1" applyFill="1" applyBorder="1" applyAlignment="1">
      <alignment wrapText="1"/>
    </xf>
    <xf numFmtId="0" fontId="38" fillId="0" borderId="8" xfId="0" applyFont="1" applyBorder="1" applyAlignment="1">
      <alignment horizontal="center" vertical="center" wrapText="1"/>
    </xf>
    <xf numFmtId="166" fontId="38" fillId="0" borderId="6" xfId="0" applyNumberFormat="1" applyFont="1" applyBorder="1" applyAlignment="1">
      <alignment horizontal="center" vertical="center" wrapText="1"/>
    </xf>
    <xf numFmtId="0" fontId="38" fillId="0" borderId="11" xfId="0" applyFont="1" applyBorder="1" applyAlignment="1">
      <alignment horizontal="left" vertical="center" wrapText="1"/>
    </xf>
    <xf numFmtId="0" fontId="34" fillId="0" borderId="29" xfId="0" applyFont="1" applyBorder="1" applyAlignment="1">
      <alignment vertical="top" wrapText="1"/>
    </xf>
    <xf numFmtId="0" fontId="25" fillId="3" borderId="11" xfId="0" applyFont="1" applyFill="1" applyBorder="1" applyAlignment="1">
      <alignment vertical="top" wrapText="1"/>
    </xf>
    <xf numFmtId="166" fontId="38" fillId="0" borderId="6" xfId="0" applyNumberFormat="1" applyFont="1" applyBorder="1" applyAlignment="1">
      <alignment horizontal="center" vertical="center"/>
    </xf>
    <xf numFmtId="4" fontId="38" fillId="0" borderId="11" xfId="0" applyNumberFormat="1" applyFont="1" applyBorder="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8" fillId="0" borderId="11" xfId="0" applyFont="1" applyBorder="1" applyAlignment="1">
      <alignment horizontal="center" vertical="center"/>
    </xf>
    <xf numFmtId="166" fontId="38" fillId="0" borderId="8" xfId="0" applyNumberFormat="1" applyFont="1" applyBorder="1" applyAlignment="1">
      <alignment horizontal="center" vertical="center" wrapText="1"/>
    </xf>
    <xf numFmtId="166" fontId="38" fillId="0" borderId="2" xfId="0" applyNumberFormat="1" applyFont="1" applyBorder="1" applyAlignment="1">
      <alignment horizontal="center" vertical="center"/>
    </xf>
    <xf numFmtId="166" fontId="38" fillId="0" borderId="11" xfId="0" applyNumberFormat="1" applyFont="1" applyBorder="1" applyAlignment="1">
      <alignment horizontal="center" vertical="center"/>
    </xf>
    <xf numFmtId="0" fontId="69" fillId="0" borderId="1" xfId="0" applyFont="1" applyBorder="1" applyAlignment="1">
      <alignment horizontal="center" vertical="center"/>
    </xf>
    <xf numFmtId="0" fontId="20" fillId="0" borderId="1" xfId="0" applyFont="1" applyBorder="1" applyAlignment="1">
      <alignment horizontal="center" vertical="center" wrapText="1"/>
    </xf>
    <xf numFmtId="4" fontId="0" fillId="0" borderId="0" xfId="0" applyNumberFormat="1"/>
    <xf numFmtId="0" fontId="20" fillId="0" borderId="1" xfId="0" applyFont="1" applyBorder="1" applyAlignment="1">
      <alignment horizontal="center" vertical="center"/>
    </xf>
    <xf numFmtId="3" fontId="69" fillId="0" borderId="1" xfId="0" applyNumberFormat="1" applyFont="1" applyBorder="1" applyAlignment="1">
      <alignment horizontal="center" vertical="center"/>
    </xf>
    <xf numFmtId="3" fontId="69" fillId="0" borderId="1" xfId="0" applyNumberFormat="1" applyFont="1" applyBorder="1" applyAlignment="1">
      <alignment horizontal="center" vertical="center" wrapText="1"/>
    </xf>
    <xf numFmtId="0" fontId="20" fillId="0" borderId="0" xfId="0" applyFont="1"/>
    <xf numFmtId="0" fontId="20" fillId="0" borderId="0" xfId="0" applyFont="1" applyAlignment="1">
      <alignment horizontal="center" vertical="center"/>
    </xf>
    <xf numFmtId="166" fontId="20" fillId="0" borderId="0" xfId="0" applyNumberFormat="1" applyFont="1"/>
    <xf numFmtId="0" fontId="71" fillId="0" borderId="0" xfId="0" applyFont="1" applyAlignment="1">
      <alignment horizontal="center" vertical="center"/>
    </xf>
    <xf numFmtId="4" fontId="69" fillId="0" borderId="1" xfId="0" applyNumberFormat="1" applyFont="1" applyBorder="1" applyAlignment="1">
      <alignment horizontal="center" vertical="center" wrapText="1"/>
    </xf>
    <xf numFmtId="0" fontId="73" fillId="0" borderId="1" xfId="0" applyFont="1" applyBorder="1" applyAlignment="1">
      <alignment horizontal="center" vertical="center" wrapText="1"/>
    </xf>
    <xf numFmtId="0" fontId="73" fillId="2" borderId="1" xfId="0" applyFont="1" applyFill="1" applyBorder="1" applyAlignment="1">
      <alignment horizontal="center" vertical="center" wrapText="1"/>
    </xf>
    <xf numFmtId="0" fontId="74" fillId="0" borderId="0" xfId="0" applyFont="1"/>
    <xf numFmtId="0" fontId="69" fillId="0" borderId="6" xfId="0" applyFont="1" applyBorder="1" applyAlignment="1">
      <alignment horizontal="center" vertical="center"/>
    </xf>
    <xf numFmtId="0" fontId="69" fillId="0" borderId="6" xfId="0" applyFont="1" applyBorder="1" applyAlignment="1">
      <alignment horizontal="center" vertical="center" wrapText="1"/>
    </xf>
    <xf numFmtId="166" fontId="69" fillId="0" borderId="6" xfId="0" applyNumberFormat="1" applyFont="1" applyBorder="1" applyAlignment="1">
      <alignment horizontal="center" vertical="center"/>
    </xf>
    <xf numFmtId="0" fontId="69" fillId="0" borderId="1" xfId="0" applyFont="1" applyBorder="1" applyAlignment="1">
      <alignment horizontal="center" vertical="center" wrapText="1"/>
    </xf>
    <xf numFmtId="166" fontId="69" fillId="0" borderId="1" xfId="0" applyNumberFormat="1" applyFont="1" applyBorder="1" applyAlignment="1">
      <alignment horizontal="center" vertical="center"/>
    </xf>
    <xf numFmtId="0" fontId="20" fillId="0" borderId="0" xfId="0" applyFont="1" applyAlignment="1">
      <alignment horizontal="center"/>
    </xf>
    <xf numFmtId="4" fontId="20" fillId="0" borderId="0" xfId="0" applyNumberFormat="1" applyFont="1" applyAlignment="1">
      <alignment horizontal="center" vertical="center"/>
    </xf>
    <xf numFmtId="4" fontId="20" fillId="0" borderId="0" xfId="0" applyNumberFormat="1" applyFont="1"/>
    <xf numFmtId="168" fontId="20" fillId="0" borderId="0" xfId="1" applyNumberFormat="1" applyFont="1"/>
    <xf numFmtId="0" fontId="20" fillId="0" borderId="0" xfId="0" applyFont="1" applyAlignment="1">
      <alignment horizontal="right"/>
    </xf>
    <xf numFmtId="0" fontId="20" fillId="0" borderId="0" xfId="0" applyFont="1" applyAlignment="1">
      <alignment vertical="center" wrapText="1"/>
    </xf>
    <xf numFmtId="0" fontId="20" fillId="0" borderId="34" xfId="0" applyFont="1" applyBorder="1" applyAlignment="1">
      <alignment horizontal="center" vertical="center"/>
    </xf>
    <xf numFmtId="3" fontId="20" fillId="0" borderId="1" xfId="0" applyNumberFormat="1" applyFont="1" applyBorder="1" applyAlignment="1">
      <alignment horizontal="center" vertical="center" wrapText="1"/>
    </xf>
    <xf numFmtId="3" fontId="20" fillId="0" borderId="35" xfId="0" applyNumberFormat="1" applyFont="1" applyBorder="1" applyAlignment="1">
      <alignment horizontal="center" vertical="center" wrapText="1"/>
    </xf>
    <xf numFmtId="0" fontId="69" fillId="0" borderId="34" xfId="0" applyFont="1" applyBorder="1" applyAlignment="1">
      <alignment horizontal="center" vertical="center"/>
    </xf>
    <xf numFmtId="3" fontId="69" fillId="0" borderId="35" xfId="0" applyNumberFormat="1" applyFont="1" applyBorder="1" applyAlignment="1">
      <alignment horizontal="center" vertical="center"/>
    </xf>
    <xf numFmtId="3" fontId="69" fillId="0" borderId="35" xfId="0" applyNumberFormat="1" applyFont="1" applyBorder="1" applyAlignment="1">
      <alignment horizontal="center" vertical="center" wrapText="1"/>
    </xf>
    <xf numFmtId="0" fontId="69" fillId="0" borderId="34" xfId="0" applyFont="1" applyBorder="1" applyAlignment="1">
      <alignment horizontal="center" vertical="center" wrapText="1"/>
    </xf>
    <xf numFmtId="3" fontId="20" fillId="0" borderId="0" xfId="0" applyNumberFormat="1" applyFont="1"/>
    <xf numFmtId="0" fontId="76" fillId="0" borderId="1" xfId="0" applyFont="1" applyBorder="1" applyAlignment="1">
      <alignment horizontal="center" vertical="center"/>
    </xf>
    <xf numFmtId="0" fontId="76" fillId="0" borderId="1" xfId="0" applyFont="1" applyBorder="1" applyAlignment="1">
      <alignment vertical="center"/>
    </xf>
    <xf numFmtId="0" fontId="77" fillId="0" borderId="0" xfId="0" applyFont="1" applyAlignment="1">
      <alignment vertical="center"/>
    </xf>
    <xf numFmtId="0" fontId="77" fillId="0" borderId="1" xfId="0" applyFont="1" applyBorder="1" applyAlignment="1">
      <alignment horizontal="center" vertical="center"/>
    </xf>
    <xf numFmtId="0" fontId="77" fillId="0" borderId="1" xfId="0" applyFont="1" applyBorder="1" applyAlignment="1">
      <alignment vertical="center"/>
    </xf>
    <xf numFmtId="0" fontId="78" fillId="0" borderId="1" xfId="0" applyFont="1" applyBorder="1" applyAlignment="1">
      <alignment vertical="center"/>
    </xf>
    <xf numFmtId="0" fontId="79" fillId="0" borderId="1" xfId="0" applyFont="1" applyBorder="1" applyAlignment="1">
      <alignment horizontal="left" vertical="center" wrapText="1"/>
    </xf>
    <xf numFmtId="0" fontId="78" fillId="0" borderId="1" xfId="0" applyFont="1" applyBorder="1" applyAlignment="1">
      <alignment horizontal="left" vertical="center"/>
    </xf>
    <xf numFmtId="0" fontId="81" fillId="0" borderId="1" xfId="0" applyFont="1" applyBorder="1"/>
    <xf numFmtId="0" fontId="81" fillId="0" borderId="1" xfId="0" applyFont="1" applyBorder="1" applyAlignment="1">
      <alignment vertical="top" wrapText="1"/>
    </xf>
    <xf numFmtId="0" fontId="78" fillId="0" borderId="1" xfId="0" applyFont="1" applyBorder="1" applyAlignment="1">
      <alignment vertical="center" wrapText="1"/>
    </xf>
    <xf numFmtId="0" fontId="81" fillId="0" borderId="1" xfId="0" applyFont="1" applyBorder="1" applyAlignment="1">
      <alignment horizontal="left" vertical="top" wrapText="1"/>
    </xf>
    <xf numFmtId="0" fontId="77" fillId="0" borderId="0" xfId="0" applyFont="1" applyAlignment="1">
      <alignment horizontal="center" vertical="center"/>
    </xf>
    <xf numFmtId="169" fontId="0" fillId="0" borderId="0" xfId="2" applyNumberFormat="1" applyFont="1" applyAlignment="1">
      <alignment vertical="center"/>
    </xf>
    <xf numFmtId="0" fontId="69" fillId="0" borderId="10" xfId="0" applyFont="1" applyBorder="1" applyAlignment="1">
      <alignment horizontal="center" vertical="center" wrapText="1"/>
    </xf>
    <xf numFmtId="0" fontId="0" fillId="0" borderId="10" xfId="0" applyBorder="1" applyAlignment="1">
      <alignment horizontal="center" vertical="center" wrapText="1"/>
    </xf>
    <xf numFmtId="4" fontId="0" fillId="2" borderId="0" xfId="0" applyNumberFormat="1" applyFill="1"/>
    <xf numFmtId="1" fontId="69" fillId="0" borderId="1" xfId="0" applyNumberFormat="1" applyFont="1" applyBorder="1" applyAlignment="1">
      <alignment horizontal="center" vertical="center" wrapText="1"/>
    </xf>
    <xf numFmtId="3" fontId="0" fillId="0" borderId="0" xfId="0" applyNumberFormat="1"/>
    <xf numFmtId="1" fontId="28" fillId="0" borderId="1" xfId="0" applyNumberFormat="1" applyFont="1" applyBorder="1" applyAlignment="1">
      <alignment horizontal="center" vertical="center" wrapText="1"/>
    </xf>
    <xf numFmtId="0" fontId="28" fillId="0" borderId="1" xfId="0" applyFont="1" applyBorder="1" applyAlignment="1">
      <alignment horizontal="center" vertical="top" wrapText="1"/>
    </xf>
    <xf numFmtId="0" fontId="28" fillId="2" borderId="34" xfId="0" applyFont="1" applyFill="1" applyBorder="1" applyAlignment="1">
      <alignment horizontal="center" vertical="center" wrapText="1"/>
    </xf>
    <xf numFmtId="1" fontId="69" fillId="0" borderId="35" xfId="0" applyNumberFormat="1" applyFont="1" applyBorder="1" applyAlignment="1">
      <alignment horizontal="center" vertical="center" wrapText="1"/>
    </xf>
    <xf numFmtId="1" fontId="28" fillId="0" borderId="15" xfId="0" applyNumberFormat="1" applyFont="1" applyBorder="1" applyAlignment="1">
      <alignment horizontal="center" vertical="center" wrapText="1"/>
    </xf>
    <xf numFmtId="0" fontId="83" fillId="0" borderId="1" xfId="0" applyFont="1" applyBorder="1" applyAlignment="1">
      <alignment vertical="center"/>
    </xf>
    <xf numFmtId="0" fontId="77" fillId="0" borderId="1" xfId="0" applyFont="1" applyBorder="1" applyAlignment="1">
      <alignment horizontal="left" vertical="center"/>
    </xf>
    <xf numFmtId="0" fontId="84" fillId="0" borderId="1" xfId="0" applyFont="1" applyBorder="1"/>
    <xf numFmtId="0" fontId="84" fillId="0" borderId="1" xfId="0" applyFont="1" applyBorder="1" applyAlignment="1">
      <alignment vertical="top" wrapText="1"/>
    </xf>
    <xf numFmtId="0" fontId="77" fillId="0" borderId="1" xfId="0" applyFont="1" applyBorder="1" applyAlignment="1">
      <alignment vertical="center" wrapText="1"/>
    </xf>
    <xf numFmtId="0" fontId="77" fillId="0" borderId="8" xfId="0" applyFont="1" applyBorder="1" applyAlignment="1">
      <alignment vertical="top"/>
    </xf>
    <xf numFmtId="0" fontId="77" fillId="0" borderId="8" xfId="0" applyFont="1" applyBorder="1" applyAlignment="1">
      <alignment wrapText="1"/>
    </xf>
    <xf numFmtId="0" fontId="69" fillId="0" borderId="0" xfId="0" applyFont="1" applyAlignment="1">
      <alignment vertical="center"/>
    </xf>
    <xf numFmtId="0" fontId="19" fillId="0" borderId="0" xfId="0" applyFont="1"/>
    <xf numFmtId="4" fontId="69" fillId="0" borderId="0" xfId="0" applyNumberFormat="1" applyFont="1"/>
    <xf numFmtId="4" fontId="20" fillId="0" borderId="0" xfId="0" applyNumberFormat="1" applyFont="1" applyAlignment="1">
      <alignment horizontal="right" vertical="center"/>
    </xf>
    <xf numFmtId="2" fontId="19" fillId="0" borderId="1" xfId="0" applyNumberFormat="1" applyFont="1" applyBorder="1" applyAlignment="1">
      <alignment horizontal="center" vertical="center" wrapText="1"/>
    </xf>
    <xf numFmtId="0" fontId="77" fillId="3" borderId="1" xfId="0" applyFont="1" applyFill="1" applyBorder="1" applyAlignment="1">
      <alignment vertical="center"/>
    </xf>
    <xf numFmtId="0" fontId="28" fillId="0" borderId="14" xfId="0" applyFont="1" applyBorder="1" applyAlignment="1">
      <alignment vertical="center" wrapText="1"/>
    </xf>
    <xf numFmtId="4" fontId="28" fillId="0" borderId="35" xfId="0" applyNumberFormat="1" applyFont="1" applyBorder="1" applyAlignment="1">
      <alignment horizontal="left" vertical="center" wrapText="1"/>
    </xf>
    <xf numFmtId="3" fontId="28" fillId="0" borderId="10" xfId="0" applyNumberFormat="1" applyFont="1" applyBorder="1" applyAlignment="1">
      <alignment horizontal="center" vertical="center" wrapText="1"/>
    </xf>
    <xf numFmtId="0" fontId="23" fillId="0" borderId="0" xfId="0" applyFont="1"/>
    <xf numFmtId="0" fontId="73" fillId="0" borderId="2" xfId="0" applyFont="1" applyBorder="1" applyAlignment="1">
      <alignment horizontal="center" vertical="center" wrapText="1"/>
    </xf>
    <xf numFmtId="0" fontId="69" fillId="0" borderId="2" xfId="0" applyFont="1" applyBorder="1" applyAlignment="1">
      <alignment horizontal="center" vertical="center"/>
    </xf>
    <xf numFmtId="0" fontId="20" fillId="4" borderId="0" xfId="0" applyFont="1" applyFill="1"/>
    <xf numFmtId="0" fontId="17" fillId="0" borderId="0" xfId="0" applyFont="1"/>
    <xf numFmtId="0" fontId="87" fillId="0" borderId="0" xfId="0" applyFont="1"/>
    <xf numFmtId="0" fontId="0" fillId="0" borderId="1" xfId="0" applyBorder="1" applyAlignment="1">
      <alignment horizontal="center" vertical="top" wrapText="1"/>
    </xf>
    <xf numFmtId="3" fontId="69" fillId="2" borderId="6" xfId="0" applyNumberFormat="1" applyFont="1" applyFill="1" applyBorder="1" applyAlignment="1">
      <alignment horizontal="center" vertical="center" wrapText="1"/>
    </xf>
    <xf numFmtId="3" fontId="28" fillId="2" borderId="1" xfId="0" applyNumberFormat="1" applyFont="1" applyFill="1" applyBorder="1" applyAlignment="1">
      <alignment horizontal="center" vertical="center" wrapText="1"/>
    </xf>
    <xf numFmtId="4" fontId="28" fillId="2" borderId="1" xfId="0" applyNumberFormat="1" applyFont="1" applyFill="1" applyBorder="1" applyAlignment="1">
      <alignment horizontal="center" vertical="center" wrapText="1"/>
    </xf>
    <xf numFmtId="0" fontId="69" fillId="0" borderId="0" xfId="0" applyFont="1"/>
    <xf numFmtId="0" fontId="28" fillId="0" borderId="0" xfId="0" applyFont="1"/>
    <xf numFmtId="1" fontId="0" fillId="0" borderId="0" xfId="0" applyNumberFormat="1"/>
    <xf numFmtId="3" fontId="0" fillId="2" borderId="0" xfId="0" applyNumberFormat="1" applyFill="1"/>
    <xf numFmtId="3" fontId="28" fillId="0" borderId="35" xfId="0" applyNumberFormat="1" applyFont="1" applyBorder="1" applyAlignment="1">
      <alignment horizontal="center" vertical="center" wrapText="1"/>
    </xf>
    <xf numFmtId="0" fontId="28" fillId="2" borderId="10" xfId="0" applyFont="1" applyFill="1" applyBorder="1" applyAlignment="1">
      <alignment horizontal="center" vertical="center"/>
    </xf>
    <xf numFmtId="3" fontId="28" fillId="0" borderId="1" xfId="0" applyNumberFormat="1" applyFont="1" applyBorder="1" applyAlignment="1">
      <alignment horizontal="center" vertical="center" wrapText="1"/>
    </xf>
    <xf numFmtId="0" fontId="0" fillId="2" borderId="1" xfId="0" applyFill="1" applyBorder="1" applyAlignment="1">
      <alignment horizontal="center" vertical="center"/>
    </xf>
    <xf numFmtId="0" fontId="0" fillId="2" borderId="10" xfId="0" applyFill="1" applyBorder="1" applyAlignment="1">
      <alignment horizontal="center" vertical="center"/>
    </xf>
    <xf numFmtId="4" fontId="69" fillId="0" borderId="2"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4" fontId="28" fillId="0" borderId="10" xfId="0" applyNumberFormat="1" applyFont="1" applyBorder="1" applyAlignment="1">
      <alignment horizontal="center" vertical="center" wrapText="1"/>
    </xf>
    <xf numFmtId="3" fontId="28" fillId="2" borderId="0" xfId="0" applyNumberFormat="1" applyFont="1" applyFill="1"/>
    <xf numFmtId="3" fontId="28" fillId="0" borderId="0" xfId="0" applyNumberFormat="1" applyFont="1"/>
    <xf numFmtId="0" fontId="23" fillId="0" borderId="6"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0" xfId="0" applyFont="1" applyBorder="1" applyAlignment="1">
      <alignment horizontal="center" vertical="center" wrapText="1"/>
    </xf>
    <xf numFmtId="0" fontId="15" fillId="0" borderId="0" xfId="0"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28" xfId="0" applyFont="1" applyBorder="1"/>
    <xf numFmtId="0" fontId="15" fillId="0" borderId="0" xfId="0" applyFont="1" applyAlignment="1">
      <alignment horizontal="center"/>
    </xf>
    <xf numFmtId="166" fontId="15" fillId="0" borderId="0" xfId="0" applyNumberFormat="1" applyFont="1"/>
    <xf numFmtId="4" fontId="15" fillId="0" borderId="0" xfId="0" applyNumberFormat="1" applyFont="1" applyAlignment="1">
      <alignment horizontal="center" vertical="center"/>
    </xf>
    <xf numFmtId="4" fontId="15" fillId="0" borderId="0" xfId="0" applyNumberFormat="1" applyFont="1"/>
    <xf numFmtId="3" fontId="15" fillId="0" borderId="0" xfId="0" applyNumberFormat="1" applyFont="1"/>
    <xf numFmtId="3" fontId="15" fillId="0" borderId="0" xfId="0" applyNumberFormat="1" applyFont="1" applyAlignment="1">
      <alignment horizontal="center" vertical="center"/>
    </xf>
    <xf numFmtId="1" fontId="69" fillId="0" borderId="1" xfId="0" applyNumberFormat="1" applyFont="1" applyBorder="1" applyAlignment="1">
      <alignment horizontal="center" vertical="center"/>
    </xf>
    <xf numFmtId="0" fontId="23" fillId="3" borderId="6"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3" fillId="0" borderId="14" xfId="0" applyFont="1" applyBorder="1" applyAlignment="1">
      <alignment horizontal="center" vertical="center" wrapText="1"/>
    </xf>
    <xf numFmtId="1" fontId="69" fillId="0" borderId="35" xfId="0" applyNumberFormat="1" applyFont="1" applyBorder="1" applyAlignment="1">
      <alignment horizontal="left" vertical="center" wrapText="1"/>
    </xf>
    <xf numFmtId="0" fontId="69" fillId="2" borderId="6" xfId="0" applyFont="1" applyFill="1" applyBorder="1" applyAlignment="1">
      <alignment horizontal="center" vertical="center"/>
    </xf>
    <xf numFmtId="0" fontId="69" fillId="2" borderId="6" xfId="0" applyFont="1" applyFill="1" applyBorder="1" applyAlignment="1">
      <alignment horizontal="center" vertical="center" wrapText="1"/>
    </xf>
    <xf numFmtId="3" fontId="69" fillId="2" borderId="6" xfId="0" applyNumberFormat="1" applyFont="1" applyFill="1" applyBorder="1" applyAlignment="1">
      <alignment horizontal="center" vertical="center"/>
    </xf>
    <xf numFmtId="4" fontId="69" fillId="2" borderId="6" xfId="0" applyNumberFormat="1" applyFont="1" applyFill="1" applyBorder="1" applyAlignment="1">
      <alignment horizontal="center" vertical="center" wrapText="1"/>
    </xf>
    <xf numFmtId="0" fontId="69" fillId="2" borderId="1" xfId="0" applyFont="1" applyFill="1" applyBorder="1" applyAlignment="1">
      <alignment horizontal="center" vertical="center"/>
    </xf>
    <xf numFmtId="1" fontId="69" fillId="2" borderId="1" xfId="0" applyNumberFormat="1" applyFont="1" applyFill="1" applyBorder="1" applyAlignment="1">
      <alignment horizontal="center" vertical="center" wrapText="1"/>
    </xf>
    <xf numFmtId="0" fontId="69" fillId="2" borderId="10" xfId="0" applyFont="1" applyFill="1" applyBorder="1" applyAlignment="1">
      <alignment horizontal="center" vertical="center"/>
    </xf>
    <xf numFmtId="0" fontId="69" fillId="2" borderId="10" xfId="0" applyFont="1" applyFill="1" applyBorder="1" applyAlignment="1">
      <alignment horizontal="center" vertical="center" wrapText="1"/>
    </xf>
    <xf numFmtId="3" fontId="69" fillId="2" borderId="10" xfId="0" applyNumberFormat="1" applyFont="1" applyFill="1" applyBorder="1" applyAlignment="1">
      <alignment horizontal="center" vertical="center"/>
    </xf>
    <xf numFmtId="4" fontId="69" fillId="2" borderId="10"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2" fillId="2" borderId="0" xfId="0" applyFont="1" applyFill="1" applyAlignment="1">
      <alignment horizontal="left"/>
    </xf>
    <xf numFmtId="166" fontId="12" fillId="2" borderId="0" xfId="0" applyNumberFormat="1" applyFont="1" applyFill="1"/>
    <xf numFmtId="0" fontId="12" fillId="2" borderId="0" xfId="0" applyFont="1" applyFill="1" applyAlignment="1">
      <alignment horizontal="center" vertical="center"/>
    </xf>
    <xf numFmtId="0" fontId="12" fillId="2" borderId="0" xfId="0" applyFont="1" applyFill="1"/>
    <xf numFmtId="0" fontId="69" fillId="2" borderId="0" xfId="0" applyFont="1" applyFill="1" applyAlignment="1">
      <alignment vertical="center"/>
    </xf>
    <xf numFmtId="168" fontId="12" fillId="2" borderId="0" xfId="0" applyNumberFormat="1" applyFont="1" applyFill="1"/>
    <xf numFmtId="0" fontId="71" fillId="2" borderId="0" xfId="0" applyFont="1" applyFill="1" applyAlignment="1">
      <alignment horizontal="left" wrapText="1"/>
    </xf>
    <xf numFmtId="9" fontId="12" fillId="2" borderId="0" xfId="3" applyFont="1" applyFill="1"/>
    <xf numFmtId="0" fontId="71" fillId="2" borderId="0" xfId="0" applyFont="1" applyFill="1"/>
    <xf numFmtId="3" fontId="12" fillId="2" borderId="0" xfId="0" applyNumberFormat="1" applyFont="1" applyFill="1"/>
    <xf numFmtId="0" fontId="12" fillId="2" borderId="0" xfId="0" applyFont="1" applyFill="1" applyAlignment="1">
      <alignment horizontal="right"/>
    </xf>
    <xf numFmtId="168" fontId="12" fillId="2" borderId="0" xfId="1" applyNumberFormat="1" applyFont="1" applyFill="1"/>
    <xf numFmtId="0" fontId="69" fillId="2" borderId="0" xfId="0" applyFont="1" applyFill="1" applyAlignment="1">
      <alignment horizontal="center" vertical="center" wrapText="1"/>
    </xf>
    <xf numFmtId="3" fontId="69" fillId="2" borderId="0" xfId="0" applyNumberFormat="1" applyFont="1" applyFill="1" applyAlignment="1">
      <alignment horizontal="center" vertical="center" wrapText="1"/>
    </xf>
    <xf numFmtId="3" fontId="69" fillId="2" borderId="0" xfId="0" applyNumberFormat="1" applyFont="1" applyFill="1" applyAlignment="1">
      <alignment horizontal="center" vertical="center"/>
    </xf>
    <xf numFmtId="0" fontId="69" fillId="2" borderId="0" xfId="0" applyFont="1" applyFill="1" applyAlignment="1">
      <alignment horizontal="center" vertical="center"/>
    </xf>
    <xf numFmtId="4" fontId="69" fillId="2" borderId="0" xfId="0" applyNumberFormat="1" applyFont="1" applyFill="1" applyAlignment="1">
      <alignment horizontal="center" vertical="center" wrapText="1"/>
    </xf>
    <xf numFmtId="0" fontId="69" fillId="2" borderId="0" xfId="0" applyFont="1" applyFill="1" applyAlignment="1">
      <alignment horizontal="left" vertical="center" wrapText="1"/>
    </xf>
    <xf numFmtId="0" fontId="20" fillId="2" borderId="34"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2" borderId="35" xfId="0" applyNumberFormat="1"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0" xfId="1" applyNumberFormat="1" applyFont="1" applyFill="1"/>
    <xf numFmtId="3" fontId="69" fillId="2" borderId="0" xfId="1" applyNumberFormat="1" applyFont="1" applyFill="1"/>
    <xf numFmtId="0" fontId="11" fillId="2" borderId="0" xfId="0" applyFont="1" applyFill="1" applyAlignment="1">
      <alignment horizontal="center"/>
    </xf>
    <xf numFmtId="3" fontId="12" fillId="2" borderId="0" xfId="0" applyNumberFormat="1" applyFont="1" applyFill="1" applyAlignment="1">
      <alignment horizontal="center"/>
    </xf>
    <xf numFmtId="0" fontId="28" fillId="2" borderId="1"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69" fillId="2" borderId="1" xfId="0" applyFont="1" applyFill="1" applyBorder="1" applyAlignment="1">
      <alignment horizontal="center" vertical="center" wrapText="1"/>
    </xf>
    <xf numFmtId="3" fontId="69" fillId="2" borderId="2" xfId="0" applyNumberFormat="1" applyFont="1" applyFill="1" applyBorder="1" applyAlignment="1">
      <alignment horizontal="center" vertical="center" wrapText="1"/>
    </xf>
    <xf numFmtId="1" fontId="69" fillId="2" borderId="2"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4" fontId="69" fillId="2" borderId="1" xfId="0" applyNumberFormat="1" applyFont="1" applyFill="1" applyBorder="1" applyAlignment="1">
      <alignment horizontal="center" vertical="center" wrapText="1"/>
    </xf>
    <xf numFmtId="3" fontId="69" fillId="2" borderId="1" xfId="0" applyNumberFormat="1" applyFont="1" applyFill="1" applyBorder="1" applyAlignment="1">
      <alignment horizontal="center" vertical="center" wrapText="1"/>
    </xf>
    <xf numFmtId="3" fontId="69" fillId="2"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4" fontId="69" fillId="2" borderId="2" xfId="0" applyNumberFormat="1" applyFont="1" applyFill="1" applyBorder="1" applyAlignment="1">
      <alignment horizontal="center" vertical="center" wrapText="1"/>
    </xf>
    <xf numFmtId="0" fontId="69" fillId="2" borderId="2" xfId="0" applyFont="1" applyFill="1" applyBorder="1" applyAlignment="1">
      <alignment horizontal="center" vertical="center" wrapText="1"/>
    </xf>
    <xf numFmtId="4" fontId="28" fillId="0" borderId="6" xfId="0" applyNumberFormat="1" applyFont="1" applyBorder="1" applyAlignment="1">
      <alignment horizontal="center" vertical="center" wrapText="1"/>
    </xf>
    <xf numFmtId="0" fontId="28" fillId="0" borderId="35" xfId="0" applyFont="1" applyBorder="1" applyAlignment="1">
      <alignment vertical="center" wrapText="1" readingOrder="1"/>
    </xf>
    <xf numFmtId="0" fontId="28" fillId="0" borderId="35" xfId="0" applyFont="1" applyBorder="1" applyAlignment="1">
      <alignment vertical="center" wrapText="1"/>
    </xf>
    <xf numFmtId="4" fontId="28" fillId="0" borderId="15" xfId="0" applyNumberFormat="1" applyFont="1" applyBorder="1" applyAlignment="1">
      <alignment horizontal="left" vertical="center" wrapText="1"/>
    </xf>
    <xf numFmtId="0" fontId="23" fillId="0" borderId="2" xfId="0" applyFont="1" applyBorder="1" applyAlignment="1">
      <alignment horizontal="center" vertical="center" wrapText="1"/>
    </xf>
    <xf numFmtId="166" fontId="23" fillId="0" borderId="12" xfId="0" applyNumberFormat="1" applyFont="1" applyBorder="1" applyAlignment="1">
      <alignment horizontal="left" vertical="center" wrapText="1"/>
    </xf>
    <xf numFmtId="0" fontId="24" fillId="0" borderId="12" xfId="0" applyFont="1" applyBorder="1" applyAlignment="1">
      <alignment horizontal="center" vertical="center" wrapText="1"/>
    </xf>
    <xf numFmtId="0" fontId="23" fillId="0" borderId="2" xfId="0" applyFont="1" applyBorder="1" applyAlignment="1">
      <alignment vertical="top"/>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5" fillId="2" borderId="6" xfId="0" applyFont="1" applyFill="1" applyBorder="1" applyAlignment="1">
      <alignment horizontal="center" vertical="center"/>
    </xf>
    <xf numFmtId="3" fontId="69" fillId="0" borderId="6" xfId="0" applyNumberFormat="1" applyFont="1" applyBorder="1" applyAlignment="1">
      <alignment horizontal="center" vertical="center"/>
    </xf>
    <xf numFmtId="4" fontId="69" fillId="0" borderId="6" xfId="0" applyNumberFormat="1" applyFont="1" applyBorder="1" applyAlignment="1">
      <alignment horizontal="center" vertical="center" wrapText="1"/>
    </xf>
    <xf numFmtId="0" fontId="69" fillId="2" borderId="14" xfId="0" applyFont="1" applyFill="1" applyBorder="1" applyAlignment="1">
      <alignment vertical="center" wrapText="1"/>
    </xf>
    <xf numFmtId="0" fontId="69" fillId="0" borderId="35" xfId="0" applyFont="1" applyBorder="1" applyAlignment="1">
      <alignment vertical="center" wrapText="1"/>
    </xf>
    <xf numFmtId="0" fontId="69" fillId="0" borderId="35" xfId="0" applyFont="1" applyBorder="1" applyAlignment="1">
      <alignment horizontal="left" vertical="center" wrapText="1"/>
    </xf>
    <xf numFmtId="4" fontId="69" fillId="0" borderId="10" xfId="0" applyNumberFormat="1" applyFont="1" applyBorder="1" applyAlignment="1">
      <alignment horizontal="center" vertical="center" wrapText="1"/>
    </xf>
    <xf numFmtId="0" fontId="73" fillId="2" borderId="2" xfId="0" applyFont="1" applyFill="1" applyBorder="1" applyAlignment="1">
      <alignment horizontal="center" vertical="center" wrapText="1"/>
    </xf>
    <xf numFmtId="1" fontId="69" fillId="0" borderId="2" xfId="0" applyNumberFormat="1" applyFont="1" applyBorder="1" applyAlignment="1">
      <alignment horizontal="center" vertical="center" wrapText="1"/>
    </xf>
    <xf numFmtId="3" fontId="69" fillId="0" borderId="2" xfId="0" applyNumberFormat="1" applyFont="1" applyBorder="1" applyAlignment="1">
      <alignment horizontal="center" vertical="center"/>
    </xf>
    <xf numFmtId="0" fontId="69" fillId="0" borderId="36" xfId="0" applyFont="1" applyBorder="1" applyAlignment="1">
      <alignment horizontal="left" vertical="center" wrapText="1"/>
    </xf>
    <xf numFmtId="0" fontId="69" fillId="2" borderId="35" xfId="0" applyFont="1" applyFill="1" applyBorder="1" applyAlignment="1">
      <alignment vertical="center" wrapText="1"/>
    </xf>
    <xf numFmtId="0" fontId="69" fillId="2" borderId="2" xfId="0" applyFont="1" applyFill="1" applyBorder="1" applyAlignment="1">
      <alignment horizontal="center" vertical="center"/>
    </xf>
    <xf numFmtId="0" fontId="69" fillId="2" borderId="36" xfId="0" applyFont="1" applyFill="1" applyBorder="1" applyAlignment="1">
      <alignment vertical="center" wrapText="1"/>
    </xf>
    <xf numFmtId="0" fontId="69" fillId="0" borderId="14" xfId="0" applyFont="1" applyBorder="1" applyAlignment="1">
      <alignment vertical="center" wrapText="1"/>
    </xf>
    <xf numFmtId="0" fontId="28" fillId="2" borderId="35" xfId="0" applyFont="1" applyFill="1" applyBorder="1" applyAlignment="1">
      <alignment vertical="center" wrapText="1"/>
    </xf>
    <xf numFmtId="0" fontId="28" fillId="2" borderId="15" xfId="0" applyFont="1" applyFill="1" applyBorder="1" applyAlignment="1">
      <alignment vertical="top" wrapText="1"/>
    </xf>
    <xf numFmtId="0" fontId="9" fillId="0" borderId="0" xfId="0" applyFont="1"/>
    <xf numFmtId="0" fontId="28" fillId="0" borderId="9" xfId="0" applyFont="1" applyBorder="1" applyAlignment="1">
      <alignment horizontal="center" vertical="center" wrapText="1"/>
    </xf>
    <xf numFmtId="3" fontId="69" fillId="3" borderId="1" xfId="0" applyNumberFormat="1" applyFont="1" applyFill="1" applyBorder="1" applyAlignment="1">
      <alignment horizontal="center" vertical="center" wrapText="1"/>
    </xf>
    <xf numFmtId="3" fontId="69" fillId="3" borderId="1" xfId="0" applyNumberFormat="1" applyFont="1" applyFill="1" applyBorder="1" applyAlignment="1">
      <alignment horizontal="center" vertical="center"/>
    </xf>
    <xf numFmtId="0" fontId="28" fillId="3" borderId="1" xfId="0" applyFont="1" applyFill="1" applyBorder="1" applyAlignment="1">
      <alignment horizontal="center" vertical="center"/>
    </xf>
    <xf numFmtId="3" fontId="28" fillId="3" borderId="1" xfId="0" applyNumberFormat="1" applyFont="1" applyFill="1" applyBorder="1" applyAlignment="1">
      <alignment horizontal="center" vertical="center" wrapText="1"/>
    </xf>
    <xf numFmtId="3" fontId="69" fillId="3" borderId="2" xfId="0" applyNumberFormat="1" applyFont="1" applyFill="1" applyBorder="1" applyAlignment="1">
      <alignment horizontal="center" vertical="center"/>
    </xf>
    <xf numFmtId="3" fontId="69" fillId="3" borderId="6" xfId="0" applyNumberFormat="1" applyFont="1" applyFill="1" applyBorder="1" applyAlignment="1">
      <alignment horizontal="center" vertical="center"/>
    </xf>
    <xf numFmtId="0" fontId="69" fillId="0" borderId="0" xfId="0" applyFont="1" applyAlignment="1">
      <alignment wrapText="1"/>
    </xf>
    <xf numFmtId="0" fontId="28" fillId="0" borderId="0" xfId="0" applyFont="1" applyAlignment="1">
      <alignment wrapText="1"/>
    </xf>
    <xf numFmtId="1" fontId="28" fillId="3" borderId="1" xfId="0" applyNumberFormat="1" applyFont="1" applyFill="1" applyBorder="1" applyAlignment="1">
      <alignment horizontal="center" vertical="center" wrapText="1"/>
    </xf>
    <xf numFmtId="1" fontId="28" fillId="3" borderId="10" xfId="0" applyNumberFormat="1" applyFont="1" applyFill="1" applyBorder="1" applyAlignment="1">
      <alignment horizontal="center" vertical="center" wrapText="1"/>
    </xf>
    <xf numFmtId="0" fontId="69" fillId="3" borderId="17" xfId="0" applyFont="1" applyFill="1" applyBorder="1" applyAlignment="1">
      <alignment vertical="center" wrapText="1"/>
    </xf>
    <xf numFmtId="0" fontId="69" fillId="3" borderId="3" xfId="0" applyFont="1" applyFill="1" applyBorder="1" applyAlignment="1">
      <alignment vertical="center" wrapText="1"/>
    </xf>
    <xf numFmtId="0" fontId="28" fillId="2" borderId="3" xfId="0" applyFont="1" applyFill="1" applyBorder="1" applyAlignment="1">
      <alignment vertical="center" wrapText="1"/>
    </xf>
    <xf numFmtId="0" fontId="28" fillId="3" borderId="24" xfId="0" applyFont="1" applyFill="1" applyBorder="1" applyAlignment="1">
      <alignment vertical="top" wrapText="1"/>
    </xf>
    <xf numFmtId="0" fontId="0" fillId="0" borderId="34" xfId="0" applyBorder="1" applyAlignment="1">
      <alignment horizontal="center" vertical="center" wrapText="1"/>
    </xf>
    <xf numFmtId="0" fontId="28" fillId="0" borderId="10" xfId="0" applyFont="1" applyBorder="1" applyAlignment="1">
      <alignment horizontal="center" vertical="top" wrapText="1"/>
    </xf>
    <xf numFmtId="0" fontId="92" fillId="5" borderId="3" xfId="0" applyFont="1" applyFill="1" applyBorder="1" applyAlignment="1">
      <alignment vertical="center" wrapText="1"/>
    </xf>
    <xf numFmtId="0" fontId="8" fillId="0" borderId="0" xfId="0" applyFont="1"/>
    <xf numFmtId="0" fontId="24" fillId="3" borderId="3" xfId="0" applyFont="1" applyFill="1" applyBorder="1" applyAlignment="1">
      <alignment vertical="top" wrapText="1"/>
    </xf>
    <xf numFmtId="0" fontId="8" fillId="0" borderId="29" xfId="0" applyFont="1" applyBorder="1"/>
    <xf numFmtId="0" fontId="15" fillId="0" borderId="29" xfId="0" applyFont="1" applyBorder="1"/>
    <xf numFmtId="0" fontId="24" fillId="0" borderId="29" xfId="0" applyFont="1" applyBorder="1" applyAlignment="1">
      <alignment vertical="top" wrapText="1"/>
    </xf>
    <xf numFmtId="0" fontId="86" fillId="0" borderId="29" xfId="0" applyFont="1" applyBorder="1" applyAlignment="1">
      <alignment vertical="top" wrapText="1"/>
    </xf>
    <xf numFmtId="0" fontId="86" fillId="0" borderId="29" xfId="0" applyFont="1" applyBorder="1" applyAlignment="1">
      <alignment vertical="center" wrapText="1"/>
    </xf>
    <xf numFmtId="0" fontId="69" fillId="0" borderId="29" xfId="0" applyFont="1" applyBorder="1" applyAlignment="1">
      <alignment vertical="center" wrapText="1"/>
    </xf>
    <xf numFmtId="3" fontId="20" fillId="3" borderId="1" xfId="0" applyNumberFormat="1" applyFont="1" applyFill="1" applyBorder="1" applyAlignment="1">
      <alignment horizontal="center" vertical="center" wrapText="1"/>
    </xf>
    <xf numFmtId="0" fontId="20" fillId="0" borderId="0" xfId="0" applyFont="1" applyAlignment="1">
      <alignment wrapText="1"/>
    </xf>
    <xf numFmtId="0" fontId="18" fillId="0" borderId="0" xfId="0" applyFont="1" applyAlignment="1">
      <alignment wrapText="1"/>
    </xf>
    <xf numFmtId="0" fontId="20" fillId="2" borderId="0" xfId="0" applyFont="1" applyFill="1" applyAlignment="1">
      <alignment wrapText="1"/>
    </xf>
    <xf numFmtId="0" fontId="13" fillId="0" borderId="0" xfId="0" applyFont="1" applyAlignment="1">
      <alignment wrapText="1"/>
    </xf>
    <xf numFmtId="0" fontId="16" fillId="0" borderId="0" xfId="0" applyFont="1" applyAlignment="1">
      <alignment wrapText="1"/>
    </xf>
    <xf numFmtId="0" fontId="28" fillId="3" borderId="24" xfId="0" applyFont="1" applyFill="1" applyBorder="1" applyAlignment="1">
      <alignment vertical="center" wrapText="1"/>
    </xf>
    <xf numFmtId="1" fontId="28" fillId="3" borderId="6" xfId="0" applyNumberFormat="1" applyFont="1" applyFill="1" applyBorder="1" applyAlignment="1">
      <alignment horizontal="center" vertical="center" wrapText="1"/>
    </xf>
    <xf numFmtId="0" fontId="28" fillId="3" borderId="14" xfId="0" applyFont="1" applyFill="1" applyBorder="1" applyAlignment="1">
      <alignment vertical="center" wrapText="1"/>
    </xf>
    <xf numFmtId="4" fontId="28" fillId="3" borderId="35" xfId="0" applyNumberFormat="1" applyFont="1" applyFill="1" applyBorder="1" applyAlignment="1">
      <alignment horizontal="left" vertical="center" wrapText="1"/>
    </xf>
    <xf numFmtId="4" fontId="69" fillId="3" borderId="35" xfId="0" applyNumberFormat="1" applyFont="1" applyFill="1" applyBorder="1" applyAlignment="1">
      <alignment horizontal="left" vertical="center" wrapText="1"/>
    </xf>
    <xf numFmtId="0" fontId="0" fillId="2" borderId="1" xfId="0" applyFill="1" applyBorder="1" applyAlignment="1">
      <alignment vertical="center"/>
    </xf>
    <xf numFmtId="0" fontId="0" fillId="0" borderId="1" xfId="0" applyBorder="1"/>
    <xf numFmtId="0" fontId="69" fillId="2" borderId="17" xfId="0" applyFont="1" applyFill="1" applyBorder="1" applyAlignment="1">
      <alignment horizontal="left" vertical="center" wrapText="1"/>
    </xf>
    <xf numFmtId="0" fontId="69" fillId="2" borderId="3" xfId="0" applyFont="1" applyFill="1" applyBorder="1" applyAlignment="1">
      <alignment horizontal="left" vertical="center" wrapText="1"/>
    </xf>
    <xf numFmtId="0" fontId="69" fillId="2" borderId="18" xfId="0" applyFont="1" applyFill="1" applyBorder="1" applyAlignment="1">
      <alignment horizontal="left" vertical="center" wrapText="1"/>
    </xf>
    <xf numFmtId="168" fontId="12" fillId="2" borderId="1" xfId="1" applyNumberFormat="1" applyFont="1" applyFill="1" applyBorder="1" applyAlignment="1">
      <alignment horizontal="left" vertical="top" wrapText="1"/>
    </xf>
    <xf numFmtId="3" fontId="69" fillId="2" borderId="1" xfId="0" applyNumberFormat="1" applyFont="1" applyFill="1" applyBorder="1" applyAlignment="1">
      <alignment horizontal="left" vertical="center" wrapText="1"/>
    </xf>
    <xf numFmtId="0" fontId="71" fillId="2" borderId="1" xfId="0" applyFont="1" applyFill="1" applyBorder="1" applyAlignment="1">
      <alignment horizontal="left" wrapText="1"/>
    </xf>
    <xf numFmtId="168" fontId="12" fillId="2" borderId="1" xfId="1" applyNumberFormat="1" applyFont="1" applyFill="1" applyBorder="1" applyAlignment="1">
      <alignment wrapText="1"/>
    </xf>
    <xf numFmtId="0" fontId="69" fillId="2" borderId="1" xfId="0" applyFont="1" applyFill="1" applyBorder="1" applyAlignment="1">
      <alignment horizontal="left" wrapText="1"/>
    </xf>
    <xf numFmtId="1" fontId="69" fillId="3" borderId="1" xfId="0" applyNumberFormat="1" applyFont="1" applyFill="1" applyBorder="1" applyAlignment="1">
      <alignment horizontal="center" vertical="center" wrapText="1"/>
    </xf>
    <xf numFmtId="0" fontId="7" fillId="0" borderId="0" xfId="0" applyFont="1"/>
    <xf numFmtId="0" fontId="28" fillId="0" borderId="29" xfId="0" applyFont="1" applyBorder="1" applyAlignment="1">
      <alignment vertical="center" wrapText="1"/>
    </xf>
    <xf numFmtId="0" fontId="73" fillId="3" borderId="3" xfId="0" applyFont="1" applyFill="1" applyBorder="1" applyAlignment="1">
      <alignment vertical="center" wrapText="1"/>
    </xf>
    <xf numFmtId="0" fontId="6" fillId="0" borderId="29" xfId="0" applyFont="1" applyBorder="1" applyAlignment="1">
      <alignment vertical="center" wrapText="1"/>
    </xf>
    <xf numFmtId="4" fontId="9" fillId="0" borderId="0" xfId="0" applyNumberFormat="1" applyFont="1"/>
    <xf numFmtId="0" fontId="5" fillId="0" borderId="0" xfId="0" applyFont="1" applyAlignment="1">
      <alignment horizontal="right"/>
    </xf>
    <xf numFmtId="0" fontId="23" fillId="0" borderId="0" xfId="0" applyFont="1" applyAlignment="1">
      <alignment horizontal="center" vertical="center"/>
    </xf>
    <xf numFmtId="3" fontId="69" fillId="3" borderId="6" xfId="0" applyNumberFormat="1" applyFont="1" applyFill="1" applyBorder="1" applyAlignment="1">
      <alignment horizontal="center" vertical="center" wrapText="1"/>
    </xf>
    <xf numFmtId="3" fontId="69" fillId="3" borderId="2" xfId="0" applyNumberFormat="1" applyFont="1" applyFill="1" applyBorder="1" applyAlignment="1">
      <alignment horizontal="center" vertical="center" wrapText="1"/>
    </xf>
    <xf numFmtId="0" fontId="89" fillId="0" borderId="10" xfId="0" applyFont="1" applyBorder="1" applyAlignment="1">
      <alignment horizontal="center" vertical="center" wrapText="1"/>
    </xf>
    <xf numFmtId="0" fontId="8" fillId="0" borderId="29" xfId="0" applyFont="1" applyBorder="1" applyAlignment="1">
      <alignment vertical="center"/>
    </xf>
    <xf numFmtId="0" fontId="4" fillId="0" borderId="29" xfId="0" applyFont="1" applyBorder="1" applyAlignment="1">
      <alignment vertical="center"/>
    </xf>
    <xf numFmtId="0" fontId="100" fillId="3" borderId="3" xfId="0" applyFont="1" applyFill="1" applyBorder="1" applyAlignment="1">
      <alignment vertical="top" wrapText="1"/>
    </xf>
    <xf numFmtId="0" fontId="92" fillId="5" borderId="3" xfId="0" applyFont="1" applyFill="1" applyBorder="1" applyAlignment="1">
      <alignment wrapText="1"/>
    </xf>
    <xf numFmtId="0" fontId="95" fillId="5" borderId="24" xfId="0" applyFont="1" applyFill="1" applyBorder="1" applyAlignment="1">
      <alignment vertical="center" wrapText="1"/>
    </xf>
    <xf numFmtId="0" fontId="2" fillId="0" borderId="29" xfId="0" applyFont="1" applyBorder="1" applyAlignment="1">
      <alignment wrapText="1"/>
    </xf>
    <xf numFmtId="170" fontId="9" fillId="0" borderId="0" xfId="3" applyNumberFormat="1" applyFont="1" applyFill="1"/>
    <xf numFmtId="0" fontId="3" fillId="0" borderId="0" xfId="0" applyFont="1" applyAlignment="1">
      <alignment horizontal="center" vertical="center"/>
    </xf>
    <xf numFmtId="0" fontId="2" fillId="0" borderId="0" xfId="0" applyFont="1"/>
    <xf numFmtId="168" fontId="20" fillId="0" borderId="0" xfId="0" applyNumberFormat="1" applyFont="1"/>
    <xf numFmtId="0" fontId="69" fillId="3" borderId="35" xfId="0" applyFont="1" applyFill="1" applyBorder="1" applyAlignment="1">
      <alignment vertical="center" wrapText="1" readingOrder="1"/>
    </xf>
    <xf numFmtId="0" fontId="23" fillId="0" borderId="6" xfId="0" applyFont="1" applyBorder="1" applyAlignment="1">
      <alignment horizontal="center" vertical="top"/>
    </xf>
    <xf numFmtId="0" fontId="15" fillId="0" borderId="1" xfId="0" applyFont="1" applyBorder="1" applyAlignment="1">
      <alignment horizontal="center" vertical="center" wrapText="1"/>
    </xf>
    <xf numFmtId="0" fontId="23" fillId="0" borderId="6" xfId="0" applyFont="1" applyBorder="1" applyAlignment="1">
      <alignment horizontal="center" vertical="top" wrapText="1"/>
    </xf>
    <xf numFmtId="0" fontId="23" fillId="0" borderId="2" xfId="0" applyFont="1" applyBorder="1" applyAlignment="1">
      <alignment horizontal="center" vertical="top" wrapText="1"/>
    </xf>
    <xf numFmtId="3" fontId="69" fillId="0" borderId="1" xfId="0" applyNumberFormat="1" applyFont="1" applyBorder="1" applyAlignment="1">
      <alignment horizontal="center" vertical="center" wrapText="1"/>
    </xf>
    <xf numFmtId="3" fontId="69" fillId="3" borderId="1"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wrapText="1"/>
    </xf>
    <xf numFmtId="3" fontId="0" fillId="3" borderId="6" xfId="0" applyNumberFormat="1" applyFill="1" applyBorder="1" applyAlignment="1">
      <alignment horizontal="center" vertical="top" wrapText="1"/>
    </xf>
    <xf numFmtId="3" fontId="0" fillId="3" borderId="1" xfId="0" applyNumberFormat="1" applyFill="1" applyBorder="1" applyAlignment="1">
      <alignment horizontal="center" vertical="top" wrapText="1"/>
    </xf>
    <xf numFmtId="0" fontId="24" fillId="0" borderId="0" xfId="0" applyFont="1" applyAlignment="1">
      <alignment horizontal="left" vertical="top"/>
    </xf>
    <xf numFmtId="166" fontId="23" fillId="0" borderId="7" xfId="0" applyNumberFormat="1" applyFont="1" applyBorder="1" applyAlignment="1">
      <alignment horizontal="center" vertical="center" wrapText="1"/>
    </xf>
    <xf numFmtId="166" fontId="23" fillId="0" borderId="8" xfId="0" applyNumberFormat="1" applyFont="1" applyBorder="1" applyAlignment="1">
      <alignment horizontal="center" vertical="center" wrapText="1"/>
    </xf>
    <xf numFmtId="3" fontId="15" fillId="3" borderId="6"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3" fontId="15" fillId="3" borderId="2"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wrapText="1"/>
    </xf>
    <xf numFmtId="3" fontId="15" fillId="0" borderId="1" xfId="0" applyNumberFormat="1" applyFont="1" applyBorder="1" applyAlignment="1">
      <alignment horizontal="center" vertical="center" wrapText="1"/>
    </xf>
    <xf numFmtId="3" fontId="15" fillId="0" borderId="2"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2" xfId="0" applyFont="1" applyBorder="1" applyAlignment="1">
      <alignment horizontal="center" vertical="center" wrapText="1"/>
    </xf>
    <xf numFmtId="3" fontId="15" fillId="0" borderId="6" xfId="0" applyNumberFormat="1" applyFont="1" applyBorder="1" applyAlignment="1">
      <alignment horizontal="center" vertical="center" wrapText="1"/>
    </xf>
    <xf numFmtId="0" fontId="23" fillId="0" borderId="17" xfId="0" applyFont="1" applyBorder="1" applyAlignment="1">
      <alignment horizontal="center" vertical="center" wrapText="1"/>
    </xf>
    <xf numFmtId="3" fontId="69" fillId="2" borderId="1" xfId="0" applyNumberFormat="1" applyFont="1" applyFill="1" applyBorder="1" applyAlignment="1">
      <alignment horizontal="center" vertical="center" wrapText="1"/>
    </xf>
    <xf numFmtId="3" fontId="69" fillId="2" borderId="10" xfId="0" applyNumberFormat="1" applyFont="1" applyFill="1" applyBorder="1" applyAlignment="1">
      <alignment horizontal="center" vertical="center" wrapText="1"/>
    </xf>
    <xf numFmtId="0" fontId="69" fillId="2" borderId="1" xfId="0" applyFont="1" applyFill="1" applyBorder="1" applyAlignment="1">
      <alignment horizontal="center" vertical="center" wrapText="1"/>
    </xf>
    <xf numFmtId="0" fontId="69" fillId="2" borderId="10" xfId="0" applyFont="1" applyFill="1" applyBorder="1" applyAlignment="1">
      <alignment horizontal="center" vertical="center" wrapText="1"/>
    </xf>
    <xf numFmtId="3" fontId="69" fillId="2" borderId="1" xfId="0" applyNumberFormat="1" applyFont="1" applyFill="1" applyBorder="1" applyAlignment="1">
      <alignment horizontal="center" vertical="center"/>
    </xf>
    <xf numFmtId="3" fontId="69" fillId="2" borderId="10" xfId="0" applyNumberFormat="1" applyFont="1" applyFill="1" applyBorder="1" applyAlignment="1">
      <alignment horizontal="center" vertical="center"/>
    </xf>
    <xf numFmtId="0" fontId="69" fillId="2" borderId="5" xfId="0" applyFont="1" applyFill="1" applyBorder="1" applyAlignment="1">
      <alignment horizontal="center" vertical="center" wrapText="1"/>
    </xf>
    <xf numFmtId="0" fontId="69" fillId="2" borderId="34" xfId="0" applyFont="1" applyFill="1" applyBorder="1" applyAlignment="1">
      <alignment horizontal="center" vertical="center" wrapText="1"/>
    </xf>
    <xf numFmtId="0" fontId="69" fillId="2" borderId="9" xfId="0" applyFont="1" applyFill="1" applyBorder="1" applyAlignment="1">
      <alignment horizontal="center" vertical="center" wrapText="1"/>
    </xf>
    <xf numFmtId="3" fontId="69" fillId="2" borderId="6" xfId="0" applyNumberFormat="1" applyFont="1" applyFill="1" applyBorder="1" applyAlignment="1">
      <alignment horizontal="center" vertical="center" wrapText="1"/>
    </xf>
    <xf numFmtId="0" fontId="69" fillId="2" borderId="6" xfId="0" applyFont="1" applyFill="1" applyBorder="1" applyAlignment="1">
      <alignment horizontal="center" vertical="center" wrapText="1"/>
    </xf>
    <xf numFmtId="4" fontId="69" fillId="2" borderId="6" xfId="0" applyNumberFormat="1" applyFont="1" applyFill="1" applyBorder="1" applyAlignment="1">
      <alignment horizontal="center" vertical="center" wrapText="1"/>
    </xf>
    <xf numFmtId="4" fontId="69" fillId="2" borderId="1" xfId="0" applyNumberFormat="1" applyFont="1" applyFill="1" applyBorder="1" applyAlignment="1">
      <alignment horizontal="center" vertical="center" wrapText="1"/>
    </xf>
    <xf numFmtId="0" fontId="69" fillId="0" borderId="5" xfId="0" applyFont="1" applyBorder="1" applyAlignment="1">
      <alignment horizontal="center" vertical="center" wrapText="1"/>
    </xf>
    <xf numFmtId="0" fontId="69" fillId="0" borderId="34" xfId="0" applyFont="1" applyBorder="1" applyAlignment="1">
      <alignment horizontal="center" vertical="center" wrapText="1"/>
    </xf>
    <xf numFmtId="0" fontId="69" fillId="0" borderId="13" xfId="0" applyFont="1" applyBorder="1" applyAlignment="1">
      <alignment horizontal="center" vertical="center" wrapText="1"/>
    </xf>
    <xf numFmtId="3" fontId="69" fillId="3" borderId="2" xfId="0" applyNumberFormat="1" applyFont="1" applyFill="1" applyBorder="1" applyAlignment="1">
      <alignment horizontal="center" vertical="center" wrapText="1"/>
    </xf>
    <xf numFmtId="3" fontId="69" fillId="2" borderId="2" xfId="0" applyNumberFormat="1" applyFont="1" applyFill="1" applyBorder="1" applyAlignment="1">
      <alignment horizontal="center" vertical="center" wrapText="1"/>
    </xf>
    <xf numFmtId="0" fontId="69" fillId="2" borderId="2"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3" fontId="28" fillId="0" borderId="1" xfId="0" applyNumberFormat="1" applyFont="1" applyBorder="1" applyAlignment="1">
      <alignment horizontal="center" vertical="top" wrapText="1"/>
    </xf>
    <xf numFmtId="3" fontId="28" fillId="0" borderId="10" xfId="0" applyNumberFormat="1" applyFont="1" applyBorder="1" applyAlignment="1">
      <alignment horizontal="center" vertical="top" wrapText="1"/>
    </xf>
    <xf numFmtId="3" fontId="0" fillId="0" borderId="1" xfId="0" applyNumberFormat="1" applyBorder="1" applyAlignment="1">
      <alignment horizontal="center" vertical="top" wrapText="1"/>
    </xf>
    <xf numFmtId="3" fontId="0" fillId="0" borderId="10" xfId="0" applyNumberFormat="1" applyBorder="1" applyAlignment="1">
      <alignment horizontal="center" vertical="top" wrapText="1"/>
    </xf>
    <xf numFmtId="0" fontId="28" fillId="2" borderId="1"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9" xfId="0" applyFont="1" applyBorder="1" applyAlignment="1">
      <alignment horizontal="center" vertical="center" wrapText="1"/>
    </xf>
    <xf numFmtId="0" fontId="24" fillId="0" borderId="6" xfId="0" applyFont="1" applyBorder="1" applyAlignment="1">
      <alignment horizontal="center" vertical="top" wrapText="1"/>
    </xf>
    <xf numFmtId="0" fontId="16" fillId="0" borderId="1" xfId="0" applyFont="1" applyBorder="1" applyAlignment="1">
      <alignment horizontal="center" vertical="top" wrapText="1"/>
    </xf>
    <xf numFmtId="0" fontId="16" fillId="0" borderId="10" xfId="0" applyFont="1" applyBorder="1" applyAlignment="1">
      <alignment horizontal="center" vertical="top" wrapText="1"/>
    </xf>
    <xf numFmtId="0" fontId="15" fillId="6" borderId="34"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69" fillId="0" borderId="6" xfId="0" applyFont="1" applyBorder="1" applyAlignment="1">
      <alignment horizontal="center" vertical="center" wrapText="1"/>
    </xf>
    <xf numFmtId="0" fontId="69"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69" fillId="0" borderId="10" xfId="0" applyFont="1" applyBorder="1" applyAlignment="1">
      <alignment horizontal="center" vertical="center" wrapText="1"/>
    </xf>
    <xf numFmtId="3" fontId="15" fillId="0" borderId="1" xfId="0" applyNumberFormat="1" applyFont="1" applyBorder="1" applyAlignment="1">
      <alignment horizontal="center" vertical="center"/>
    </xf>
    <xf numFmtId="3" fontId="15" fillId="0" borderId="10" xfId="0" applyNumberFormat="1" applyFont="1" applyBorder="1" applyAlignment="1">
      <alignment horizontal="center" vertical="center"/>
    </xf>
    <xf numFmtId="3" fontId="15" fillId="0" borderId="10"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10" xfId="0" applyFont="1" applyBorder="1" applyAlignment="1">
      <alignment horizontal="center" vertical="center" wrapText="1"/>
    </xf>
    <xf numFmtId="3" fontId="69" fillId="3" borderId="6" xfId="0" applyNumberFormat="1" applyFont="1" applyFill="1" applyBorder="1" applyAlignment="1">
      <alignment horizontal="center" vertical="center" wrapText="1"/>
    </xf>
    <xf numFmtId="0" fontId="23" fillId="3" borderId="37" xfId="0" applyFont="1" applyFill="1" applyBorder="1" applyAlignment="1">
      <alignment horizontal="center" vertical="center"/>
    </xf>
    <xf numFmtId="0" fontId="23" fillId="3" borderId="38" xfId="0" applyFont="1" applyFill="1" applyBorder="1" applyAlignment="1">
      <alignment horizontal="center" vertical="center"/>
    </xf>
    <xf numFmtId="0" fontId="73" fillId="5" borderId="3" xfId="0" applyFont="1" applyFill="1" applyBorder="1" applyAlignment="1">
      <alignment horizontal="left" vertical="center" wrapText="1"/>
    </xf>
    <xf numFmtId="0" fontId="69" fillId="3" borderId="29" xfId="0" applyFont="1" applyFill="1" applyBorder="1" applyAlignment="1">
      <alignment horizontal="left" vertical="center" wrapText="1"/>
    </xf>
    <xf numFmtId="0" fontId="69" fillId="3" borderId="24" xfId="0" applyFont="1" applyFill="1" applyBorder="1" applyAlignment="1">
      <alignment horizontal="left" vertical="center" wrapText="1"/>
    </xf>
    <xf numFmtId="0" fontId="69" fillId="3" borderId="39" xfId="0" applyFont="1" applyFill="1" applyBorder="1" applyAlignment="1">
      <alignment horizontal="left" vertical="center" wrapText="1"/>
    </xf>
    <xf numFmtId="0" fontId="69" fillId="3" borderId="40" xfId="0" applyFont="1" applyFill="1" applyBorder="1" applyAlignment="1">
      <alignment horizontal="left" vertical="center" wrapText="1"/>
    </xf>
    <xf numFmtId="0" fontId="28" fillId="0" borderId="0" xfId="0" applyFont="1" applyAlignment="1">
      <alignment wrapText="1"/>
    </xf>
    <xf numFmtId="0" fontId="0" fillId="0" borderId="0" xfId="0" applyAlignment="1">
      <alignment wrapText="1"/>
    </xf>
    <xf numFmtId="0" fontId="69" fillId="2" borderId="35" xfId="0" applyFont="1" applyFill="1" applyBorder="1" applyAlignment="1">
      <alignment horizontal="left" vertical="center" wrapText="1"/>
    </xf>
    <xf numFmtId="1" fontId="69" fillId="2" borderId="1" xfId="0" applyNumberFormat="1" applyFont="1" applyFill="1" applyBorder="1" applyAlignment="1">
      <alignment horizontal="center" vertical="center" wrapText="1"/>
    </xf>
    <xf numFmtId="0" fontId="24" fillId="0" borderId="17" xfId="0" applyFont="1" applyBorder="1" applyAlignment="1">
      <alignment horizontal="center" vertical="center" wrapText="1"/>
    </xf>
    <xf numFmtId="0" fontId="24" fillId="0" borderId="12" xfId="0" applyFont="1" applyBorder="1" applyAlignment="1">
      <alignment horizontal="center" vertical="center" wrapText="1"/>
    </xf>
    <xf numFmtId="0" fontId="23" fillId="0" borderId="2" xfId="0" applyFont="1" applyBorder="1" applyAlignment="1">
      <alignment horizontal="center" vertical="top"/>
    </xf>
    <xf numFmtId="0" fontId="15"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68" fillId="0" borderId="0" xfId="0" applyFont="1" applyAlignment="1">
      <alignment horizontal="left"/>
    </xf>
    <xf numFmtId="0" fontId="31" fillId="0" borderId="5" xfId="0" applyFont="1" applyBorder="1" applyAlignment="1">
      <alignment horizontal="center" vertical="center" wrapText="1"/>
    </xf>
    <xf numFmtId="0" fontId="31" fillId="0" borderId="13" xfId="0" applyFont="1" applyBorder="1" applyAlignment="1">
      <alignment horizontal="center" vertical="center" wrapText="1"/>
    </xf>
    <xf numFmtId="166" fontId="31" fillId="0" borderId="7" xfId="0" applyNumberFormat="1" applyFont="1" applyBorder="1" applyAlignment="1">
      <alignment horizontal="center" vertical="center" wrapText="1"/>
    </xf>
    <xf numFmtId="166" fontId="31" fillId="0" borderId="8" xfId="0" applyNumberFormat="1" applyFont="1" applyBorder="1" applyAlignment="1">
      <alignment horizontal="center" vertical="center" wrapText="1"/>
    </xf>
    <xf numFmtId="0" fontId="31" fillId="0" borderId="6"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xf>
    <xf numFmtId="0" fontId="32" fillId="0" borderId="1" xfId="0" applyFont="1" applyBorder="1" applyAlignment="1">
      <alignment horizontal="left" vertical="center" wrapText="1"/>
    </xf>
    <xf numFmtId="0" fontId="33" fillId="0" borderId="16" xfId="0" applyFont="1" applyBorder="1" applyAlignment="1">
      <alignment horizontal="center" vertical="center" wrapText="1"/>
    </xf>
    <xf numFmtId="0" fontId="33" fillId="0" borderId="29" xfId="0" applyFont="1" applyBorder="1" applyAlignment="1">
      <alignment horizontal="center" vertical="center" wrapText="1"/>
    </xf>
    <xf numFmtId="0" fontId="44"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4" xfId="0" applyFont="1" applyBorder="1" applyAlignment="1">
      <alignment horizontal="center" vertical="center" wrapText="1"/>
    </xf>
    <xf numFmtId="166" fontId="32" fillId="0" borderId="2" xfId="0" applyNumberFormat="1" applyFont="1" applyBorder="1" applyAlignment="1">
      <alignment horizontal="center" vertical="center" wrapText="1"/>
    </xf>
    <xf numFmtId="166" fontId="32" fillId="0" borderId="8" xfId="0" applyNumberFormat="1" applyFont="1" applyBorder="1" applyAlignment="1">
      <alignment horizontal="center" vertical="center" wrapText="1"/>
    </xf>
    <xf numFmtId="166" fontId="32" fillId="0" borderId="11" xfId="0" applyNumberFormat="1" applyFont="1" applyBorder="1" applyAlignment="1">
      <alignment horizontal="center" vertical="center" wrapText="1"/>
    </xf>
    <xf numFmtId="0" fontId="32" fillId="0" borderId="2" xfId="0" applyFont="1" applyBorder="1" applyAlignment="1">
      <alignment horizontal="left" vertical="center" wrapText="1"/>
    </xf>
    <xf numFmtId="0" fontId="32" fillId="0" borderId="8" xfId="0" applyFont="1" applyBorder="1" applyAlignment="1">
      <alignment horizontal="left" vertical="center" wrapText="1"/>
    </xf>
    <xf numFmtId="0" fontId="32" fillId="0" borderId="11" xfId="0" applyFont="1" applyBorder="1" applyAlignment="1">
      <alignment horizontal="left" vertical="center" wrapText="1"/>
    </xf>
    <xf numFmtId="4" fontId="32" fillId="0" borderId="2" xfId="0" applyNumberFormat="1" applyFont="1" applyBorder="1" applyAlignment="1">
      <alignment horizontal="center" vertical="center" wrapText="1"/>
    </xf>
    <xf numFmtId="4" fontId="32" fillId="0" borderId="8" xfId="0" applyNumberFormat="1" applyFont="1" applyBorder="1" applyAlignment="1">
      <alignment horizontal="center" vertical="center" wrapText="1"/>
    </xf>
    <xf numFmtId="4" fontId="32" fillId="0" borderId="11" xfId="0" applyNumberFormat="1" applyFont="1" applyBorder="1" applyAlignment="1">
      <alignment horizontal="center" vertical="center" wrapText="1"/>
    </xf>
    <xf numFmtId="166" fontId="32" fillId="0" borderId="4" xfId="0" applyNumberFormat="1"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22" xfId="0" applyFont="1" applyBorder="1" applyAlignment="1">
      <alignment horizontal="center" vertical="center" wrapText="1"/>
    </xf>
    <xf numFmtId="0" fontId="32" fillId="0" borderId="4" xfId="0" applyFont="1" applyBorder="1" applyAlignment="1">
      <alignment horizontal="left" vertical="center" wrapText="1"/>
    </xf>
    <xf numFmtId="4" fontId="25" fillId="0" borderId="2" xfId="0" applyNumberFormat="1" applyFont="1" applyBorder="1" applyAlignment="1">
      <alignment horizontal="center" vertical="center" wrapText="1"/>
    </xf>
    <xf numFmtId="4" fontId="25" fillId="0" borderId="8" xfId="0" applyNumberFormat="1" applyFont="1" applyBorder="1" applyAlignment="1">
      <alignment horizontal="center" vertical="center" wrapText="1"/>
    </xf>
    <xf numFmtId="4" fontId="25" fillId="0" borderId="4" xfId="0" applyNumberFormat="1" applyFont="1" applyBorder="1" applyAlignment="1">
      <alignment horizontal="center" vertical="center" wrapText="1"/>
    </xf>
    <xf numFmtId="0" fontId="32" fillId="0" borderId="1" xfId="0" applyFont="1" applyBorder="1" applyAlignment="1">
      <alignment horizontal="center" vertical="center" wrapText="1"/>
    </xf>
    <xf numFmtId="166" fontId="38" fillId="0" borderId="2" xfId="0" applyNumberFormat="1" applyFont="1" applyBorder="1" applyAlignment="1">
      <alignment horizontal="center" vertical="center" wrapText="1"/>
    </xf>
    <xf numFmtId="166" fontId="38" fillId="0" borderId="8"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11" xfId="0" applyFont="1" applyBorder="1" applyAlignment="1">
      <alignment horizontal="left" vertical="top" wrapText="1"/>
    </xf>
    <xf numFmtId="0" fontId="32" fillId="3" borderId="2" xfId="0" applyFont="1" applyFill="1" applyBorder="1" applyAlignment="1">
      <alignment horizontal="left" vertical="top" wrapText="1"/>
    </xf>
    <xf numFmtId="0" fontId="32" fillId="3" borderId="8" xfId="0" applyFont="1" applyFill="1" applyBorder="1" applyAlignment="1">
      <alignment horizontal="left" vertical="top" wrapText="1"/>
    </xf>
    <xf numFmtId="0" fontId="25" fillId="3" borderId="11" xfId="0" applyFont="1" applyFill="1" applyBorder="1" applyAlignment="1">
      <alignment horizontal="left" vertical="top" wrapText="1"/>
    </xf>
    <xf numFmtId="0" fontId="32" fillId="0" borderId="7" xfId="0" applyFont="1" applyBorder="1" applyAlignment="1">
      <alignment horizontal="center" vertical="center" wrapText="1"/>
    </xf>
    <xf numFmtId="166" fontId="32" fillId="0" borderId="7" xfId="0" applyNumberFormat="1" applyFont="1" applyBorder="1" applyAlignment="1">
      <alignment horizontal="center" vertical="center" wrapText="1"/>
    </xf>
    <xf numFmtId="0" fontId="32" fillId="0" borderId="7" xfId="0" applyFont="1" applyBorder="1" applyAlignment="1">
      <alignment horizontal="left" vertical="center" wrapText="1"/>
    </xf>
    <xf numFmtId="166"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38" fillId="3" borderId="2" xfId="0" applyFont="1" applyFill="1" applyBorder="1" applyAlignment="1">
      <alignment vertical="top" wrapText="1"/>
    </xf>
    <xf numFmtId="0" fontId="38" fillId="3" borderId="11" xfId="0" applyFont="1" applyFill="1" applyBorder="1" applyAlignment="1">
      <alignment vertical="top" wrapText="1"/>
    </xf>
    <xf numFmtId="0" fontId="32" fillId="0" borderId="2" xfId="0" applyFont="1" applyBorder="1" applyAlignment="1">
      <alignment vertical="center" wrapText="1"/>
    </xf>
    <xf numFmtId="0" fontId="32" fillId="0" borderId="11" xfId="0" applyFont="1" applyBorder="1" applyAlignment="1">
      <alignment vertical="center" wrapText="1"/>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4" fontId="38" fillId="0" borderId="2" xfId="0" applyNumberFormat="1" applyFont="1" applyBorder="1" applyAlignment="1">
      <alignment horizontal="center" vertical="center" wrapText="1"/>
    </xf>
    <xf numFmtId="4" fontId="38" fillId="0" borderId="11" xfId="0" applyNumberFormat="1" applyFont="1" applyBorder="1" applyAlignment="1">
      <alignment horizontal="center" vertical="center" wrapText="1"/>
    </xf>
    <xf numFmtId="0" fontId="25" fillId="0" borderId="2" xfId="0" applyFont="1" applyBorder="1" applyAlignment="1">
      <alignment horizontal="left" vertical="center" wrapText="1"/>
    </xf>
    <xf numFmtId="0" fontId="25" fillId="0" borderId="11" xfId="0" applyFont="1" applyBorder="1" applyAlignment="1">
      <alignment horizontal="left" vertical="center" wrapText="1"/>
    </xf>
    <xf numFmtId="166" fontId="32" fillId="0" borderId="2" xfId="0" applyNumberFormat="1" applyFont="1" applyBorder="1" applyAlignment="1">
      <alignment horizontal="center" vertical="center"/>
    </xf>
    <xf numFmtId="166" fontId="32" fillId="0" borderId="8" xfId="0" applyNumberFormat="1" applyFont="1" applyBorder="1" applyAlignment="1">
      <alignment horizontal="center" vertical="center"/>
    </xf>
    <xf numFmtId="166" fontId="32" fillId="0" borderId="11" xfId="0" applyNumberFormat="1" applyFont="1" applyBorder="1" applyAlignment="1">
      <alignment horizontal="center" vertical="center"/>
    </xf>
    <xf numFmtId="166" fontId="32" fillId="0" borderId="6" xfId="0" applyNumberFormat="1" applyFont="1" applyBorder="1" applyAlignment="1">
      <alignment horizontal="center" vertical="center" wrapText="1"/>
    </xf>
    <xf numFmtId="166" fontId="32" fillId="0" borderId="1" xfId="0" applyNumberFormat="1" applyFont="1" applyBorder="1" applyAlignment="1">
      <alignment horizontal="center" vertical="center" wrapText="1"/>
    </xf>
    <xf numFmtId="0" fontId="32" fillId="0" borderId="6" xfId="0" applyFont="1" applyBorder="1" applyAlignment="1">
      <alignment horizontal="left" vertical="center" wrapText="1"/>
    </xf>
    <xf numFmtId="166"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4" fontId="32" fillId="0" borderId="11" xfId="0" applyNumberFormat="1" applyFont="1" applyBorder="1" applyAlignment="1">
      <alignment horizontal="center" vertical="center"/>
    </xf>
    <xf numFmtId="0" fontId="32" fillId="0" borderId="2" xfId="0" applyFont="1" applyBorder="1" applyAlignment="1">
      <alignment horizontal="center" vertical="center"/>
    </xf>
    <xf numFmtId="166" fontId="34"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38" fillId="0" borderId="1" xfId="0" applyFont="1" applyBorder="1" applyAlignment="1">
      <alignment vertical="top" wrapText="1"/>
    </xf>
    <xf numFmtId="0" fontId="32" fillId="0" borderId="1" xfId="0" applyFont="1" applyBorder="1" applyAlignment="1">
      <alignment vertical="center" wrapText="1"/>
    </xf>
    <xf numFmtId="0" fontId="25" fillId="0" borderId="1" xfId="0" applyFont="1" applyBorder="1" applyAlignment="1">
      <alignment vertical="center" wrapText="1"/>
    </xf>
    <xf numFmtId="3"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0" fontId="25" fillId="0" borderId="1" xfId="0" applyFont="1" applyBorder="1" applyAlignment="1">
      <alignment horizontal="left" vertical="top" wrapText="1"/>
    </xf>
    <xf numFmtId="0" fontId="32" fillId="0" borderId="2" xfId="0" applyFont="1" applyBorder="1" applyAlignment="1">
      <alignment horizontal="left" vertical="top" wrapText="1"/>
    </xf>
    <xf numFmtId="166" fontId="25"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4" fontId="25" fillId="0" borderId="1"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0" fontId="43" fillId="0" borderId="6" xfId="0" applyFont="1" applyBorder="1" applyAlignment="1">
      <alignment horizontal="center" vertical="center"/>
    </xf>
    <xf numFmtId="0" fontId="32" fillId="0" borderId="11" xfId="0" applyFont="1" applyBorder="1" applyAlignment="1">
      <alignment horizontal="center" vertical="center"/>
    </xf>
    <xf numFmtId="0" fontId="0" fillId="2" borderId="0" xfId="0" applyFill="1" applyAlignment="1">
      <alignment horizontal="center" vertical="top" wrapText="1"/>
    </xf>
    <xf numFmtId="4" fontId="0" fillId="0" borderId="0" xfId="0" applyNumberFormat="1" applyAlignment="1">
      <alignment horizontal="center" vertical="center"/>
    </xf>
    <xf numFmtId="0" fontId="0" fillId="0" borderId="0" xfId="0" applyAlignment="1">
      <alignment horizontal="center" vertical="center"/>
    </xf>
    <xf numFmtId="0" fontId="35" fillId="0" borderId="2" xfId="0" applyFont="1" applyBorder="1" applyAlignment="1">
      <alignment horizontal="left" vertical="center" wrapText="1"/>
    </xf>
    <xf numFmtId="0" fontId="35" fillId="0" borderId="11" xfId="0" applyFont="1" applyBorder="1" applyAlignment="1">
      <alignment horizontal="left" vertical="center" wrapText="1"/>
    </xf>
    <xf numFmtId="166" fontId="25" fillId="0" borderId="2" xfId="0" applyNumberFormat="1" applyFont="1" applyBorder="1" applyAlignment="1">
      <alignment horizontal="center" vertical="center" wrapText="1"/>
    </xf>
    <xf numFmtId="166" fontId="25" fillId="0" borderId="11"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4" fontId="25" fillId="0" borderId="11" xfId="0" applyNumberFormat="1" applyFont="1" applyBorder="1" applyAlignment="1">
      <alignment horizontal="center" vertical="center" wrapText="1"/>
    </xf>
    <xf numFmtId="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5" fillId="0" borderId="8" xfId="0" applyFont="1" applyBorder="1" applyAlignment="1">
      <alignment horizontal="left" vertical="top"/>
    </xf>
    <xf numFmtId="0" fontId="25" fillId="0" borderId="11" xfId="0" applyFont="1" applyBorder="1" applyAlignment="1">
      <alignment horizontal="left" vertical="top"/>
    </xf>
    <xf numFmtId="0" fontId="34" fillId="0" borderId="2" xfId="0" applyFont="1" applyBorder="1" applyAlignment="1">
      <alignment horizontal="center" vertical="center"/>
    </xf>
    <xf numFmtId="0" fontId="34" fillId="0" borderId="11" xfId="0" applyFont="1" applyBorder="1" applyAlignment="1">
      <alignment horizontal="center" vertical="center"/>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1" xfId="0" applyFont="1" applyBorder="1" applyAlignment="1">
      <alignment horizontal="center" vertical="center" wrapText="1"/>
    </xf>
    <xf numFmtId="4" fontId="34" fillId="0" borderId="2" xfId="0" applyNumberFormat="1" applyFont="1" applyBorder="1" applyAlignment="1">
      <alignment horizontal="center" vertical="center" wrapText="1"/>
    </xf>
    <xf numFmtId="4" fontId="34" fillId="0" borderId="11" xfId="0" applyNumberFormat="1"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8"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28" fillId="0" borderId="8" xfId="0" applyFont="1" applyBorder="1" applyAlignment="1">
      <alignment horizontal="center" vertical="center" wrapText="1"/>
    </xf>
    <xf numFmtId="166" fontId="25" fillId="0" borderId="8" xfId="0" applyNumberFormat="1" applyFont="1" applyBorder="1" applyAlignment="1">
      <alignment horizontal="center" vertical="center" wrapText="1"/>
    </xf>
    <xf numFmtId="4" fontId="28" fillId="0" borderId="2" xfId="0" applyNumberFormat="1"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166" fontId="28" fillId="0" borderId="2" xfId="0" applyNumberFormat="1" applyFont="1" applyBorder="1" applyAlignment="1">
      <alignment horizontal="center" vertical="center" wrapText="1"/>
    </xf>
    <xf numFmtId="166" fontId="28" fillId="0" borderId="8" xfId="0" applyNumberFormat="1" applyFont="1" applyBorder="1" applyAlignment="1">
      <alignment horizontal="center" vertical="center" wrapText="1"/>
    </xf>
    <xf numFmtId="166" fontId="28" fillId="0" borderId="11" xfId="0" applyNumberFormat="1" applyFont="1" applyBorder="1" applyAlignment="1">
      <alignment horizontal="center" vertical="center" wrapText="1"/>
    </xf>
    <xf numFmtId="166" fontId="0" fillId="0" borderId="2" xfId="0" applyNumberFormat="1" applyBorder="1" applyAlignment="1">
      <alignment horizontal="center" vertical="center" wrapText="1"/>
    </xf>
    <xf numFmtId="166" fontId="0" fillId="0" borderId="8" xfId="0" applyNumberFormat="1" applyBorder="1" applyAlignment="1">
      <alignment horizontal="center" vertical="center" wrapText="1"/>
    </xf>
    <xf numFmtId="166" fontId="0" fillId="0" borderId="11"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11" xfId="0" applyNumberFormat="1" applyBorder="1" applyAlignment="1">
      <alignment horizontal="center" vertical="center" wrapText="1"/>
    </xf>
    <xf numFmtId="0" fontId="31" fillId="0" borderId="23"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1" xfId="0" applyFont="1" applyBorder="1" applyAlignment="1">
      <alignment horizontal="center" vertical="center" wrapText="1"/>
    </xf>
    <xf numFmtId="166" fontId="28" fillId="0" borderId="7" xfId="0" applyNumberFormat="1" applyFont="1" applyBorder="1" applyAlignment="1">
      <alignment horizontal="center" vertical="center" wrapText="1"/>
    </xf>
    <xf numFmtId="0" fontId="28" fillId="0" borderId="7" xfId="0" applyFont="1" applyBorder="1" applyAlignment="1">
      <alignment horizontal="center" vertical="center" wrapText="1"/>
    </xf>
    <xf numFmtId="166" fontId="0" fillId="0" borderId="7" xfId="0" applyNumberFormat="1" applyBorder="1" applyAlignment="1">
      <alignment horizontal="center" vertical="center" wrapText="1"/>
    </xf>
    <xf numFmtId="4" fontId="0" fillId="0" borderId="7" xfId="0" applyNumberFormat="1" applyBorder="1" applyAlignment="1">
      <alignment horizontal="center" vertical="center" wrapText="1"/>
    </xf>
    <xf numFmtId="4" fontId="28" fillId="0" borderId="7" xfId="0" applyNumberFormat="1" applyFont="1" applyBorder="1" applyAlignment="1">
      <alignment horizontal="center" vertical="center"/>
    </xf>
    <xf numFmtId="0" fontId="25" fillId="0" borderId="7" xfId="0" applyFont="1" applyBorder="1" applyAlignment="1">
      <alignment horizontal="left" vertical="top"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vertical="top" wrapText="1"/>
    </xf>
    <xf numFmtId="0" fontId="25" fillId="0" borderId="4" xfId="0" applyFont="1" applyBorder="1" applyAlignment="1">
      <alignment vertical="top" wrapText="1"/>
    </xf>
    <xf numFmtId="166" fontId="0" fillId="0" borderId="4" xfId="0" applyNumberForma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34" fillId="0" borderId="11" xfId="0" applyFont="1" applyBorder="1" applyAlignment="1">
      <alignment horizontal="center" vertical="center" wrapText="1"/>
    </xf>
    <xf numFmtId="0" fontId="25" fillId="0" borderId="11" xfId="0" applyFont="1" applyBorder="1" applyAlignment="1">
      <alignment vertical="top" wrapText="1"/>
    </xf>
    <xf numFmtId="0" fontId="25" fillId="0" borderId="8"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11" xfId="0" applyFont="1" applyBorder="1" applyAlignment="1">
      <alignment horizontal="center" vertical="center" wrapText="1"/>
    </xf>
    <xf numFmtId="0" fontId="36"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0" fillId="0" borderId="11" xfId="0" applyBorder="1" applyAlignment="1">
      <alignment horizontal="center" vertical="center" wrapText="1"/>
    </xf>
    <xf numFmtId="166"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4" fontId="34" fillId="0" borderId="8" xfId="0" applyNumberFormat="1" applyFont="1" applyBorder="1" applyAlignment="1">
      <alignment horizontal="center" vertical="center" wrapText="1"/>
    </xf>
    <xf numFmtId="0" fontId="25" fillId="0" borderId="8" xfId="0" applyFont="1" applyBorder="1" applyAlignment="1">
      <alignment vertical="top" wrapText="1"/>
    </xf>
    <xf numFmtId="0" fontId="23" fillId="0" borderId="7" xfId="0" applyFont="1" applyBorder="1" applyAlignment="1">
      <alignment horizontal="center" vertical="center" wrapText="1"/>
    </xf>
    <xf numFmtId="0" fontId="23" fillId="0" borderId="4"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 xfId="0" applyFont="1" applyBorder="1" applyAlignment="1">
      <alignment horizontal="center" vertical="center"/>
    </xf>
    <xf numFmtId="0" fontId="21"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7" xfId="0" applyFont="1" applyBorder="1" applyAlignment="1">
      <alignment horizontal="center" vertical="center"/>
    </xf>
    <xf numFmtId="0" fontId="23" fillId="0" borderId="4" xfId="0" applyFont="1" applyBorder="1" applyAlignment="1">
      <alignment horizontal="center" vertical="center"/>
    </xf>
    <xf numFmtId="0" fontId="23" fillId="0" borderId="22" xfId="0" applyFont="1" applyBorder="1" applyAlignment="1">
      <alignment horizontal="center" vertical="center" wrapText="1"/>
    </xf>
    <xf numFmtId="0" fontId="30" fillId="0" borderId="0" xfId="0" applyFont="1" applyAlignment="1">
      <alignment horizontal="left" wrapText="1"/>
    </xf>
    <xf numFmtId="0" fontId="23" fillId="0" borderId="9" xfId="0" applyFont="1" applyBorder="1" applyAlignment="1">
      <alignment horizontal="center" vertical="center" wrapText="1"/>
    </xf>
    <xf numFmtId="166" fontId="23" fillId="0" borderId="6" xfId="0" applyNumberFormat="1" applyFont="1" applyBorder="1" applyAlignment="1">
      <alignment horizontal="center" vertical="center" wrapText="1"/>
    </xf>
    <xf numFmtId="166" fontId="23" fillId="0" borderId="10" xfId="0" applyNumberFormat="1" applyFont="1" applyBorder="1" applyAlignment="1">
      <alignment horizontal="center" vertical="center" wrapText="1"/>
    </xf>
    <xf numFmtId="0" fontId="31" fillId="0" borderId="20" xfId="0" applyFont="1" applyBorder="1" applyAlignment="1">
      <alignment horizontal="center" vertical="center" wrapText="1"/>
    </xf>
    <xf numFmtId="4" fontId="0" fillId="0" borderId="11" xfId="0" applyNumberFormat="1" applyBorder="1" applyAlignment="1">
      <alignment horizontal="center" vertical="center"/>
    </xf>
    <xf numFmtId="4" fontId="0" fillId="0" borderId="1" xfId="0" applyNumberFormat="1" applyBorder="1" applyAlignment="1">
      <alignment horizontal="center" vertical="center"/>
    </xf>
    <xf numFmtId="4" fontId="0" fillId="0" borderId="4" xfId="0" applyNumberFormat="1" applyBorder="1" applyAlignment="1">
      <alignment horizontal="center" vertical="center" wrapText="1"/>
    </xf>
    <xf numFmtId="166" fontId="25" fillId="0" borderId="7" xfId="0" applyNumberFormat="1" applyFont="1" applyBorder="1" applyAlignment="1">
      <alignment horizontal="center" vertical="center"/>
    </xf>
    <xf numFmtId="0" fontId="25" fillId="0" borderId="4" xfId="0" applyFont="1" applyBorder="1" applyAlignment="1">
      <alignment horizontal="center" vertical="center"/>
    </xf>
    <xf numFmtId="4" fontId="25" fillId="0" borderId="7" xfId="0" applyNumberFormat="1" applyFont="1" applyBorder="1" applyAlignment="1">
      <alignment horizontal="center" vertical="center" wrapText="1"/>
    </xf>
    <xf numFmtId="166" fontId="25" fillId="0" borderId="7" xfId="0" applyNumberFormat="1" applyFont="1" applyBorder="1" applyAlignment="1">
      <alignment horizontal="center" vertical="center" wrapText="1"/>
    </xf>
    <xf numFmtId="166" fontId="25" fillId="0" borderId="8" xfId="0" applyNumberFormat="1" applyFont="1" applyBorder="1" applyAlignment="1">
      <alignment horizontal="center" vertical="center"/>
    </xf>
    <xf numFmtId="0" fontId="25" fillId="0" borderId="23"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34" fillId="2" borderId="6" xfId="0" applyFont="1" applyFill="1" applyBorder="1" applyAlignment="1">
      <alignment horizontal="left" vertical="center" wrapText="1"/>
    </xf>
    <xf numFmtId="0" fontId="34" fillId="2" borderId="10" xfId="0" applyFont="1" applyFill="1" applyBorder="1" applyAlignment="1">
      <alignment horizontal="left" vertical="center" wrapText="1"/>
    </xf>
    <xf numFmtId="166" fontId="34" fillId="0" borderId="6" xfId="0" applyNumberFormat="1" applyFont="1" applyBorder="1" applyAlignment="1">
      <alignment horizontal="center" vertical="center" wrapText="1"/>
    </xf>
    <xf numFmtId="166" fontId="34" fillId="0" borderId="10" xfId="0" applyNumberFormat="1" applyFont="1" applyBorder="1" applyAlignment="1">
      <alignment horizontal="center" vertical="center" wrapText="1"/>
    </xf>
    <xf numFmtId="166" fontId="34" fillId="0" borderId="6" xfId="0" applyNumberFormat="1" applyFont="1" applyBorder="1" applyAlignment="1">
      <alignment horizontal="center" vertical="center"/>
    </xf>
    <xf numFmtId="166" fontId="34" fillId="0" borderId="10" xfId="0" applyNumberFormat="1" applyFont="1" applyBorder="1" applyAlignment="1">
      <alignment horizontal="center" vertical="center"/>
    </xf>
    <xf numFmtId="166" fontId="25" fillId="0" borderId="4" xfId="0" applyNumberFormat="1" applyFont="1" applyBorder="1" applyAlignment="1">
      <alignment horizontal="center" vertical="center" wrapText="1"/>
    </xf>
    <xf numFmtId="0" fontId="33" fillId="0" borderId="27" xfId="0" applyFont="1" applyBorder="1" applyAlignment="1">
      <alignment horizontal="center" vertical="center" wrapText="1"/>
    </xf>
    <xf numFmtId="0" fontId="55" fillId="0" borderId="30" xfId="0" applyFont="1" applyBorder="1" applyAlignment="1">
      <alignment horizontal="center" vertical="center" wrapText="1"/>
    </xf>
    <xf numFmtId="0" fontId="25" fillId="0" borderId="30" xfId="0" applyFont="1" applyBorder="1" applyAlignment="1">
      <alignment horizontal="center" vertical="center" wrapText="1"/>
    </xf>
    <xf numFmtId="0" fontId="25" fillId="2" borderId="7" xfId="0" applyFont="1" applyFill="1" applyBorder="1" applyAlignment="1">
      <alignment horizontal="left" vertical="center" wrapText="1"/>
    </xf>
    <xf numFmtId="0" fontId="33" fillId="0" borderId="7" xfId="0" applyFont="1" applyBorder="1" applyAlignment="1">
      <alignment horizontal="center" vertical="center"/>
    </xf>
    <xf numFmtId="0" fontId="33" fillId="0" borderId="4" xfId="0" applyFont="1" applyBorder="1" applyAlignment="1">
      <alignment horizontal="center" vertical="center"/>
    </xf>
    <xf numFmtId="0" fontId="33" fillId="0" borderId="17"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7" xfId="0" applyFont="1" applyBorder="1" applyAlignment="1">
      <alignment horizontal="center" vertical="center"/>
    </xf>
    <xf numFmtId="0" fontId="33" fillId="0" borderId="22" xfId="0" applyFont="1" applyBorder="1" applyAlignment="1">
      <alignment horizontal="center" vertical="center"/>
    </xf>
    <xf numFmtId="3" fontId="69" fillId="0" borderId="1" xfId="0" applyNumberFormat="1" applyFont="1" applyFill="1" applyBorder="1" applyAlignment="1">
      <alignment horizontal="center" vertical="center"/>
    </xf>
  </cellXfs>
  <cellStyles count="4">
    <cellStyle name="Įprastas" xfId="0" builtinId="0"/>
    <cellStyle name="Kablelis" xfId="1" builtinId="3"/>
    <cellStyle name="Kablelis [0]" xfId="2" builtinId="6"/>
    <cellStyle name="Procentai"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267"/>
  <sheetViews>
    <sheetView tabSelected="1" zoomScale="70" zoomScaleNormal="70" workbookViewId="0">
      <selection activeCell="O28" sqref="O28"/>
    </sheetView>
  </sheetViews>
  <sheetFormatPr defaultColWidth="9.140625" defaultRowHeight="15" x14ac:dyDescent="0.25"/>
  <cols>
    <col min="1" max="1" width="29.85546875" style="204" customWidth="1"/>
    <col min="2" max="2" width="25.42578125" style="206" customWidth="1"/>
    <col min="3" max="3" width="20.85546875" style="204" customWidth="1"/>
    <col min="4" max="4" width="31.85546875" style="206" customWidth="1"/>
    <col min="5" max="5" width="22.85546875" style="205" customWidth="1"/>
    <col min="6" max="6" width="18.85546875" style="204" customWidth="1"/>
    <col min="7" max="7" width="25.85546875" style="204" customWidth="1"/>
    <col min="8" max="8" width="24.28515625" style="204" customWidth="1"/>
    <col min="9" max="9" width="29.140625" style="204" customWidth="1"/>
    <col min="10" max="10" width="17.85546875" style="204" customWidth="1"/>
    <col min="11" max="11" width="17" style="204" customWidth="1"/>
    <col min="12" max="12" width="25.140625" style="204" customWidth="1"/>
    <col min="13" max="13" width="17.28515625" style="204" customWidth="1"/>
    <col min="14" max="14" width="12.42578125" style="204" customWidth="1"/>
    <col min="15" max="15" width="22.28515625" style="274" customWidth="1"/>
    <col min="16" max="16" width="22.28515625" style="205" customWidth="1"/>
    <col min="17" max="17" width="19.5703125" style="204" customWidth="1"/>
    <col min="18" max="19" width="122.85546875" style="204" customWidth="1"/>
    <col min="20" max="20" width="9.140625" style="204" customWidth="1"/>
    <col min="21" max="21" width="27.140625" style="204" bestFit="1" customWidth="1"/>
    <col min="22" max="16384" width="9.140625" style="204"/>
  </cols>
  <sheetData>
    <row r="1" spans="1:107" x14ac:dyDescent="0.25">
      <c r="A1" s="271" t="s">
        <v>333</v>
      </c>
      <c r="O1" s="204"/>
    </row>
    <row r="2" spans="1:107" x14ac:dyDescent="0.25">
      <c r="A2" s="477" t="s">
        <v>373</v>
      </c>
      <c r="B2" s="477"/>
      <c r="C2" s="477"/>
      <c r="D2" s="477"/>
      <c r="E2" s="477"/>
      <c r="F2" s="477"/>
      <c r="G2" s="477"/>
      <c r="O2" s="271"/>
      <c r="P2" s="450"/>
      <c r="S2" s="271"/>
    </row>
    <row r="3" spans="1:107" ht="15.75" thickBot="1" x14ac:dyDescent="0.3">
      <c r="A3" s="204" t="s">
        <v>246</v>
      </c>
      <c r="E3" s="461"/>
      <c r="F3" s="462"/>
      <c r="O3" s="204"/>
      <c r="R3" s="207"/>
    </row>
    <row r="4" spans="1:107" s="299" customFormat="1" x14ac:dyDescent="0.25">
      <c r="A4" s="488" t="s">
        <v>235</v>
      </c>
      <c r="B4" s="478" t="s">
        <v>48</v>
      </c>
      <c r="C4" s="478" t="s">
        <v>247</v>
      </c>
      <c r="D4" s="490" t="s">
        <v>2</v>
      </c>
      <c r="E4" s="493"/>
      <c r="F4" s="493"/>
      <c r="G4" s="490" t="s">
        <v>20</v>
      </c>
      <c r="H4" s="465" t="s">
        <v>111</v>
      </c>
      <c r="I4" s="465"/>
      <c r="J4" s="467" t="s">
        <v>181</v>
      </c>
      <c r="K4" s="465" t="s">
        <v>115</v>
      </c>
      <c r="L4" s="467" t="s">
        <v>182</v>
      </c>
      <c r="M4" s="467" t="s">
        <v>140</v>
      </c>
      <c r="N4" s="467"/>
      <c r="O4" s="467" t="s">
        <v>248</v>
      </c>
      <c r="P4" s="467" t="s">
        <v>123</v>
      </c>
      <c r="Q4" s="559" t="s">
        <v>122</v>
      </c>
      <c r="R4" s="554" t="s">
        <v>61</v>
      </c>
      <c r="S4" s="543" t="s">
        <v>399</v>
      </c>
      <c r="T4" s="417"/>
    </row>
    <row r="5" spans="1:107" s="299" customFormat="1" ht="30.75" thickBot="1" x14ac:dyDescent="0.3">
      <c r="A5" s="489"/>
      <c r="B5" s="479"/>
      <c r="C5" s="479"/>
      <c r="D5" s="372" t="s">
        <v>10</v>
      </c>
      <c r="E5" s="373" t="s">
        <v>49</v>
      </c>
      <c r="F5" s="374" t="s">
        <v>273</v>
      </c>
      <c r="G5" s="491"/>
      <c r="H5" s="372" t="s">
        <v>249</v>
      </c>
      <c r="I5" s="372" t="s">
        <v>250</v>
      </c>
      <c r="J5" s="468"/>
      <c r="K5" s="556"/>
      <c r="L5" s="468"/>
      <c r="M5" s="375" t="s">
        <v>126</v>
      </c>
      <c r="N5" s="375" t="s">
        <v>125</v>
      </c>
      <c r="O5" s="468"/>
      <c r="P5" s="468"/>
      <c r="Q5" s="560"/>
      <c r="R5" s="555"/>
      <c r="S5" s="544"/>
      <c r="T5" s="417"/>
    </row>
    <row r="6" spans="1:107" s="299" customFormat="1" ht="180" x14ac:dyDescent="0.25">
      <c r="A6" s="483" t="s">
        <v>374</v>
      </c>
      <c r="B6" s="480">
        <f>F6</f>
        <v>54294118.411764711</v>
      </c>
      <c r="C6" s="492">
        <v>41500000</v>
      </c>
      <c r="D6" s="471" t="s">
        <v>274</v>
      </c>
      <c r="E6" s="480">
        <f>C6*0.15/0.85+5470589</f>
        <v>12794118.411764707</v>
      </c>
      <c r="F6" s="480">
        <f>C6+E6</f>
        <v>54294118.411764711</v>
      </c>
      <c r="G6" s="480">
        <f>(C6-(C6*0.0411)+E6)</f>
        <v>52588468.411764711</v>
      </c>
      <c r="H6" s="376" t="s">
        <v>330</v>
      </c>
      <c r="I6" s="377" t="s">
        <v>314</v>
      </c>
      <c r="J6" s="471" t="s">
        <v>119</v>
      </c>
      <c r="K6" s="472" t="s">
        <v>120</v>
      </c>
      <c r="L6" s="378" t="s">
        <v>146</v>
      </c>
      <c r="M6" s="379">
        <v>0</v>
      </c>
      <c r="N6" s="379" t="s">
        <v>47</v>
      </c>
      <c r="O6" s="402">
        <v>1025</v>
      </c>
      <c r="P6" s="451">
        <v>10252</v>
      </c>
      <c r="Q6" s="380" t="s">
        <v>355</v>
      </c>
      <c r="R6" s="381" t="s">
        <v>347</v>
      </c>
      <c r="S6" s="458" t="s">
        <v>386</v>
      </c>
      <c r="T6" s="459"/>
    </row>
    <row r="7" spans="1:107" s="299" customFormat="1" ht="165" x14ac:dyDescent="0.25">
      <c r="A7" s="484"/>
      <c r="B7" s="481"/>
      <c r="C7" s="486"/>
      <c r="D7" s="466"/>
      <c r="E7" s="481"/>
      <c r="F7" s="481"/>
      <c r="G7" s="481"/>
      <c r="H7" s="300" t="s">
        <v>252</v>
      </c>
      <c r="I7" s="301" t="s">
        <v>258</v>
      </c>
      <c r="J7" s="466"/>
      <c r="K7" s="473"/>
      <c r="L7" s="359" t="s">
        <v>150</v>
      </c>
      <c r="M7" s="398">
        <v>298026</v>
      </c>
      <c r="N7" s="248">
        <v>2021</v>
      </c>
      <c r="O7" s="202" t="s">
        <v>47</v>
      </c>
      <c r="P7" s="398">
        <v>84374</v>
      </c>
      <c r="Q7" s="208" t="s">
        <v>355</v>
      </c>
      <c r="R7" s="382" t="s">
        <v>321</v>
      </c>
      <c r="S7" s="457" t="s">
        <v>394</v>
      </c>
      <c r="T7" s="455"/>
    </row>
    <row r="8" spans="1:107" s="299" customFormat="1" ht="105" x14ac:dyDescent="0.25">
      <c r="A8" s="484"/>
      <c r="B8" s="481"/>
      <c r="C8" s="486"/>
      <c r="D8" s="466"/>
      <c r="E8" s="481"/>
      <c r="F8" s="481"/>
      <c r="G8" s="481"/>
      <c r="H8" s="198" t="s">
        <v>38</v>
      </c>
      <c r="I8" s="209" t="s">
        <v>259</v>
      </c>
      <c r="J8" s="466"/>
      <c r="K8" s="473"/>
      <c r="L8" s="210" t="s">
        <v>254</v>
      </c>
      <c r="M8" s="397">
        <v>11921</v>
      </c>
      <c r="N8" s="248">
        <v>2021</v>
      </c>
      <c r="O8" s="202" t="s">
        <v>47</v>
      </c>
      <c r="P8" s="397">
        <v>675</v>
      </c>
      <c r="Q8" s="208" t="s">
        <v>355</v>
      </c>
      <c r="R8" s="383" t="s">
        <v>322</v>
      </c>
      <c r="S8" s="413" t="s">
        <v>395</v>
      </c>
      <c r="T8" s="417"/>
    </row>
    <row r="9" spans="1:107" s="299" customFormat="1" x14ac:dyDescent="0.25">
      <c r="A9" s="484"/>
      <c r="B9" s="481">
        <f>F9</f>
        <v>54294118.411764711</v>
      </c>
      <c r="C9" s="486">
        <v>41500000</v>
      </c>
      <c r="D9" s="466" t="s">
        <v>274</v>
      </c>
      <c r="E9" s="481">
        <f>C9*0.15/0.85+5470589</f>
        <v>12794118.411764707</v>
      </c>
      <c r="F9" s="481">
        <f>C9+E9</f>
        <v>54294118.411764711</v>
      </c>
      <c r="G9" s="481">
        <f>C9-(C9*0.0411)+E9</f>
        <v>52588468.411764711</v>
      </c>
      <c r="H9" s="466" t="s">
        <v>330</v>
      </c>
      <c r="I9" s="466" t="s">
        <v>314</v>
      </c>
      <c r="J9" s="466" t="s">
        <v>253</v>
      </c>
      <c r="K9" s="466" t="s">
        <v>144</v>
      </c>
      <c r="L9" s="557" t="s">
        <v>146</v>
      </c>
      <c r="M9" s="469">
        <v>0</v>
      </c>
      <c r="N9" s="469" t="s">
        <v>47</v>
      </c>
      <c r="O9" s="470">
        <v>1025</v>
      </c>
      <c r="P9" s="470">
        <v>10252</v>
      </c>
      <c r="Q9" s="558" t="s">
        <v>355</v>
      </c>
      <c r="R9" s="552" t="s">
        <v>348</v>
      </c>
      <c r="S9" s="545" t="s">
        <v>387</v>
      </c>
      <c r="T9" s="417"/>
    </row>
    <row r="10" spans="1:107" s="299" customFormat="1" x14ac:dyDescent="0.25">
      <c r="A10" s="484"/>
      <c r="B10" s="481"/>
      <c r="C10" s="486"/>
      <c r="D10" s="466"/>
      <c r="E10" s="481"/>
      <c r="F10" s="481"/>
      <c r="G10" s="481"/>
      <c r="H10" s="466"/>
      <c r="I10" s="466"/>
      <c r="J10" s="466"/>
      <c r="K10" s="466"/>
      <c r="L10" s="557"/>
      <c r="M10" s="469"/>
      <c r="N10" s="469"/>
      <c r="O10" s="470"/>
      <c r="P10" s="470"/>
      <c r="Q10" s="466"/>
      <c r="R10" s="552"/>
      <c r="S10" s="546"/>
      <c r="T10" s="417"/>
    </row>
    <row r="11" spans="1:107" s="299" customFormat="1" x14ac:dyDescent="0.25">
      <c r="A11" s="484"/>
      <c r="B11" s="481"/>
      <c r="C11" s="486"/>
      <c r="D11" s="466"/>
      <c r="E11" s="481"/>
      <c r="F11" s="481"/>
      <c r="G11" s="481"/>
      <c r="H11" s="466"/>
      <c r="I11" s="466"/>
      <c r="J11" s="466"/>
      <c r="K11" s="466"/>
      <c r="L11" s="557"/>
      <c r="M11" s="469"/>
      <c r="N11" s="469"/>
      <c r="O11" s="470"/>
      <c r="P11" s="470"/>
      <c r="Q11" s="466"/>
      <c r="R11" s="552"/>
      <c r="S11" s="547"/>
      <c r="T11" s="459"/>
    </row>
    <row r="12" spans="1:107" s="302" customFormat="1" ht="165.75" thickBot="1" x14ac:dyDescent="0.3">
      <c r="A12" s="484"/>
      <c r="B12" s="481"/>
      <c r="C12" s="486"/>
      <c r="D12" s="466"/>
      <c r="E12" s="481"/>
      <c r="F12" s="481"/>
      <c r="G12" s="481"/>
      <c r="H12" s="300" t="s">
        <v>252</v>
      </c>
      <c r="I12" s="301" t="s">
        <v>258</v>
      </c>
      <c r="J12" s="466"/>
      <c r="K12" s="466"/>
      <c r="L12" s="301" t="s">
        <v>150</v>
      </c>
      <c r="M12" s="398">
        <v>298026</v>
      </c>
      <c r="N12" s="248">
        <v>2021</v>
      </c>
      <c r="O12" s="202" t="s">
        <v>47</v>
      </c>
      <c r="P12" s="398">
        <v>84374</v>
      </c>
      <c r="Q12" s="208" t="s">
        <v>355</v>
      </c>
      <c r="R12" s="382" t="s">
        <v>323</v>
      </c>
      <c r="S12" s="457" t="s">
        <v>394</v>
      </c>
      <c r="T12" s="454"/>
      <c r="U12" s="299"/>
      <c r="V12" s="299"/>
      <c r="W12" s="299"/>
      <c r="X12" s="299"/>
      <c r="Y12" s="299"/>
      <c r="Z12" s="299"/>
      <c r="AA12" s="299"/>
      <c r="AB12" s="299"/>
      <c r="AC12" s="299"/>
      <c r="AD12" s="299"/>
      <c r="AE12" s="299"/>
      <c r="AF12" s="299"/>
      <c r="AG12" s="299"/>
      <c r="AH12" s="299"/>
      <c r="AI12" s="299"/>
      <c r="AJ12" s="299"/>
      <c r="AK12" s="299"/>
      <c r="AL12" s="299"/>
      <c r="AM12" s="299"/>
      <c r="AN12" s="299"/>
      <c r="AO12" s="299"/>
      <c r="AP12" s="299"/>
      <c r="AQ12" s="299"/>
      <c r="AR12" s="299"/>
      <c r="AS12" s="299"/>
      <c r="AT12" s="299"/>
      <c r="AU12" s="299"/>
      <c r="AV12" s="299"/>
      <c r="AW12" s="299"/>
      <c r="AX12" s="299"/>
      <c r="AY12" s="299"/>
      <c r="AZ12" s="299"/>
      <c r="BA12" s="299"/>
      <c r="BB12" s="299"/>
      <c r="BC12" s="299"/>
      <c r="BD12" s="299"/>
      <c r="BE12" s="299"/>
      <c r="BF12" s="299"/>
      <c r="BG12" s="299"/>
      <c r="BH12" s="299"/>
      <c r="BI12" s="299"/>
      <c r="BJ12" s="299"/>
      <c r="BK12" s="299"/>
      <c r="BL12" s="299"/>
      <c r="BM12" s="299"/>
      <c r="BN12" s="299"/>
      <c r="BO12" s="299"/>
      <c r="BP12" s="299"/>
      <c r="BQ12" s="299"/>
      <c r="BR12" s="299"/>
      <c r="BS12" s="299"/>
      <c r="BT12" s="299"/>
      <c r="BU12" s="299"/>
      <c r="BV12" s="299"/>
      <c r="BW12" s="299"/>
      <c r="BX12" s="299"/>
      <c r="BY12" s="299"/>
      <c r="BZ12" s="299"/>
      <c r="CA12" s="299"/>
      <c r="CB12" s="299"/>
      <c r="CC12" s="299"/>
      <c r="CD12" s="299"/>
      <c r="CE12" s="299"/>
      <c r="CF12" s="299"/>
      <c r="CG12" s="299"/>
      <c r="CH12" s="299"/>
      <c r="CI12" s="299"/>
      <c r="CJ12" s="299"/>
      <c r="CK12" s="299"/>
      <c r="CL12" s="299"/>
      <c r="CM12" s="299"/>
      <c r="CN12" s="299"/>
      <c r="CO12" s="299"/>
      <c r="CP12" s="299"/>
      <c r="CQ12" s="299"/>
      <c r="CR12" s="299"/>
      <c r="CS12" s="299"/>
      <c r="CT12" s="299"/>
      <c r="CU12" s="299"/>
      <c r="CV12" s="299"/>
      <c r="CW12" s="299"/>
      <c r="CX12" s="299"/>
      <c r="CY12" s="299"/>
      <c r="CZ12" s="299"/>
      <c r="DA12" s="299"/>
      <c r="DB12" s="299"/>
      <c r="DC12" s="299"/>
    </row>
    <row r="13" spans="1:107" s="299" customFormat="1" ht="105.75" thickBot="1" x14ac:dyDescent="0.3">
      <c r="A13" s="485"/>
      <c r="B13" s="482"/>
      <c r="C13" s="487"/>
      <c r="D13" s="474"/>
      <c r="E13" s="482"/>
      <c r="F13" s="482"/>
      <c r="G13" s="482"/>
      <c r="H13" s="273" t="s">
        <v>38</v>
      </c>
      <c r="I13" s="272" t="s">
        <v>259</v>
      </c>
      <c r="J13" s="474"/>
      <c r="K13" s="474"/>
      <c r="L13" s="385" t="s">
        <v>254</v>
      </c>
      <c r="M13" s="452">
        <v>11921</v>
      </c>
      <c r="N13" s="386">
        <v>2021</v>
      </c>
      <c r="O13" s="387" t="s">
        <v>47</v>
      </c>
      <c r="P13" s="452">
        <v>675</v>
      </c>
      <c r="Q13" s="290" t="s">
        <v>355</v>
      </c>
      <c r="R13" s="388" t="s">
        <v>324</v>
      </c>
      <c r="S13" s="413" t="s">
        <v>395</v>
      </c>
      <c r="T13" s="417"/>
      <c r="U13" s="211"/>
    </row>
    <row r="14" spans="1:107" s="281" customFormat="1" ht="270" x14ac:dyDescent="0.25">
      <c r="A14" s="507" t="s">
        <v>376</v>
      </c>
      <c r="B14" s="542">
        <f>G14</f>
        <v>30349000</v>
      </c>
      <c r="C14" s="503">
        <v>31000000</v>
      </c>
      <c r="D14" s="504" t="s">
        <v>359</v>
      </c>
      <c r="E14" s="542">
        <v>0</v>
      </c>
      <c r="F14" s="542">
        <f>C14+E14</f>
        <v>31000000</v>
      </c>
      <c r="G14" s="542">
        <v>30349000</v>
      </c>
      <c r="H14" s="315" t="s">
        <v>40</v>
      </c>
      <c r="I14" s="316" t="s">
        <v>261</v>
      </c>
      <c r="J14" s="504" t="s">
        <v>119</v>
      </c>
      <c r="K14" s="504" t="s">
        <v>120</v>
      </c>
      <c r="L14" s="316" t="s">
        <v>148</v>
      </c>
      <c r="M14" s="317">
        <v>0</v>
      </c>
      <c r="N14" s="317" t="s">
        <v>47</v>
      </c>
      <c r="O14" s="278">
        <v>0</v>
      </c>
      <c r="P14" s="402">
        <v>87970</v>
      </c>
      <c r="Q14" s="318" t="s">
        <v>355</v>
      </c>
      <c r="R14" s="381" t="s">
        <v>356</v>
      </c>
      <c r="S14" s="415" t="s">
        <v>396</v>
      </c>
      <c r="T14" s="418"/>
      <c r="U14" s="403"/>
    </row>
    <row r="15" spans="1:107" s="281" customFormat="1" x14ac:dyDescent="0.25">
      <c r="A15" s="508"/>
      <c r="B15" s="470"/>
      <c r="C15" s="494"/>
      <c r="D15" s="496"/>
      <c r="E15" s="470"/>
      <c r="F15" s="470"/>
      <c r="G15" s="470"/>
      <c r="H15" s="496" t="s">
        <v>252</v>
      </c>
      <c r="I15" s="496" t="s">
        <v>257</v>
      </c>
      <c r="J15" s="496"/>
      <c r="K15" s="496"/>
      <c r="L15" s="496" t="s">
        <v>150</v>
      </c>
      <c r="M15" s="470">
        <v>19353</v>
      </c>
      <c r="N15" s="553">
        <v>2021</v>
      </c>
      <c r="O15" s="494" t="s">
        <v>47</v>
      </c>
      <c r="P15" s="470">
        <v>11611</v>
      </c>
      <c r="Q15" s="506" t="s">
        <v>355</v>
      </c>
      <c r="R15" s="552" t="s">
        <v>357</v>
      </c>
      <c r="S15" s="548" t="s">
        <v>391</v>
      </c>
      <c r="T15" s="421"/>
      <c r="U15" s="550"/>
    </row>
    <row r="16" spans="1:107" s="281" customFormat="1" x14ac:dyDescent="0.25">
      <c r="A16" s="508"/>
      <c r="B16" s="470"/>
      <c r="C16" s="494"/>
      <c r="D16" s="496"/>
      <c r="E16" s="470"/>
      <c r="F16" s="470"/>
      <c r="G16" s="470"/>
      <c r="H16" s="496"/>
      <c r="I16" s="496"/>
      <c r="J16" s="496"/>
      <c r="K16" s="496"/>
      <c r="L16" s="496"/>
      <c r="M16" s="470"/>
      <c r="N16" s="553"/>
      <c r="O16" s="494"/>
      <c r="P16" s="470"/>
      <c r="Q16" s="506"/>
      <c r="R16" s="552"/>
      <c r="S16" s="549"/>
      <c r="T16" s="420"/>
      <c r="U16" s="551"/>
    </row>
    <row r="17" spans="1:21" s="281" customFormat="1" ht="75" x14ac:dyDescent="0.25">
      <c r="A17" s="508"/>
      <c r="B17" s="470"/>
      <c r="C17" s="494"/>
      <c r="D17" s="496"/>
      <c r="E17" s="470"/>
      <c r="F17" s="470"/>
      <c r="G17" s="470"/>
      <c r="H17" s="319" t="s">
        <v>38</v>
      </c>
      <c r="I17" s="356" t="s">
        <v>259</v>
      </c>
      <c r="J17" s="496"/>
      <c r="K17" s="496"/>
      <c r="L17" s="356" t="s">
        <v>254</v>
      </c>
      <c r="M17" s="398">
        <v>1935</v>
      </c>
      <c r="N17" s="320">
        <v>2021</v>
      </c>
      <c r="O17" s="361" t="s">
        <v>47</v>
      </c>
      <c r="P17" s="398">
        <v>1161</v>
      </c>
      <c r="Q17" s="360" t="s">
        <v>355</v>
      </c>
      <c r="R17" s="389" t="s">
        <v>358</v>
      </c>
      <c r="S17" s="446" t="s">
        <v>393</v>
      </c>
      <c r="T17" s="445"/>
    </row>
    <row r="18" spans="1:21" s="281" customFormat="1" ht="270" x14ac:dyDescent="0.25">
      <c r="A18" s="508"/>
      <c r="B18" s="470">
        <f>G18</f>
        <v>30349000</v>
      </c>
      <c r="C18" s="494">
        <v>31000000</v>
      </c>
      <c r="D18" s="496" t="s">
        <v>360</v>
      </c>
      <c r="E18" s="470">
        <v>0</v>
      </c>
      <c r="F18" s="470">
        <f>C18+E18</f>
        <v>31000000</v>
      </c>
      <c r="G18" s="470">
        <v>30349000</v>
      </c>
      <c r="H18" s="319" t="s">
        <v>40</v>
      </c>
      <c r="I18" s="356" t="s">
        <v>261</v>
      </c>
      <c r="J18" s="496" t="s">
        <v>253</v>
      </c>
      <c r="K18" s="496" t="s">
        <v>144</v>
      </c>
      <c r="L18" s="356" t="s">
        <v>148</v>
      </c>
      <c r="M18" s="362">
        <v>0</v>
      </c>
      <c r="N18" s="362" t="s">
        <v>47</v>
      </c>
      <c r="O18" s="361">
        <v>0</v>
      </c>
      <c r="P18" s="398">
        <v>87970</v>
      </c>
      <c r="Q18" s="360" t="s">
        <v>355</v>
      </c>
      <c r="R18" s="389" t="s">
        <v>356</v>
      </c>
      <c r="S18" s="456" t="s">
        <v>397</v>
      </c>
      <c r="T18" s="419"/>
      <c r="U18" s="404"/>
    </row>
    <row r="19" spans="1:21" s="281" customFormat="1" ht="120" x14ac:dyDescent="0.25">
      <c r="A19" s="508"/>
      <c r="B19" s="470"/>
      <c r="C19" s="494"/>
      <c r="D19" s="496"/>
      <c r="E19" s="470"/>
      <c r="F19" s="470"/>
      <c r="G19" s="470"/>
      <c r="H19" s="319" t="s">
        <v>252</v>
      </c>
      <c r="I19" s="356" t="s">
        <v>257</v>
      </c>
      <c r="J19" s="496"/>
      <c r="K19" s="496"/>
      <c r="L19" s="356" t="s">
        <v>150</v>
      </c>
      <c r="M19" s="398">
        <v>19353</v>
      </c>
      <c r="N19" s="320">
        <v>2021</v>
      </c>
      <c r="O19" s="361" t="s">
        <v>47</v>
      </c>
      <c r="P19" s="398">
        <v>11611</v>
      </c>
      <c r="Q19" s="360" t="s">
        <v>355</v>
      </c>
      <c r="R19" s="389" t="s">
        <v>357</v>
      </c>
      <c r="S19" s="408" t="s">
        <v>391</v>
      </c>
      <c r="T19" s="420"/>
      <c r="U19" s="404"/>
    </row>
    <row r="20" spans="1:21" s="281" customFormat="1" ht="75.75" thickBot="1" x14ac:dyDescent="0.3">
      <c r="A20" s="509"/>
      <c r="B20" s="510"/>
      <c r="C20" s="511"/>
      <c r="D20" s="512"/>
      <c r="E20" s="510"/>
      <c r="F20" s="510"/>
      <c r="G20" s="510"/>
      <c r="H20" s="390" t="s">
        <v>38</v>
      </c>
      <c r="I20" s="367" t="s">
        <v>259</v>
      </c>
      <c r="J20" s="512"/>
      <c r="K20" s="512"/>
      <c r="L20" s="367" t="s">
        <v>254</v>
      </c>
      <c r="M20" s="401">
        <v>1935</v>
      </c>
      <c r="N20" s="358">
        <v>2021</v>
      </c>
      <c r="O20" s="357" t="s">
        <v>47</v>
      </c>
      <c r="P20" s="401">
        <v>1161</v>
      </c>
      <c r="Q20" s="366" t="s">
        <v>355</v>
      </c>
      <c r="R20" s="391" t="s">
        <v>358</v>
      </c>
      <c r="S20" s="446" t="s">
        <v>393</v>
      </c>
      <c r="T20" s="445"/>
      <c r="U20" s="404"/>
    </row>
    <row r="21" spans="1:21" s="299" customFormat="1" ht="405" x14ac:dyDescent="0.25">
      <c r="A21" s="483" t="s">
        <v>378</v>
      </c>
      <c r="B21" s="492">
        <f>G21</f>
        <v>15882352.94117647</v>
      </c>
      <c r="C21" s="492">
        <v>13500000</v>
      </c>
      <c r="D21" s="471" t="s">
        <v>312</v>
      </c>
      <c r="E21" s="492">
        <f>C21*0.15/0.85</f>
        <v>2382352.9411764708</v>
      </c>
      <c r="F21" s="492">
        <f>C21+E21</f>
        <v>15882352.94117647</v>
      </c>
      <c r="G21" s="492">
        <f>F21</f>
        <v>15882352.94117647</v>
      </c>
      <c r="H21" s="212" t="s">
        <v>252</v>
      </c>
      <c r="I21" s="213" t="s">
        <v>256</v>
      </c>
      <c r="J21" s="471" t="s">
        <v>119</v>
      </c>
      <c r="K21" s="533" t="s">
        <v>120</v>
      </c>
      <c r="L21" s="213" t="s">
        <v>150</v>
      </c>
      <c r="M21" s="451">
        <v>1846750</v>
      </c>
      <c r="N21" s="213">
        <v>2021</v>
      </c>
      <c r="O21" s="214" t="s">
        <v>47</v>
      </c>
      <c r="P21" s="451">
        <v>1827501</v>
      </c>
      <c r="Q21" s="380" t="s">
        <v>355</v>
      </c>
      <c r="R21" s="392" t="s">
        <v>325</v>
      </c>
      <c r="S21" s="407" t="s">
        <v>388</v>
      </c>
      <c r="T21" s="417"/>
    </row>
    <row r="22" spans="1:21" s="299" customFormat="1" ht="225" x14ac:dyDescent="0.25">
      <c r="A22" s="484"/>
      <c r="B22" s="486"/>
      <c r="C22" s="486"/>
      <c r="D22" s="466"/>
      <c r="E22" s="486"/>
      <c r="F22" s="486"/>
      <c r="G22" s="486"/>
      <c r="H22" s="198" t="s">
        <v>255</v>
      </c>
      <c r="I22" s="215" t="s">
        <v>260</v>
      </c>
      <c r="J22" s="466"/>
      <c r="K22" s="534"/>
      <c r="L22" s="198" t="s">
        <v>32</v>
      </c>
      <c r="M22" s="202">
        <v>0</v>
      </c>
      <c r="N22" s="202" t="s">
        <v>47</v>
      </c>
      <c r="O22" s="767">
        <v>2</v>
      </c>
      <c r="P22" s="397">
        <v>17</v>
      </c>
      <c r="Q22" s="208" t="s">
        <v>355</v>
      </c>
      <c r="R22" s="389" t="s">
        <v>338</v>
      </c>
      <c r="S22" s="408" t="s">
        <v>405</v>
      </c>
      <c r="T22" s="417"/>
    </row>
    <row r="23" spans="1:21" s="299" customFormat="1" ht="60" x14ac:dyDescent="0.25">
      <c r="A23" s="484"/>
      <c r="B23" s="486"/>
      <c r="C23" s="486"/>
      <c r="D23" s="466"/>
      <c r="E23" s="486"/>
      <c r="F23" s="486"/>
      <c r="G23" s="486"/>
      <c r="H23" s="198" t="s">
        <v>38</v>
      </c>
      <c r="I23" s="209" t="s">
        <v>259</v>
      </c>
      <c r="J23" s="466"/>
      <c r="K23" s="534"/>
      <c r="L23" s="209" t="s">
        <v>254</v>
      </c>
      <c r="M23" s="397">
        <v>184675</v>
      </c>
      <c r="N23" s="215">
        <v>2021</v>
      </c>
      <c r="O23" s="198" t="s">
        <v>47</v>
      </c>
      <c r="P23" s="397">
        <v>182750</v>
      </c>
      <c r="Q23" s="208" t="s">
        <v>355</v>
      </c>
      <c r="R23" s="382" t="s">
        <v>275</v>
      </c>
      <c r="S23" s="408" t="s">
        <v>389</v>
      </c>
      <c r="T23" s="417"/>
    </row>
    <row r="24" spans="1:21" s="299" customFormat="1" ht="255" x14ac:dyDescent="0.25">
      <c r="A24" s="484"/>
      <c r="B24" s="486"/>
      <c r="C24" s="486"/>
      <c r="D24" s="466"/>
      <c r="E24" s="486"/>
      <c r="F24" s="486"/>
      <c r="G24" s="486"/>
      <c r="H24" s="215" t="s">
        <v>330</v>
      </c>
      <c r="I24" s="215" t="s">
        <v>268</v>
      </c>
      <c r="J24" s="466"/>
      <c r="K24" s="534"/>
      <c r="L24" s="215" t="s">
        <v>328</v>
      </c>
      <c r="M24" s="203">
        <v>0</v>
      </c>
      <c r="N24" s="215" t="s">
        <v>47</v>
      </c>
      <c r="O24" s="397">
        <v>525</v>
      </c>
      <c r="P24" s="397">
        <v>5257</v>
      </c>
      <c r="Q24" s="208" t="s">
        <v>355</v>
      </c>
      <c r="R24" s="389" t="s">
        <v>339</v>
      </c>
      <c r="S24" s="408" t="s">
        <v>390</v>
      </c>
      <c r="T24" s="417"/>
    </row>
    <row r="25" spans="1:21" s="299" customFormat="1" ht="75" x14ac:dyDescent="0.25">
      <c r="A25" s="484"/>
      <c r="B25" s="486"/>
      <c r="C25" s="486"/>
      <c r="D25" s="466"/>
      <c r="E25" s="486"/>
      <c r="F25" s="486"/>
      <c r="G25" s="486"/>
      <c r="H25" s="354" t="s">
        <v>330</v>
      </c>
      <c r="I25" s="354" t="s">
        <v>302</v>
      </c>
      <c r="J25" s="466"/>
      <c r="K25" s="534"/>
      <c r="L25" s="354" t="s">
        <v>152</v>
      </c>
      <c r="M25" s="354">
        <v>0</v>
      </c>
      <c r="N25" s="354" t="s">
        <v>47</v>
      </c>
      <c r="O25" s="399">
        <v>1</v>
      </c>
      <c r="P25" s="400">
        <v>6</v>
      </c>
      <c r="Q25" s="280" t="s">
        <v>303</v>
      </c>
      <c r="R25" s="393" t="s">
        <v>337</v>
      </c>
      <c r="S25" s="428" t="s">
        <v>398</v>
      </c>
      <c r="T25" s="447"/>
      <c r="U25" s="414" t="s">
        <v>371</v>
      </c>
    </row>
    <row r="26" spans="1:21" s="299" customFormat="1" ht="120.75" thickBot="1" x14ac:dyDescent="0.3">
      <c r="A26" s="531"/>
      <c r="B26" s="486"/>
      <c r="C26" s="486"/>
      <c r="D26" s="466"/>
      <c r="E26" s="486"/>
      <c r="F26" s="486"/>
      <c r="G26" s="486"/>
      <c r="H26" s="354" t="s">
        <v>330</v>
      </c>
      <c r="I26" s="297" t="s">
        <v>336</v>
      </c>
      <c r="J26" s="466"/>
      <c r="K26" s="534"/>
      <c r="L26" s="354" t="s">
        <v>152</v>
      </c>
      <c r="M26" s="354">
        <v>0</v>
      </c>
      <c r="N26" s="354" t="s">
        <v>47</v>
      </c>
      <c r="O26" s="399">
        <v>1</v>
      </c>
      <c r="P26" s="400">
        <v>6</v>
      </c>
      <c r="Q26" s="208" t="s">
        <v>355</v>
      </c>
      <c r="R26" s="393" t="s">
        <v>346</v>
      </c>
      <c r="S26" s="428" t="s">
        <v>392</v>
      </c>
      <c r="T26" s="416"/>
      <c r="U26" s="299" t="s">
        <v>372</v>
      </c>
    </row>
    <row r="27" spans="1:21" s="299" customFormat="1" ht="405" x14ac:dyDescent="0.25">
      <c r="A27" s="484"/>
      <c r="B27" s="486">
        <f>G27</f>
        <v>15882352.94117647</v>
      </c>
      <c r="C27" s="486">
        <v>13500000</v>
      </c>
      <c r="D27" s="540" t="s">
        <v>313</v>
      </c>
      <c r="E27" s="486">
        <f>C27*0.15/0.85</f>
        <v>2382352.9411764708</v>
      </c>
      <c r="F27" s="486">
        <f>C27+E27</f>
        <v>15882352.94117647</v>
      </c>
      <c r="G27" s="537">
        <f>F27</f>
        <v>15882352.94117647</v>
      </c>
      <c r="H27" s="198" t="s">
        <v>252</v>
      </c>
      <c r="I27" s="215" t="s">
        <v>256</v>
      </c>
      <c r="J27" s="466" t="s">
        <v>253</v>
      </c>
      <c r="K27" s="534" t="s">
        <v>144</v>
      </c>
      <c r="L27" s="215" t="s">
        <v>150</v>
      </c>
      <c r="M27" s="398">
        <v>1846750</v>
      </c>
      <c r="N27" s="215">
        <v>2021</v>
      </c>
      <c r="O27" s="216" t="s">
        <v>47</v>
      </c>
      <c r="P27" s="397">
        <v>1827501</v>
      </c>
      <c r="Q27" s="208" t="s">
        <v>345</v>
      </c>
      <c r="R27" s="382" t="s">
        <v>326</v>
      </c>
      <c r="S27" s="407" t="s">
        <v>388</v>
      </c>
      <c r="T27" s="417"/>
    </row>
    <row r="28" spans="1:21" s="299" customFormat="1" ht="225" x14ac:dyDescent="0.25">
      <c r="A28" s="484"/>
      <c r="B28" s="486"/>
      <c r="C28" s="486"/>
      <c r="D28" s="540"/>
      <c r="E28" s="486"/>
      <c r="F28" s="486"/>
      <c r="G28" s="537"/>
      <c r="H28" s="198" t="s">
        <v>255</v>
      </c>
      <c r="I28" s="215" t="s">
        <v>260</v>
      </c>
      <c r="J28" s="466"/>
      <c r="K28" s="534"/>
      <c r="L28" s="215" t="s">
        <v>32</v>
      </c>
      <c r="M28" s="202">
        <v>0</v>
      </c>
      <c r="N28" s="198" t="s">
        <v>47</v>
      </c>
      <c r="O28" s="767">
        <v>2</v>
      </c>
      <c r="P28" s="397">
        <v>17</v>
      </c>
      <c r="Q28" s="208" t="s">
        <v>355</v>
      </c>
      <c r="R28" s="389" t="s">
        <v>349</v>
      </c>
      <c r="S28" s="408" t="s">
        <v>406</v>
      </c>
      <c r="T28" s="417"/>
    </row>
    <row r="29" spans="1:21" s="299" customFormat="1" ht="255" x14ac:dyDescent="0.25">
      <c r="A29" s="484"/>
      <c r="B29" s="486"/>
      <c r="C29" s="486"/>
      <c r="D29" s="540"/>
      <c r="E29" s="486"/>
      <c r="F29" s="486"/>
      <c r="G29" s="537"/>
      <c r="H29" s="215" t="s">
        <v>330</v>
      </c>
      <c r="I29" s="215" t="s">
        <v>268</v>
      </c>
      <c r="J29" s="466"/>
      <c r="K29" s="534"/>
      <c r="L29" s="215" t="s">
        <v>328</v>
      </c>
      <c r="M29" s="203">
        <v>0</v>
      </c>
      <c r="N29" s="215" t="s">
        <v>47</v>
      </c>
      <c r="O29" s="397">
        <v>525</v>
      </c>
      <c r="P29" s="397">
        <v>5257</v>
      </c>
      <c r="Q29" s="208" t="s">
        <v>355</v>
      </c>
      <c r="R29" s="389" t="s">
        <v>350</v>
      </c>
      <c r="S29" s="408" t="s">
        <v>390</v>
      </c>
      <c r="T29" s="417"/>
    </row>
    <row r="30" spans="1:21" s="299" customFormat="1" ht="60" x14ac:dyDescent="0.25">
      <c r="A30" s="484"/>
      <c r="B30" s="486"/>
      <c r="C30" s="486"/>
      <c r="D30" s="540"/>
      <c r="E30" s="486"/>
      <c r="F30" s="486"/>
      <c r="G30" s="537"/>
      <c r="H30" s="198" t="s">
        <v>38</v>
      </c>
      <c r="I30" s="209" t="s">
        <v>259</v>
      </c>
      <c r="J30" s="466"/>
      <c r="K30" s="534"/>
      <c r="L30" s="209" t="s">
        <v>254</v>
      </c>
      <c r="M30" s="397">
        <v>184675</v>
      </c>
      <c r="N30" s="215">
        <v>2021</v>
      </c>
      <c r="O30" s="198" t="s">
        <v>47</v>
      </c>
      <c r="P30" s="397">
        <v>182750</v>
      </c>
      <c r="Q30" s="208" t="s">
        <v>355</v>
      </c>
      <c r="R30" s="382" t="s">
        <v>320</v>
      </c>
      <c r="S30" s="408" t="s">
        <v>389</v>
      </c>
      <c r="T30" s="417"/>
    </row>
    <row r="31" spans="1:21" s="299" customFormat="1" ht="75" x14ac:dyDescent="0.25">
      <c r="A31" s="484"/>
      <c r="B31" s="486"/>
      <c r="C31" s="486"/>
      <c r="D31" s="540"/>
      <c r="E31" s="486"/>
      <c r="F31" s="486"/>
      <c r="G31" s="537"/>
      <c r="H31" s="354" t="s">
        <v>301</v>
      </c>
      <c r="I31" s="354" t="s">
        <v>302</v>
      </c>
      <c r="J31" s="466"/>
      <c r="K31" s="534"/>
      <c r="L31" s="354" t="s">
        <v>152</v>
      </c>
      <c r="M31" s="354">
        <v>0</v>
      </c>
      <c r="N31" s="354" t="s">
        <v>47</v>
      </c>
      <c r="O31" s="279">
        <f>O32</f>
        <v>3</v>
      </c>
      <c r="P31" s="287">
        <f>P32</f>
        <v>27</v>
      </c>
      <c r="Q31" s="280" t="s">
        <v>303</v>
      </c>
      <c r="R31" s="393" t="s">
        <v>337</v>
      </c>
      <c r="S31" s="409" t="s">
        <v>337</v>
      </c>
      <c r="T31" s="416"/>
    </row>
    <row r="32" spans="1:21" s="299" customFormat="1" ht="105.75" thickBot="1" x14ac:dyDescent="0.3">
      <c r="A32" s="532"/>
      <c r="B32" s="539"/>
      <c r="C32" s="539"/>
      <c r="D32" s="541"/>
      <c r="E32" s="539"/>
      <c r="F32" s="539"/>
      <c r="G32" s="538"/>
      <c r="H32" s="286" t="s">
        <v>335</v>
      </c>
      <c r="I32" s="453" t="s">
        <v>336</v>
      </c>
      <c r="J32" s="535"/>
      <c r="K32" s="536"/>
      <c r="L32" s="355" t="s">
        <v>152</v>
      </c>
      <c r="M32" s="355">
        <v>0</v>
      </c>
      <c r="N32" s="355" t="s">
        <v>47</v>
      </c>
      <c r="O32" s="286">
        <v>3</v>
      </c>
      <c r="P32" s="270">
        <v>27</v>
      </c>
      <c r="Q32" s="384" t="s">
        <v>355</v>
      </c>
      <c r="R32" s="394" t="s">
        <v>351</v>
      </c>
      <c r="S32" s="410" t="s">
        <v>400</v>
      </c>
      <c r="T32" s="416"/>
    </row>
    <row r="33" spans="1:21" s="299" customFormat="1" x14ac:dyDescent="0.25">
      <c r="A33" s="303"/>
      <c r="B33" s="304" t="s">
        <v>262</v>
      </c>
      <c r="C33" s="308">
        <f>C9+C27+C18</f>
        <v>86000000</v>
      </c>
      <c r="D33" s="308"/>
      <c r="E33" s="308">
        <f t="shared" ref="E33:G33" si="0">E9+E27+E18</f>
        <v>15176471.352941178</v>
      </c>
      <c r="F33" s="308">
        <f t="shared" si="0"/>
        <v>101176471.35294119</v>
      </c>
      <c r="G33" s="308">
        <f t="shared" si="0"/>
        <v>98819821.352941185</v>
      </c>
      <c r="H33" s="460"/>
      <c r="M33" s="307">
        <f>SUM(M6:M32)</f>
        <v>4725320</v>
      </c>
      <c r="N33" s="307"/>
      <c r="O33" s="307">
        <f>SUM(O6:O32)</f>
        <v>3112</v>
      </c>
      <c r="P33" s="308">
        <f>SUM(P6:P32)</f>
        <v>4423202</v>
      </c>
      <c r="R33" s="262"/>
    </row>
    <row r="34" spans="1:21" s="299" customFormat="1" x14ac:dyDescent="0.25">
      <c r="A34" s="303"/>
      <c r="B34" s="304" t="s">
        <v>119</v>
      </c>
      <c r="C34" s="308">
        <f>C6+C14+C21</f>
        <v>86000000</v>
      </c>
      <c r="D34" s="308"/>
      <c r="E34" s="308">
        <f t="shared" ref="E34:G34" si="1">E6+E14+E21</f>
        <v>15176471.352941178</v>
      </c>
      <c r="F34" s="308">
        <f t="shared" si="1"/>
        <v>101176471.35294119</v>
      </c>
      <c r="G34" s="308">
        <f t="shared" si="1"/>
        <v>98819821.352941185</v>
      </c>
      <c r="H34" s="448"/>
      <c r="M34" s="306"/>
      <c r="P34" s="305"/>
      <c r="R34" s="262"/>
    </row>
    <row r="35" spans="1:21" s="299" customFormat="1" x14ac:dyDescent="0.25">
      <c r="A35" s="303"/>
      <c r="B35" s="304"/>
      <c r="C35" s="308">
        <f>SUM(C6:C32)</f>
        <v>172000000</v>
      </c>
      <c r="D35" s="308"/>
      <c r="E35" s="308">
        <f>SUM(E6:E32)</f>
        <v>30352942.705882356</v>
      </c>
      <c r="F35" s="308">
        <f>SUM(F6:F32)</f>
        <v>202352942.70588237</v>
      </c>
      <c r="G35" s="308">
        <f t="shared" ref="G35" si="2">SUM(G6:G32)</f>
        <v>197639642.70588237</v>
      </c>
      <c r="H35" s="448"/>
      <c r="J35" s="395"/>
      <c r="M35" s="306"/>
      <c r="P35" s="305"/>
      <c r="R35" s="262"/>
    </row>
    <row r="36" spans="1:21" x14ac:dyDescent="0.25">
      <c r="A36" s="217"/>
      <c r="C36" s="218"/>
      <c r="E36" s="218"/>
      <c r="F36" s="219"/>
      <c r="G36" s="219"/>
      <c r="K36" s="263"/>
      <c r="L36" s="263"/>
      <c r="M36" s="219"/>
      <c r="O36" s="204"/>
      <c r="P36" s="218"/>
      <c r="R36" s="262"/>
    </row>
    <row r="37" spans="1:21" s="329" customFormat="1" ht="15.75" thickBot="1" x14ac:dyDescent="0.3">
      <c r="A37" s="326" t="s">
        <v>361</v>
      </c>
      <c r="B37" s="327"/>
      <c r="C37" s="328"/>
      <c r="D37" s="327"/>
      <c r="E37" s="328"/>
      <c r="P37" s="328"/>
      <c r="R37" s="330"/>
    </row>
    <row r="38" spans="1:21" s="329" customFormat="1" ht="180" x14ac:dyDescent="0.25">
      <c r="A38" s="500" t="s">
        <v>375</v>
      </c>
      <c r="B38" s="503">
        <f>G38</f>
        <v>257645629</v>
      </c>
      <c r="C38" s="503">
        <v>257645629</v>
      </c>
      <c r="D38" s="504" t="s">
        <v>311</v>
      </c>
      <c r="E38" s="505">
        <f>C38/0.85*0.15</f>
        <v>45466875.705882356</v>
      </c>
      <c r="F38" s="505">
        <f>E38+C38</f>
        <v>303112504.70588237</v>
      </c>
      <c r="G38" s="505">
        <f>C38</f>
        <v>257645629</v>
      </c>
      <c r="H38" s="316" t="s">
        <v>251</v>
      </c>
      <c r="I38" s="316" t="s">
        <v>334</v>
      </c>
      <c r="J38" s="504" t="s">
        <v>160</v>
      </c>
      <c r="K38" s="504" t="s">
        <v>144</v>
      </c>
      <c r="L38" s="316" t="s">
        <v>369</v>
      </c>
      <c r="M38" s="315">
        <v>0</v>
      </c>
      <c r="N38" s="315" t="s">
        <v>47</v>
      </c>
      <c r="O38" s="316">
        <v>0</v>
      </c>
      <c r="P38" s="317">
        <f>(G38+G41)/3000*0.7</f>
        <v>75394.658033333326</v>
      </c>
      <c r="Q38" s="318" t="s">
        <v>269</v>
      </c>
      <c r="R38" s="435" t="s">
        <v>363</v>
      </c>
      <c r="S38" s="438"/>
      <c r="T38" s="331"/>
      <c r="U38" s="331"/>
    </row>
    <row r="39" spans="1:21" s="329" customFormat="1" ht="120" x14ac:dyDescent="0.25">
      <c r="A39" s="501"/>
      <c r="B39" s="494"/>
      <c r="C39" s="494"/>
      <c r="D39" s="496"/>
      <c r="E39" s="506"/>
      <c r="F39" s="506"/>
      <c r="G39" s="506"/>
      <c r="H39" s="356" t="s">
        <v>252</v>
      </c>
      <c r="I39" s="356" t="s">
        <v>256</v>
      </c>
      <c r="J39" s="496"/>
      <c r="K39" s="496"/>
      <c r="L39" s="356" t="s">
        <v>270</v>
      </c>
      <c r="M39" s="361">
        <f>P38*15</f>
        <v>1130919.8705</v>
      </c>
      <c r="N39" s="356">
        <v>2021</v>
      </c>
      <c r="O39" s="356" t="s">
        <v>47</v>
      </c>
      <c r="P39" s="361">
        <f>M39-(M39*0.4)</f>
        <v>678551.92229999998</v>
      </c>
      <c r="Q39" s="360" t="s">
        <v>269</v>
      </c>
      <c r="R39" s="436" t="s">
        <v>364</v>
      </c>
      <c r="S39" s="439"/>
    </row>
    <row r="40" spans="1:21" s="329" customFormat="1" ht="90" x14ac:dyDescent="0.25">
      <c r="A40" s="501"/>
      <c r="B40" s="494"/>
      <c r="C40" s="494"/>
      <c r="D40" s="496"/>
      <c r="E40" s="506"/>
      <c r="F40" s="506"/>
      <c r="G40" s="506"/>
      <c r="H40" s="319" t="s">
        <v>38</v>
      </c>
      <c r="I40" s="356" t="s">
        <v>259</v>
      </c>
      <c r="J40" s="496"/>
      <c r="K40" s="496"/>
      <c r="L40" s="356" t="s">
        <v>271</v>
      </c>
      <c r="M40" s="362">
        <f>M39*0.1</f>
        <v>113091.98705</v>
      </c>
      <c r="N40" s="319">
        <v>2021</v>
      </c>
      <c r="O40" s="319" t="s">
        <v>47</v>
      </c>
      <c r="P40" s="362">
        <f>P39*0.1</f>
        <v>67855.192230000001</v>
      </c>
      <c r="Q40" s="360" t="s">
        <v>269</v>
      </c>
      <c r="R40" s="436" t="s">
        <v>365</v>
      </c>
      <c r="S40" s="440"/>
      <c r="T40" s="333"/>
    </row>
    <row r="41" spans="1:21" s="329" customFormat="1" ht="180" x14ac:dyDescent="0.25">
      <c r="A41" s="501"/>
      <c r="B41" s="494">
        <f>F41</f>
        <v>85263922.352941185</v>
      </c>
      <c r="C41" s="494">
        <v>72474334</v>
      </c>
      <c r="D41" s="496" t="s">
        <v>311</v>
      </c>
      <c r="E41" s="494">
        <f>C41/0.85*0.15</f>
        <v>12789588.352941178</v>
      </c>
      <c r="F41" s="498">
        <f>E41+C41</f>
        <v>85263922.352941185</v>
      </c>
      <c r="G41" s="498">
        <f>C41-7000000</f>
        <v>65474334</v>
      </c>
      <c r="H41" s="356" t="s">
        <v>251</v>
      </c>
      <c r="I41" s="356" t="s">
        <v>334</v>
      </c>
      <c r="J41" s="496" t="s">
        <v>119</v>
      </c>
      <c r="K41" s="496" t="s">
        <v>120</v>
      </c>
      <c r="L41" s="356" t="s">
        <v>370</v>
      </c>
      <c r="M41" s="319">
        <v>0</v>
      </c>
      <c r="N41" s="319" t="s">
        <v>47</v>
      </c>
      <c r="O41" s="356">
        <v>0</v>
      </c>
      <c r="P41" s="362">
        <f>(G38+G41)/3000*0.3</f>
        <v>32311.996299999999</v>
      </c>
      <c r="Q41" s="360" t="s">
        <v>269</v>
      </c>
      <c r="R41" s="436" t="s">
        <v>366</v>
      </c>
      <c r="S41" s="441"/>
    </row>
    <row r="42" spans="1:21" s="329" customFormat="1" ht="120" x14ac:dyDescent="0.25">
      <c r="A42" s="501"/>
      <c r="B42" s="494"/>
      <c r="C42" s="494"/>
      <c r="D42" s="496"/>
      <c r="E42" s="494"/>
      <c r="F42" s="498"/>
      <c r="G42" s="498"/>
      <c r="H42" s="319" t="s">
        <v>252</v>
      </c>
      <c r="I42" s="356" t="s">
        <v>256</v>
      </c>
      <c r="J42" s="496"/>
      <c r="K42" s="496"/>
      <c r="L42" s="356" t="s">
        <v>270</v>
      </c>
      <c r="M42" s="362">
        <f>P41*15+7</f>
        <v>484686.94449999998</v>
      </c>
      <c r="N42" s="319">
        <v>2021</v>
      </c>
      <c r="O42" s="356" t="s">
        <v>47</v>
      </c>
      <c r="P42" s="362">
        <f>M42-(M42*0.4)</f>
        <v>290812.16669999994</v>
      </c>
      <c r="Q42" s="360" t="s">
        <v>269</v>
      </c>
      <c r="R42" s="436" t="s">
        <v>367</v>
      </c>
      <c r="S42" s="439"/>
    </row>
    <row r="43" spans="1:21" s="329" customFormat="1" ht="75.75" thickBot="1" x14ac:dyDescent="0.3">
      <c r="A43" s="502"/>
      <c r="B43" s="495"/>
      <c r="C43" s="495"/>
      <c r="D43" s="497"/>
      <c r="E43" s="495"/>
      <c r="F43" s="499"/>
      <c r="G43" s="499"/>
      <c r="H43" s="321" t="s">
        <v>272</v>
      </c>
      <c r="I43" s="322" t="s">
        <v>259</v>
      </c>
      <c r="J43" s="497"/>
      <c r="K43" s="497"/>
      <c r="L43" s="322" t="s">
        <v>254</v>
      </c>
      <c r="M43" s="323">
        <f>M42*0.1</f>
        <v>48468.694450000003</v>
      </c>
      <c r="N43" s="321">
        <v>2021</v>
      </c>
      <c r="O43" s="321" t="s">
        <v>47</v>
      </c>
      <c r="P43" s="323">
        <f>P42*0.1</f>
        <v>29081.216669999994</v>
      </c>
      <c r="Q43" s="324" t="s">
        <v>269</v>
      </c>
      <c r="R43" s="437" t="s">
        <v>368</v>
      </c>
      <c r="S43" s="442"/>
    </row>
    <row r="44" spans="1:21" s="329" customFormat="1" x14ac:dyDescent="0.25">
      <c r="A44" s="338"/>
      <c r="B44" s="339" t="s">
        <v>362</v>
      </c>
      <c r="C44" s="339">
        <f>C38</f>
        <v>257645629</v>
      </c>
      <c r="D44" s="338"/>
      <c r="E44" s="339">
        <f>E38</f>
        <v>45466875.705882356</v>
      </c>
      <c r="F44" s="340">
        <f>F38</f>
        <v>303112504.70588237</v>
      </c>
      <c r="G44" s="340">
        <f>G38</f>
        <v>257645629</v>
      </c>
      <c r="H44" s="341"/>
      <c r="I44" s="338"/>
      <c r="J44" s="338"/>
      <c r="K44" s="338"/>
      <c r="L44" s="338"/>
      <c r="M44" s="340">
        <f>SUM(M38:M43)</f>
        <v>1777167.4964999999</v>
      </c>
      <c r="N44" s="341"/>
      <c r="O44" s="341">
        <f>SUM(O38:O43)</f>
        <v>0</v>
      </c>
      <c r="P44" s="340">
        <f>SUM(P38:P43)</f>
        <v>1174007.1522333333</v>
      </c>
      <c r="Q44" s="342"/>
      <c r="R44" s="343"/>
      <c r="S44" s="332"/>
    </row>
    <row r="45" spans="1:21" s="329" customFormat="1" x14ac:dyDescent="0.25">
      <c r="A45" s="338"/>
      <c r="B45" s="339" t="s">
        <v>119</v>
      </c>
      <c r="C45" s="339">
        <f>C41</f>
        <v>72474334</v>
      </c>
      <c r="D45" s="339"/>
      <c r="E45" s="339">
        <f>E41</f>
        <v>12789588.352941178</v>
      </c>
      <c r="F45" s="340">
        <f>F41</f>
        <v>85263922.352941185</v>
      </c>
      <c r="G45" s="340">
        <f>G41</f>
        <v>65474334</v>
      </c>
      <c r="H45" s="341"/>
      <c r="I45" s="338"/>
      <c r="J45" s="338"/>
      <c r="K45" s="338"/>
      <c r="L45" s="338" t="s">
        <v>252</v>
      </c>
      <c r="M45" s="340">
        <f>M39+M42</f>
        <v>1615606.8149999999</v>
      </c>
      <c r="N45" s="341"/>
      <c r="O45" s="341"/>
      <c r="P45" s="340">
        <f>P39+P42</f>
        <v>969364.08899999992</v>
      </c>
      <c r="Q45" s="342"/>
      <c r="R45" s="343"/>
      <c r="S45" s="332"/>
    </row>
    <row r="46" spans="1:21" s="329" customFormat="1" x14ac:dyDescent="0.25">
      <c r="C46" s="335"/>
      <c r="D46" s="335"/>
      <c r="E46" s="350"/>
      <c r="F46" s="350"/>
      <c r="G46" s="351"/>
      <c r="K46" s="334"/>
      <c r="L46" s="352"/>
      <c r="M46" s="353"/>
      <c r="P46" s="353"/>
      <c r="R46" s="330"/>
    </row>
    <row r="47" spans="1:21" s="329" customFormat="1" x14ac:dyDescent="0.25">
      <c r="B47" s="336"/>
      <c r="C47" s="337"/>
      <c r="M47" s="335"/>
      <c r="P47" s="335"/>
      <c r="R47" s="330"/>
    </row>
    <row r="48" spans="1:21" ht="15.75" thickBot="1" x14ac:dyDescent="0.3">
      <c r="A48" t="s">
        <v>309</v>
      </c>
      <c r="B48" s="221"/>
      <c r="C48" s="220"/>
      <c r="D48" s="463"/>
      <c r="E48" s="204"/>
      <c r="O48" s="204"/>
      <c r="P48" s="204"/>
      <c r="R48" s="262"/>
      <c r="S48" s="329"/>
    </row>
    <row r="49" spans="1:19" customFormat="1" ht="75" x14ac:dyDescent="0.25">
      <c r="A49" s="525" t="s">
        <v>377</v>
      </c>
      <c r="B49" s="475">
        <f>G49</f>
        <v>57199574.64764706</v>
      </c>
      <c r="C49" s="475">
        <f>60488496-11868858</f>
        <v>48619638</v>
      </c>
      <c r="D49" s="528" t="s">
        <v>327</v>
      </c>
      <c r="E49" s="475">
        <f>C49*15/85+0.53</f>
        <v>8579936.6476470586</v>
      </c>
      <c r="F49" s="475">
        <f>E49+C49</f>
        <v>57199574.64764706</v>
      </c>
      <c r="G49" s="475">
        <f>F49</f>
        <v>57199574.64764706</v>
      </c>
      <c r="H49" s="364" t="s">
        <v>301</v>
      </c>
      <c r="I49" s="364" t="s">
        <v>302</v>
      </c>
      <c r="J49" s="513" t="s">
        <v>253</v>
      </c>
      <c r="K49" s="515" t="s">
        <v>144</v>
      </c>
      <c r="L49" s="364" t="s">
        <v>152</v>
      </c>
      <c r="M49" s="364">
        <v>0</v>
      </c>
      <c r="N49" s="364" t="s">
        <v>47</v>
      </c>
      <c r="O49" s="429">
        <v>62</v>
      </c>
      <c r="P49" s="429">
        <v>215</v>
      </c>
      <c r="Q49" s="368" t="s">
        <v>303</v>
      </c>
      <c r="R49" s="268" t="s">
        <v>379</v>
      </c>
      <c r="S49" s="430" t="s">
        <v>401</v>
      </c>
    </row>
    <row r="50" spans="1:19" customFormat="1" ht="135" x14ac:dyDescent="0.25">
      <c r="A50" s="526"/>
      <c r="B50" s="476"/>
      <c r="C50" s="476"/>
      <c r="D50" s="529"/>
      <c r="E50" s="476"/>
      <c r="F50" s="476"/>
      <c r="G50" s="476"/>
      <c r="H50" s="365" t="s">
        <v>304</v>
      </c>
      <c r="I50" s="365" t="s">
        <v>305</v>
      </c>
      <c r="J50" s="514"/>
      <c r="K50" s="516"/>
      <c r="L50" s="365" t="s">
        <v>152</v>
      </c>
      <c r="M50" s="365">
        <v>0</v>
      </c>
      <c r="N50" s="365" t="s">
        <v>47</v>
      </c>
      <c r="O50" s="405">
        <v>62</v>
      </c>
      <c r="P50" s="405">
        <v>215</v>
      </c>
      <c r="Q50" s="291" t="s">
        <v>343</v>
      </c>
      <c r="R50" s="269" t="s">
        <v>380</v>
      </c>
      <c r="S50" s="431" t="s">
        <v>402</v>
      </c>
    </row>
    <row r="51" spans="1:19" customFormat="1" ht="210" x14ac:dyDescent="0.25">
      <c r="A51" s="526"/>
      <c r="B51" s="476"/>
      <c r="C51" s="476"/>
      <c r="D51" s="529"/>
      <c r="E51" s="476"/>
      <c r="F51" s="476"/>
      <c r="G51" s="476"/>
      <c r="H51" s="215" t="s">
        <v>252</v>
      </c>
      <c r="I51" s="215" t="s">
        <v>306</v>
      </c>
      <c r="J51" s="514"/>
      <c r="K51" s="516"/>
      <c r="L51" s="215" t="s">
        <v>150</v>
      </c>
      <c r="M51" s="397">
        <v>818512.4</v>
      </c>
      <c r="N51" s="288">
        <v>2021</v>
      </c>
      <c r="O51" s="297" t="s">
        <v>47</v>
      </c>
      <c r="P51" s="400">
        <v>638439.6</v>
      </c>
      <c r="Q51" s="291" t="s">
        <v>343</v>
      </c>
      <c r="R51" s="269" t="s">
        <v>342</v>
      </c>
      <c r="S51" s="432" t="s">
        <v>403</v>
      </c>
    </row>
    <row r="52" spans="1:19" customFormat="1" ht="90" x14ac:dyDescent="0.25">
      <c r="A52" s="526"/>
      <c r="B52" s="476"/>
      <c r="C52" s="476"/>
      <c r="D52" s="529"/>
      <c r="E52" s="476"/>
      <c r="F52" s="476"/>
      <c r="G52" s="476"/>
      <c r="H52" s="215" t="s">
        <v>38</v>
      </c>
      <c r="I52" s="215" t="s">
        <v>308</v>
      </c>
      <c r="J52" s="514"/>
      <c r="K52" s="516"/>
      <c r="L52" s="365" t="s">
        <v>307</v>
      </c>
      <c r="M52" s="400">
        <f>M51*0.42</f>
        <v>343775.20799999998</v>
      </c>
      <c r="N52" s="288">
        <v>2021</v>
      </c>
      <c r="O52" s="297" t="s">
        <v>47</v>
      </c>
      <c r="P52" s="400">
        <f>P51*0.42</f>
        <v>268144.63199999998</v>
      </c>
      <c r="Q52" s="291" t="s">
        <v>343</v>
      </c>
      <c r="R52" s="369" t="s">
        <v>331</v>
      </c>
      <c r="S52" s="464" t="s">
        <v>404</v>
      </c>
    </row>
    <row r="53" spans="1:19" customFormat="1" ht="75" x14ac:dyDescent="0.25">
      <c r="A53" s="526"/>
      <c r="B53" s="517">
        <f>G53</f>
        <v>47441960</v>
      </c>
      <c r="C53" s="519">
        <v>40325666</v>
      </c>
      <c r="D53" s="529"/>
      <c r="E53" s="517">
        <f>C53/85%*15%</f>
        <v>7116294</v>
      </c>
      <c r="F53" s="517">
        <f>E53+C53</f>
        <v>47441960</v>
      </c>
      <c r="G53" s="517">
        <f>F53</f>
        <v>47441960</v>
      </c>
      <c r="H53" s="363" t="s">
        <v>330</v>
      </c>
      <c r="I53" s="365" t="s">
        <v>302</v>
      </c>
      <c r="J53" s="521" t="s">
        <v>119</v>
      </c>
      <c r="K53" s="523" t="s">
        <v>120</v>
      </c>
      <c r="L53" s="365" t="s">
        <v>152</v>
      </c>
      <c r="M53" s="365">
        <v>0</v>
      </c>
      <c r="N53" s="365" t="s">
        <v>47</v>
      </c>
      <c r="O53" s="250">
        <f>O54</f>
        <v>66</v>
      </c>
      <c r="P53" s="250">
        <f>P54</f>
        <v>228</v>
      </c>
      <c r="Q53" s="291" t="s">
        <v>303</v>
      </c>
      <c r="R53" s="370" t="s">
        <v>381</v>
      </c>
      <c r="S53" s="433"/>
    </row>
    <row r="54" spans="1:19" customFormat="1" ht="120" x14ac:dyDescent="0.25">
      <c r="A54" s="526"/>
      <c r="B54" s="517"/>
      <c r="C54" s="519"/>
      <c r="D54" s="529"/>
      <c r="E54" s="517"/>
      <c r="F54" s="517"/>
      <c r="G54" s="517"/>
      <c r="H54" s="363" t="s">
        <v>330</v>
      </c>
      <c r="I54" s="365" t="s">
        <v>305</v>
      </c>
      <c r="J54" s="521"/>
      <c r="K54" s="523"/>
      <c r="L54" s="365" t="s">
        <v>152</v>
      </c>
      <c r="M54" s="365">
        <v>0</v>
      </c>
      <c r="N54" s="365" t="s">
        <v>47</v>
      </c>
      <c r="O54" s="250">
        <v>66</v>
      </c>
      <c r="P54" s="250">
        <v>228</v>
      </c>
      <c r="Q54" s="291" t="s">
        <v>343</v>
      </c>
      <c r="R54" s="269" t="s">
        <v>382</v>
      </c>
      <c r="S54" s="433"/>
    </row>
    <row r="55" spans="1:19" customFormat="1" ht="210" x14ac:dyDescent="0.25">
      <c r="A55" s="526"/>
      <c r="B55" s="517"/>
      <c r="C55" s="519"/>
      <c r="D55" s="529"/>
      <c r="E55" s="517"/>
      <c r="F55" s="517"/>
      <c r="G55" s="517"/>
      <c r="H55" s="215" t="s">
        <v>252</v>
      </c>
      <c r="I55" s="215" t="s">
        <v>306</v>
      </c>
      <c r="J55" s="521"/>
      <c r="K55" s="523"/>
      <c r="L55" s="215" t="s">
        <v>150</v>
      </c>
      <c r="M55" s="203">
        <v>814659.91</v>
      </c>
      <c r="N55" s="288">
        <v>2021</v>
      </c>
      <c r="O55" s="297" t="s">
        <v>47</v>
      </c>
      <c r="P55" s="287">
        <v>635434.73</v>
      </c>
      <c r="Q55" s="291" t="s">
        <v>343</v>
      </c>
      <c r="R55" s="269" t="s">
        <v>332</v>
      </c>
      <c r="S55" s="434"/>
    </row>
    <row r="56" spans="1:19" customFormat="1" ht="75.75" thickBot="1" x14ac:dyDescent="0.3">
      <c r="A56" s="527"/>
      <c r="B56" s="518"/>
      <c r="C56" s="520"/>
      <c r="D56" s="530"/>
      <c r="E56" s="518"/>
      <c r="F56" s="518"/>
      <c r="G56" s="518"/>
      <c r="H56" s="245" t="s">
        <v>38</v>
      </c>
      <c r="I56" s="245" t="s">
        <v>308</v>
      </c>
      <c r="J56" s="522"/>
      <c r="K56" s="524"/>
      <c r="L56" s="246" t="s">
        <v>307</v>
      </c>
      <c r="M56" s="270">
        <f>M55*0.42</f>
        <v>342157.16220000002</v>
      </c>
      <c r="N56" s="289">
        <v>2021</v>
      </c>
      <c r="O56" s="298" t="s">
        <v>47</v>
      </c>
      <c r="P56" s="270">
        <f>P55*0.42</f>
        <v>266882.58659999998</v>
      </c>
      <c r="Q56" s="292" t="s">
        <v>344</v>
      </c>
      <c r="R56" s="371" t="s">
        <v>383</v>
      </c>
      <c r="S56" s="434"/>
    </row>
    <row r="57" spans="1:19" customFormat="1" x14ac:dyDescent="0.25">
      <c r="B57" s="282" t="s">
        <v>119</v>
      </c>
      <c r="C57" s="249">
        <f>SUM(C53)</f>
        <v>40325666</v>
      </c>
      <c r="D57" s="249"/>
      <c r="E57" s="293">
        <f>SUM(E53)</f>
        <v>7116294</v>
      </c>
      <c r="F57" s="294">
        <f>SUM(F53)</f>
        <v>47441960</v>
      </c>
      <c r="G57" s="294">
        <f>SUM(G53)</f>
        <v>47441960</v>
      </c>
      <c r="M57" s="249">
        <f>SUM(M49:M56)</f>
        <v>2319104.6802000003</v>
      </c>
      <c r="O57" s="283">
        <f>SUM(O49:O56)</f>
        <v>256</v>
      </c>
      <c r="P57" s="249">
        <f>SUM(P49:P56)</f>
        <v>1809787.5485999999</v>
      </c>
    </row>
    <row r="58" spans="1:19" customFormat="1" x14ac:dyDescent="0.25">
      <c r="B58" t="s">
        <v>262</v>
      </c>
      <c r="C58" s="249">
        <f>C49</f>
        <v>48619638</v>
      </c>
      <c r="D58" s="249"/>
      <c r="E58" s="284">
        <f>E49</f>
        <v>8579936.6476470586</v>
      </c>
      <c r="F58" s="249">
        <f>F49</f>
        <v>57199574.64764706</v>
      </c>
      <c r="G58" s="249">
        <f>G49</f>
        <v>57199574.64764706</v>
      </c>
    </row>
    <row r="59" spans="1:19" customFormat="1" x14ac:dyDescent="0.25">
      <c r="C59" s="200"/>
      <c r="E59" s="247"/>
      <c r="F59" s="200"/>
      <c r="G59" s="200"/>
      <c r="M59" s="249"/>
      <c r="P59" s="249"/>
    </row>
    <row r="60" spans="1:19" x14ac:dyDescent="0.25">
      <c r="B60" s="449"/>
      <c r="C60" s="220"/>
      <c r="D60" s="204"/>
      <c r="E60" s="204"/>
      <c r="L60" s="263" t="s">
        <v>329</v>
      </c>
      <c r="M60" s="230">
        <f>M33+M44+M57</f>
        <v>8821592.1766999997</v>
      </c>
      <c r="O60" s="230">
        <f>O33+O44+O57</f>
        <v>3368</v>
      </c>
      <c r="P60" s="230">
        <f>P33+P44+P57</f>
        <v>7406996.7008333337</v>
      </c>
    </row>
    <row r="61" spans="1:19" ht="15.75" thickBot="1" x14ac:dyDescent="0.3">
      <c r="L61" s="263"/>
      <c r="M61" s="264"/>
      <c r="O61" s="204"/>
      <c r="P61" s="265"/>
      <c r="Q61" s="222"/>
    </row>
    <row r="62" spans="1:19" ht="60" x14ac:dyDescent="0.25">
      <c r="A62" s="311" t="s">
        <v>263</v>
      </c>
      <c r="B62" s="312" t="s">
        <v>264</v>
      </c>
      <c r="C62" s="312" t="s">
        <v>265</v>
      </c>
      <c r="D62" s="312" t="s">
        <v>266</v>
      </c>
      <c r="E62" s="312" t="s">
        <v>181</v>
      </c>
      <c r="F62" s="312" t="s">
        <v>115</v>
      </c>
      <c r="G62" s="312" t="s">
        <v>267</v>
      </c>
      <c r="H62" s="312" t="s">
        <v>248</v>
      </c>
      <c r="I62" s="310" t="s">
        <v>352</v>
      </c>
      <c r="J62" s="295" t="s">
        <v>123</v>
      </c>
      <c r="K62" s="310" t="s">
        <v>352</v>
      </c>
      <c r="L62" s="313" t="s">
        <v>353</v>
      </c>
      <c r="O62" s="204"/>
      <c r="P62" s="204"/>
      <c r="S62" s="205"/>
    </row>
    <row r="63" spans="1:19" ht="75" x14ac:dyDescent="0.25">
      <c r="A63" s="223" t="str">
        <f>H6</f>
        <v>specific output</v>
      </c>
      <c r="B63" s="199" t="str">
        <f>I6</f>
        <v>Dwellings with more efficient heat production capacities (Būstai su efektyvesniais šilumos gamybos įrenginiais)</v>
      </c>
      <c r="C63" s="201" t="str">
        <f>L6</f>
        <v>dwellings</v>
      </c>
      <c r="D63" s="224">
        <v>0</v>
      </c>
      <c r="E63" s="201" t="s">
        <v>119</v>
      </c>
      <c r="F63" s="201" t="s">
        <v>120</v>
      </c>
      <c r="G63" s="201" t="s">
        <v>47</v>
      </c>
      <c r="H63" s="397">
        <f>O6</f>
        <v>1025</v>
      </c>
      <c r="I63" s="203"/>
      <c r="J63" s="422">
        <f>P6</f>
        <v>10252</v>
      </c>
      <c r="K63" s="224"/>
      <c r="L63" s="225"/>
      <c r="M63" s="423" t="s">
        <v>246</v>
      </c>
      <c r="O63" s="204"/>
      <c r="P63" s="204"/>
      <c r="S63" s="205"/>
    </row>
    <row r="64" spans="1:19" ht="75" x14ac:dyDescent="0.25">
      <c r="A64" s="223" t="str">
        <f>H9</f>
        <v>specific output</v>
      </c>
      <c r="B64" s="199" t="str">
        <f>I9</f>
        <v>Dwellings with more efficient heat production capacities (Būstai su efektyvesniais šilumos gamybos įrenginiais)</v>
      </c>
      <c r="C64" s="201" t="str">
        <f>L9</f>
        <v>dwellings</v>
      </c>
      <c r="D64" s="224">
        <v>0</v>
      </c>
      <c r="E64" s="199" t="s">
        <v>253</v>
      </c>
      <c r="F64" s="201" t="s">
        <v>144</v>
      </c>
      <c r="G64" s="201" t="s">
        <v>47</v>
      </c>
      <c r="H64" s="397">
        <f>O9</f>
        <v>1025</v>
      </c>
      <c r="I64" s="203"/>
      <c r="J64" s="422">
        <f>P9</f>
        <v>10252</v>
      </c>
      <c r="K64" s="224"/>
      <c r="L64" s="225"/>
      <c r="M64" s="424" t="s">
        <v>246</v>
      </c>
      <c r="O64" s="204"/>
      <c r="P64" s="204"/>
      <c r="S64" s="205"/>
    </row>
    <row r="65" spans="1:19" ht="60" x14ac:dyDescent="0.25">
      <c r="A65" s="223" t="str">
        <f>H38</f>
        <v>RCO18</v>
      </c>
      <c r="B65" s="199" t="str">
        <f>I38</f>
        <v>Dwellings with improved energy peformance (Būstai, kurių energinis naudingumas pagerintas )</v>
      </c>
      <c r="C65" s="201" t="str">
        <f>L38</f>
        <v>dwellings
(Būstai)</v>
      </c>
      <c r="D65" s="224">
        <v>0</v>
      </c>
      <c r="E65" s="199" t="s">
        <v>253</v>
      </c>
      <c r="F65" s="201" t="s">
        <v>144</v>
      </c>
      <c r="G65" s="201" t="s">
        <v>47</v>
      </c>
      <c r="H65" s="224">
        <f>O38</f>
        <v>0</v>
      </c>
      <c r="I65" s="224"/>
      <c r="J65" s="224">
        <f>P38</f>
        <v>75394.658033333326</v>
      </c>
      <c r="K65" s="224"/>
      <c r="L65" s="225"/>
      <c r="M65" s="424" t="s">
        <v>276</v>
      </c>
      <c r="O65" s="204"/>
      <c r="P65" s="204"/>
      <c r="S65" s="205"/>
    </row>
    <row r="66" spans="1:19" ht="60" x14ac:dyDescent="0.25">
      <c r="A66" s="344" t="str">
        <f>H41</f>
        <v>RCO18</v>
      </c>
      <c r="B66" s="345" t="str">
        <f>I41</f>
        <v>Dwellings with improved energy peformance (Būstai, kurių energinis naudingumas pagerintas )</v>
      </c>
      <c r="C66" s="346" t="str">
        <f>L41</f>
        <v>dwellings
(būstai)</v>
      </c>
      <c r="D66" s="347">
        <v>0</v>
      </c>
      <c r="E66" s="345" t="str">
        <f>J41</f>
        <v>Whole Lithuania</v>
      </c>
      <c r="F66" s="349" t="s">
        <v>120</v>
      </c>
      <c r="G66" s="346" t="s">
        <v>47</v>
      </c>
      <c r="H66" s="347">
        <f>O41</f>
        <v>0</v>
      </c>
      <c r="I66" s="347"/>
      <c r="J66" s="347">
        <f>P41</f>
        <v>32311.996299999999</v>
      </c>
      <c r="K66" s="347"/>
      <c r="L66" s="348"/>
      <c r="M66" s="425" t="s">
        <v>276</v>
      </c>
      <c r="O66" s="204"/>
      <c r="P66" s="204"/>
      <c r="S66" s="205"/>
    </row>
    <row r="67" spans="1:19" ht="75" x14ac:dyDescent="0.25">
      <c r="A67" s="223" t="str">
        <f>H8</f>
        <v>RCR29</v>
      </c>
      <c r="B67" s="266" t="str">
        <f>I8</f>
        <v>Estimated greenhouse gas emissions (numatomas išmetamas šiltnamio efektą sukeliančių dujų kiekis)</v>
      </c>
      <c r="C67" s="201" t="str">
        <f>L8</f>
        <v>tons of CO2eq/year</v>
      </c>
      <c r="D67" s="422">
        <f>M8+M17+M23+M43+M56</f>
        <v>589156.85664999997</v>
      </c>
      <c r="E67" s="201" t="s">
        <v>119</v>
      </c>
      <c r="F67" s="201" t="s">
        <v>120</v>
      </c>
      <c r="G67" s="201">
        <v>2021</v>
      </c>
      <c r="H67" s="203" t="str">
        <f>O17</f>
        <v>n/a</v>
      </c>
      <c r="I67" s="203"/>
      <c r="J67" s="422">
        <f>P8+P17+P23+P56+P43</f>
        <v>480549.80326999997</v>
      </c>
      <c r="K67" s="224"/>
      <c r="L67" s="225"/>
      <c r="M67" s="426" t="s">
        <v>341</v>
      </c>
      <c r="O67" s="204"/>
      <c r="P67" s="204"/>
      <c r="S67" s="205"/>
    </row>
    <row r="68" spans="1:19" ht="75" x14ac:dyDescent="0.25">
      <c r="A68" s="223" t="str">
        <f>H13</f>
        <v>RCR29</v>
      </c>
      <c r="B68" s="266" t="str">
        <f>I13</f>
        <v>Estimated greenhouse gas emissions (numatomas išmetamas šiltnamio efektą sukeliančių dujų kiekis)</v>
      </c>
      <c r="C68" s="201" t="str">
        <f>L13</f>
        <v>tons of CO2eq/year</v>
      </c>
      <c r="D68" s="422">
        <f>M13+M20+M30+M40+M52</f>
        <v>655398.19504999998</v>
      </c>
      <c r="E68" s="199" t="s">
        <v>253</v>
      </c>
      <c r="F68" s="201" t="s">
        <v>144</v>
      </c>
      <c r="G68" s="201">
        <v>2021</v>
      </c>
      <c r="H68" s="203" t="s">
        <v>47</v>
      </c>
      <c r="I68" s="203"/>
      <c r="J68" s="422">
        <f>P13+P20+P30+P40+P52</f>
        <v>520585.82422999997</v>
      </c>
      <c r="K68" s="224"/>
      <c r="L68" s="225"/>
      <c r="M68" s="426" t="s">
        <v>341</v>
      </c>
      <c r="O68" s="204"/>
      <c r="P68" s="204"/>
      <c r="S68" s="205"/>
    </row>
    <row r="69" spans="1:19" ht="75" x14ac:dyDescent="0.25">
      <c r="A69" s="223" t="str">
        <f>H14</f>
        <v>RCO19</v>
      </c>
      <c r="B69" s="266" t="str">
        <f>I14</f>
        <v>Public buildings with improved energy performance (viešieji pastatai, kurių energinis naudingumas pagerintas)</v>
      </c>
      <c r="C69" s="201" t="str">
        <f>L14</f>
        <v>square metres</v>
      </c>
      <c r="D69" s="224">
        <v>0</v>
      </c>
      <c r="E69" s="201" t="s">
        <v>119</v>
      </c>
      <c r="F69" s="325" t="s">
        <v>120</v>
      </c>
      <c r="G69" s="325" t="s">
        <v>47</v>
      </c>
      <c r="H69" s="203">
        <f>O14</f>
        <v>0</v>
      </c>
      <c r="I69" s="203"/>
      <c r="J69" s="422">
        <f>P14</f>
        <v>87970</v>
      </c>
      <c r="K69" s="224"/>
      <c r="L69" s="225"/>
      <c r="M69" s="204" t="s">
        <v>246</v>
      </c>
      <c r="O69" s="204"/>
      <c r="P69" s="204"/>
      <c r="S69" s="205"/>
    </row>
    <row r="70" spans="1:19" ht="75" x14ac:dyDescent="0.25">
      <c r="A70" s="223" t="str">
        <f>H18</f>
        <v>RCO19</v>
      </c>
      <c r="B70" s="266" t="str">
        <f>I18</f>
        <v>Public buildings with improved energy performance (viešieji pastatai, kurių energinis naudingumas pagerintas)</v>
      </c>
      <c r="C70" s="201" t="str">
        <f>L18</f>
        <v>square metres</v>
      </c>
      <c r="D70" s="224">
        <v>0</v>
      </c>
      <c r="E70" s="199" t="s">
        <v>253</v>
      </c>
      <c r="F70" s="201" t="s">
        <v>144</v>
      </c>
      <c r="G70" s="325" t="s">
        <v>47</v>
      </c>
      <c r="H70" s="203">
        <f>O18</f>
        <v>0</v>
      </c>
      <c r="I70" s="203"/>
      <c r="J70" s="422">
        <f>P18</f>
        <v>87970</v>
      </c>
      <c r="K70" s="224"/>
      <c r="L70" s="225"/>
      <c r="M70" s="204" t="s">
        <v>246</v>
      </c>
      <c r="O70" s="204"/>
      <c r="P70" s="204"/>
      <c r="S70" s="205"/>
    </row>
    <row r="71" spans="1:19" ht="105" x14ac:dyDescent="0.25">
      <c r="A71" s="226" t="str">
        <f>H22</f>
        <v>RCO20</v>
      </c>
      <c r="B71" s="215" t="str">
        <f>I22</f>
        <v>District heating and cooling network lines newly constructed or improved (naujai pastatyti ar patobulinti centralizuoto šilumos ir vėsumos tiekimo tinklų vamzdynai)</v>
      </c>
      <c r="C71" s="199" t="str">
        <f>L22</f>
        <v>km</v>
      </c>
      <c r="D71" s="224">
        <v>0</v>
      </c>
      <c r="E71" s="201" t="s">
        <v>119</v>
      </c>
      <c r="F71" s="201" t="s">
        <v>120</v>
      </c>
      <c r="G71" s="201" t="s">
        <v>47</v>
      </c>
      <c r="H71" s="202">
        <f>O22</f>
        <v>2</v>
      </c>
      <c r="I71" s="202"/>
      <c r="J71" s="398">
        <f>P22</f>
        <v>17</v>
      </c>
      <c r="K71" s="202"/>
      <c r="L71" s="227"/>
      <c r="M71" s="204" t="s">
        <v>246</v>
      </c>
      <c r="O71" s="204"/>
      <c r="P71" s="204"/>
      <c r="S71" s="205"/>
    </row>
    <row r="72" spans="1:19" ht="105" x14ac:dyDescent="0.25">
      <c r="A72" s="226" t="str">
        <f>H28</f>
        <v>RCO20</v>
      </c>
      <c r="B72" s="215" t="str">
        <f>I28</f>
        <v>District heating and cooling network lines newly constructed or improved (naujai pastatyti ar patobulinti centralizuoto šilumos ir vėsumos tiekimo tinklų vamzdynai)</v>
      </c>
      <c r="C72" s="199" t="str">
        <f>L28</f>
        <v>km</v>
      </c>
      <c r="D72" s="224">
        <v>0</v>
      </c>
      <c r="E72" s="199" t="s">
        <v>253</v>
      </c>
      <c r="F72" s="201" t="s">
        <v>144</v>
      </c>
      <c r="G72" s="201" t="s">
        <v>47</v>
      </c>
      <c r="H72" s="202">
        <f>O28</f>
        <v>2</v>
      </c>
      <c r="I72" s="202"/>
      <c r="J72" s="398">
        <f>P28</f>
        <v>17</v>
      </c>
      <c r="K72" s="202"/>
      <c r="L72" s="227"/>
      <c r="M72" s="204" t="s">
        <v>246</v>
      </c>
      <c r="O72" s="204"/>
      <c r="P72" s="204"/>
      <c r="S72" s="205"/>
    </row>
    <row r="73" spans="1:19" ht="135" x14ac:dyDescent="0.25">
      <c r="A73" s="226" t="str">
        <f>H7</f>
        <v>RCR26</v>
      </c>
      <c r="B73" s="215" t="str">
        <f>I7</f>
        <v>Annual primary energy consumption (of which: dwellings, public buildings, enterprises, other) (metinis pirminės energijos suvartojimo kiekis (iš kurio: būstai, viešieji pastatai, įmonės, kita)</v>
      </c>
      <c r="C73" s="199" t="str">
        <f>L7</f>
        <v>MWh/year</v>
      </c>
      <c r="D73" s="398">
        <f>M7+M15+M21+M42+M55</f>
        <v>3463475.8545000004</v>
      </c>
      <c r="E73" s="199" t="s">
        <v>119</v>
      </c>
      <c r="F73" s="201" t="s">
        <v>120</v>
      </c>
      <c r="G73" s="309">
        <v>2021</v>
      </c>
      <c r="H73" s="202" t="s">
        <v>47</v>
      </c>
      <c r="I73" s="202"/>
      <c r="J73" s="397">
        <f>P7+P15+P21+P55+P42</f>
        <v>2849732.8966999999</v>
      </c>
      <c r="K73" s="203"/>
      <c r="L73" s="228"/>
      <c r="M73" s="427" t="s">
        <v>341</v>
      </c>
      <c r="O73" s="204"/>
      <c r="P73" s="204"/>
      <c r="S73" s="205"/>
    </row>
    <row r="74" spans="1:19" ht="135" x14ac:dyDescent="0.25">
      <c r="A74" s="226" t="str">
        <f>H12</f>
        <v>RCR26</v>
      </c>
      <c r="B74" s="215" t="str">
        <f>I12</f>
        <v>Annual primary energy consumption (of which: dwellings, public buildings, enterprises, other) (metinis pirminės energijos suvartojimo kiekis (iš kurio: būstai, viešieji pastatai, įmonės, kita)</v>
      </c>
      <c r="C74" s="199" t="str">
        <f>L12</f>
        <v>MWh/year</v>
      </c>
      <c r="D74" s="398">
        <f>M12+M19+M27+M39+M51</f>
        <v>4113561.2705000001</v>
      </c>
      <c r="E74" s="199" t="s">
        <v>253</v>
      </c>
      <c r="F74" s="201" t="s">
        <v>144</v>
      </c>
      <c r="G74" s="198">
        <v>2021</v>
      </c>
      <c r="H74" s="202" t="s">
        <v>47</v>
      </c>
      <c r="I74" s="202"/>
      <c r="J74" s="397">
        <f>P12+P19+P27+P51+P39</f>
        <v>3240477.5223000003</v>
      </c>
      <c r="K74" s="203"/>
      <c r="L74" s="228"/>
      <c r="M74" s="427" t="s">
        <v>310</v>
      </c>
      <c r="O74" s="204"/>
      <c r="P74" s="204"/>
      <c r="S74" s="205"/>
    </row>
    <row r="75" spans="1:19" ht="120" x14ac:dyDescent="0.25">
      <c r="A75" s="229" t="str">
        <f>H24</f>
        <v>specific output</v>
      </c>
      <c r="B75" s="215" t="str">
        <f>I24</f>
        <v>Installed meters with remote data reading for heat, cool, hot water (Įrengti  šilumos, vėsumos, karšto vandens apskaitos prietaisai su nuotolinio duomenų nuskaitymo funkcija)</v>
      </c>
      <c r="C75" s="215" t="str">
        <f>L24</f>
        <v>unit</v>
      </c>
      <c r="D75" s="202">
        <v>0</v>
      </c>
      <c r="E75" s="215" t="s">
        <v>119</v>
      </c>
      <c r="F75" s="215" t="s">
        <v>120</v>
      </c>
      <c r="G75" s="198" t="s">
        <v>47</v>
      </c>
      <c r="H75" s="398">
        <f>SUM(O24)</f>
        <v>525</v>
      </c>
      <c r="I75" s="202"/>
      <c r="J75" s="398">
        <f>P24</f>
        <v>5257</v>
      </c>
      <c r="K75" s="202"/>
      <c r="L75" s="227"/>
      <c r="M75" s="204" t="s">
        <v>246</v>
      </c>
      <c r="O75" s="204"/>
      <c r="P75" s="204"/>
      <c r="S75" s="205"/>
    </row>
    <row r="76" spans="1:19" ht="120" x14ac:dyDescent="0.25">
      <c r="A76" s="229" t="str">
        <f>H29</f>
        <v>specific output</v>
      </c>
      <c r="B76" s="215" t="str">
        <f>I29</f>
        <v>Installed meters with remote data reading for heat, cool, hot water (Įrengti  šilumos, vėsumos, karšto vandens apskaitos prietaisai su nuotolinio duomenų nuskaitymo funkcija)</v>
      </c>
      <c r="C76" s="215" t="str">
        <f>L29</f>
        <v>unit</v>
      </c>
      <c r="D76" s="202">
        <v>0</v>
      </c>
      <c r="E76" s="215" t="s">
        <v>253</v>
      </c>
      <c r="F76" s="215" t="s">
        <v>144</v>
      </c>
      <c r="G76" s="198" t="s">
        <v>47</v>
      </c>
      <c r="H76" s="398">
        <f>SUM(O29)</f>
        <v>525</v>
      </c>
      <c r="I76" s="202"/>
      <c r="J76" s="398">
        <f>P29</f>
        <v>5257</v>
      </c>
      <c r="K76" s="202"/>
      <c r="L76" s="227"/>
      <c r="M76" s="275" t="s">
        <v>246</v>
      </c>
      <c r="O76" s="204"/>
      <c r="P76" s="204"/>
      <c r="S76" s="205"/>
    </row>
    <row r="77" spans="1:19" customFormat="1" ht="90" x14ac:dyDescent="0.25">
      <c r="A77" s="252" t="str">
        <f>H49</f>
        <v>RCO01</v>
      </c>
      <c r="B77" s="277" t="str">
        <f>I49</f>
        <v>Enterprises supported (of which: micro, small, medium, large)(Paramą gavusios įmonės (iš kurių: labai mažos, mažosios, vidutinės ir didelės)</v>
      </c>
      <c r="C77" s="215" t="str">
        <f>L49</f>
        <v>enterprises</v>
      </c>
      <c r="D77" s="215">
        <v>0</v>
      </c>
      <c r="E77" s="215" t="s">
        <v>253</v>
      </c>
      <c r="F77" s="215" t="s">
        <v>144</v>
      </c>
      <c r="G77" s="215" t="s">
        <v>47</v>
      </c>
      <c r="H77" s="443">
        <f>O31+O49</f>
        <v>65</v>
      </c>
      <c r="I77" s="443">
        <f>(O31/2)+(O49)</f>
        <v>63.5</v>
      </c>
      <c r="J77" s="443">
        <f>P49+P31</f>
        <v>242</v>
      </c>
      <c r="K77" s="443">
        <f>(P31/2)+(P49)</f>
        <v>228.5</v>
      </c>
      <c r="L77" s="314" t="s">
        <v>354</v>
      </c>
      <c r="M77" s="404" t="s">
        <v>340</v>
      </c>
      <c r="O77" s="204"/>
      <c r="P77" s="249"/>
      <c r="R77" s="249"/>
      <c r="S77" s="249"/>
    </row>
    <row r="78" spans="1:19" customFormat="1" ht="90" x14ac:dyDescent="0.25">
      <c r="A78" s="296" t="str">
        <f>H25</f>
        <v>specific output</v>
      </c>
      <c r="B78" s="251" t="str">
        <f>I25</f>
        <v>Enterprises supported (of which: micro, small, medium, large)(Paramą gavusios įmonės (iš kurių: labai mažos, mažosios, vidutinės ir didelės)</v>
      </c>
      <c r="C78" s="297" t="str">
        <f>L50</f>
        <v>enterprises</v>
      </c>
      <c r="D78" s="297">
        <v>0</v>
      </c>
      <c r="E78" s="297" t="s">
        <v>119</v>
      </c>
      <c r="F78" s="297" t="s">
        <v>120</v>
      </c>
      <c r="G78" s="297" t="s">
        <v>47</v>
      </c>
      <c r="H78" s="405">
        <f>O25+O53</f>
        <v>67</v>
      </c>
      <c r="I78" s="405">
        <f>(O25/2)+(O53)</f>
        <v>66.5</v>
      </c>
      <c r="J78" s="405">
        <f>P25+P53</f>
        <v>234</v>
      </c>
      <c r="K78" s="405">
        <f>(P25/2)+(P53)</f>
        <v>231</v>
      </c>
      <c r="L78" s="314" t="s">
        <v>354</v>
      </c>
      <c r="M78" s="403" t="s">
        <v>341</v>
      </c>
      <c r="P78" s="249"/>
      <c r="R78" s="249"/>
      <c r="S78" s="249"/>
    </row>
    <row r="79" spans="1:19" customFormat="1" ht="45" x14ac:dyDescent="0.25">
      <c r="A79" s="411" t="str">
        <f>H50</f>
        <v>RCO02</v>
      </c>
      <c r="B79" s="277" t="str">
        <f>I50</f>
        <v>Enterprises supported by grants (Paramą dotacijomis gavusios įmonės)</v>
      </c>
      <c r="C79" s="215" t="str">
        <f>L50</f>
        <v>enterprises</v>
      </c>
      <c r="D79" s="215">
        <v>0</v>
      </c>
      <c r="E79" s="215" t="s">
        <v>253</v>
      </c>
      <c r="F79" s="215" t="s">
        <v>144</v>
      </c>
      <c r="G79" s="215" t="s">
        <v>47</v>
      </c>
      <c r="H79" s="443">
        <f>O50</f>
        <v>62</v>
      </c>
      <c r="I79" s="443">
        <f>H79</f>
        <v>62</v>
      </c>
      <c r="J79" s="443">
        <f>P50</f>
        <v>215</v>
      </c>
      <c r="K79" s="443">
        <f>SUM(J79)</f>
        <v>215</v>
      </c>
      <c r="L79" s="253" t="s">
        <v>385</v>
      </c>
      <c r="M79" s="6" t="s">
        <v>309</v>
      </c>
    </row>
    <row r="80" spans="1:19" customFormat="1" ht="45" x14ac:dyDescent="0.25">
      <c r="A80" s="411" t="str">
        <f>H54</f>
        <v>specific output</v>
      </c>
      <c r="B80" s="277" t="str">
        <f>I54</f>
        <v>Enterprises supported by grants (Paramą dotacijomis gavusios įmonės)</v>
      </c>
      <c r="C80" s="215" t="str">
        <f>L54</f>
        <v>enterprises</v>
      </c>
      <c r="D80" s="215">
        <v>0</v>
      </c>
      <c r="E80" s="297" t="s">
        <v>119</v>
      </c>
      <c r="F80" s="215" t="s">
        <v>120</v>
      </c>
      <c r="G80" s="215" t="s">
        <v>47</v>
      </c>
      <c r="H80" s="248">
        <f>O54</f>
        <v>66</v>
      </c>
      <c r="I80" s="248">
        <f>H80</f>
        <v>66</v>
      </c>
      <c r="J80" s="248">
        <f>P54</f>
        <v>228</v>
      </c>
      <c r="K80" s="248">
        <f>SUM(J80)</f>
        <v>228</v>
      </c>
      <c r="L80" s="253" t="s">
        <v>385</v>
      </c>
      <c r="M80" s="6" t="s">
        <v>309</v>
      </c>
    </row>
    <row r="81" spans="1:15" customFormat="1" ht="75" x14ac:dyDescent="0.25">
      <c r="A81" s="296" t="str">
        <f>H32</f>
        <v>RCO03</v>
      </c>
      <c r="B81" s="251" t="str">
        <f>I32</f>
        <v>Enterprises supported by financial instruments (Paramą finansiniais instrumentais gavusios įmonės)</v>
      </c>
      <c r="C81" s="297" t="str">
        <f>L32</f>
        <v>enterprises</v>
      </c>
      <c r="D81" s="297">
        <v>0</v>
      </c>
      <c r="E81" s="297" t="s">
        <v>253</v>
      </c>
      <c r="F81" s="297" t="s">
        <v>144</v>
      </c>
      <c r="G81" s="297" t="s">
        <v>47</v>
      </c>
      <c r="H81" s="250">
        <f>O32</f>
        <v>3</v>
      </c>
      <c r="I81" s="250">
        <f>O32/2</f>
        <v>1.5</v>
      </c>
      <c r="J81" s="287">
        <f>P32</f>
        <v>27</v>
      </c>
      <c r="K81" s="287">
        <f>P32/2</f>
        <v>13.5</v>
      </c>
      <c r="L81" s="285" t="s">
        <v>384</v>
      </c>
      <c r="M81" s="404" t="s">
        <v>246</v>
      </c>
      <c r="N81" s="276"/>
    </row>
    <row r="82" spans="1:15" customFormat="1" ht="75.75" thickBot="1" x14ac:dyDescent="0.3">
      <c r="A82" s="396" t="str">
        <f>H26</f>
        <v>specific output</v>
      </c>
      <c r="B82" s="412" t="str">
        <f>I26</f>
        <v>Enterprises supported by financial instruments (Paramą finansiniais instrumentais gavusios įmonės)</v>
      </c>
      <c r="C82" s="298" t="str">
        <f>L26</f>
        <v>enterprises</v>
      </c>
      <c r="D82" s="298">
        <v>0</v>
      </c>
      <c r="E82" s="298" t="s">
        <v>119</v>
      </c>
      <c r="F82" s="298" t="s">
        <v>120</v>
      </c>
      <c r="G82" s="298" t="s">
        <v>47</v>
      </c>
      <c r="H82" s="406">
        <f>O26</f>
        <v>1</v>
      </c>
      <c r="I82" s="406">
        <f>O26/2</f>
        <v>0.5</v>
      </c>
      <c r="J82" s="406">
        <f>P26</f>
        <v>6</v>
      </c>
      <c r="K82" s="406">
        <f>P26/2</f>
        <v>3</v>
      </c>
      <c r="L82" s="254" t="s">
        <v>384</v>
      </c>
      <c r="M82" s="404" t="s">
        <v>246</v>
      </c>
      <c r="N82" s="276"/>
    </row>
    <row r="83" spans="1:15" x14ac:dyDescent="0.25">
      <c r="D83" s="230">
        <f>SUM(D63:D82)</f>
        <v>8821592.1766999997</v>
      </c>
      <c r="H83" s="230">
        <f>SUM(H63:H82)</f>
        <v>3368</v>
      </c>
      <c r="I83" s="230"/>
      <c r="J83" s="230">
        <f>SUM(J63:J82)</f>
        <v>7406996.7008333337</v>
      </c>
      <c r="O83" s="204"/>
    </row>
    <row r="84" spans="1:15" x14ac:dyDescent="0.25">
      <c r="O84" s="204"/>
    </row>
    <row r="85" spans="1:15" x14ac:dyDescent="0.25">
      <c r="J85" s="230" t="b">
        <f>J83=P60</f>
        <v>1</v>
      </c>
      <c r="O85" s="204"/>
    </row>
    <row r="86" spans="1:15" x14ac:dyDescent="0.25">
      <c r="O86" s="204"/>
    </row>
    <row r="87" spans="1:15" x14ac:dyDescent="0.25">
      <c r="K87"/>
      <c r="O87" s="204"/>
    </row>
    <row r="88" spans="1:15" x14ac:dyDescent="0.25">
      <c r="K88" s="444"/>
      <c r="O88" s="204"/>
    </row>
    <row r="89" spans="1:15" x14ac:dyDescent="0.25">
      <c r="O89" s="204"/>
    </row>
    <row r="90" spans="1:15" x14ac:dyDescent="0.25">
      <c r="O90" s="204"/>
    </row>
    <row r="91" spans="1:15" x14ac:dyDescent="0.25">
      <c r="O91" s="204"/>
    </row>
    <row r="92" spans="1:15" x14ac:dyDescent="0.25">
      <c r="O92" s="204"/>
    </row>
    <row r="93" spans="1:15" x14ac:dyDescent="0.25">
      <c r="O93" s="204"/>
    </row>
    <row r="94" spans="1:15" x14ac:dyDescent="0.25">
      <c r="O94" s="204"/>
    </row>
    <row r="95" spans="1:15" x14ac:dyDescent="0.25">
      <c r="O95" s="204"/>
    </row>
    <row r="96" spans="1:15" x14ac:dyDescent="0.25">
      <c r="O96" s="204"/>
    </row>
    <row r="97" spans="15:15" x14ac:dyDescent="0.25">
      <c r="O97" s="204"/>
    </row>
    <row r="98" spans="15:15" x14ac:dyDescent="0.25">
      <c r="O98" s="204"/>
    </row>
    <row r="99" spans="15:15" x14ac:dyDescent="0.25">
      <c r="O99" s="204"/>
    </row>
    <row r="100" spans="15:15" x14ac:dyDescent="0.25">
      <c r="O100" s="204"/>
    </row>
    <row r="101" spans="15:15" x14ac:dyDescent="0.25">
      <c r="O101" s="204"/>
    </row>
    <row r="102" spans="15:15" x14ac:dyDescent="0.25">
      <c r="O102" s="204"/>
    </row>
    <row r="103" spans="15:15" x14ac:dyDescent="0.25">
      <c r="O103" s="204"/>
    </row>
    <row r="104" spans="15:15" x14ac:dyDescent="0.25">
      <c r="O104" s="204"/>
    </row>
    <row r="105" spans="15:15" x14ac:dyDescent="0.25">
      <c r="O105" s="204"/>
    </row>
    <row r="106" spans="15:15" x14ac:dyDescent="0.25">
      <c r="O106" s="204"/>
    </row>
    <row r="107" spans="15:15" x14ac:dyDescent="0.25">
      <c r="O107" s="204"/>
    </row>
    <row r="108" spans="15:15" x14ac:dyDescent="0.25">
      <c r="O108" s="204"/>
    </row>
    <row r="109" spans="15:15" x14ac:dyDescent="0.25">
      <c r="O109" s="204"/>
    </row>
    <row r="110" spans="15:15" x14ac:dyDescent="0.25">
      <c r="O110" s="204"/>
    </row>
    <row r="111" spans="15:15" x14ac:dyDescent="0.25">
      <c r="O111" s="204"/>
    </row>
    <row r="112" spans="15:15" x14ac:dyDescent="0.25">
      <c r="O112" s="204"/>
    </row>
    <row r="113" spans="15:15" x14ac:dyDescent="0.25">
      <c r="O113" s="204"/>
    </row>
    <row r="114" spans="15:15" x14ac:dyDescent="0.25">
      <c r="O114" s="204"/>
    </row>
    <row r="115" spans="15:15" x14ac:dyDescent="0.25">
      <c r="O115" s="204"/>
    </row>
    <row r="116" spans="15:15" x14ac:dyDescent="0.25">
      <c r="O116" s="204"/>
    </row>
    <row r="117" spans="15:15" x14ac:dyDescent="0.25">
      <c r="O117" s="204"/>
    </row>
    <row r="118" spans="15:15" x14ac:dyDescent="0.25">
      <c r="O118" s="204"/>
    </row>
    <row r="119" spans="15:15" x14ac:dyDescent="0.25">
      <c r="O119" s="204"/>
    </row>
    <row r="120" spans="15:15" x14ac:dyDescent="0.25">
      <c r="O120" s="204"/>
    </row>
    <row r="121" spans="15:15" x14ac:dyDescent="0.25">
      <c r="O121" s="204"/>
    </row>
    <row r="122" spans="15:15" x14ac:dyDescent="0.25">
      <c r="O122" s="204"/>
    </row>
    <row r="123" spans="15:15" x14ac:dyDescent="0.25">
      <c r="O123" s="204"/>
    </row>
    <row r="124" spans="15:15" x14ac:dyDescent="0.25">
      <c r="O124" s="204"/>
    </row>
    <row r="125" spans="15:15" x14ac:dyDescent="0.25">
      <c r="O125" s="204"/>
    </row>
    <row r="126" spans="15:15" x14ac:dyDescent="0.25">
      <c r="O126" s="204"/>
    </row>
    <row r="127" spans="15:15" x14ac:dyDescent="0.25">
      <c r="O127" s="204"/>
    </row>
    <row r="128" spans="15:15" x14ac:dyDescent="0.25">
      <c r="O128" s="204"/>
    </row>
    <row r="129" spans="15:15" x14ac:dyDescent="0.25">
      <c r="O129" s="204"/>
    </row>
    <row r="130" spans="15:15" x14ac:dyDescent="0.25">
      <c r="O130" s="204"/>
    </row>
    <row r="131" spans="15:15" x14ac:dyDescent="0.25">
      <c r="O131" s="204"/>
    </row>
    <row r="132" spans="15:15" x14ac:dyDescent="0.25">
      <c r="O132" s="204"/>
    </row>
    <row r="133" spans="15:15" x14ac:dyDescent="0.25">
      <c r="O133" s="204"/>
    </row>
    <row r="134" spans="15:15" x14ac:dyDescent="0.25">
      <c r="O134" s="204"/>
    </row>
    <row r="135" spans="15:15" x14ac:dyDescent="0.25">
      <c r="O135" s="204"/>
    </row>
    <row r="136" spans="15:15" x14ac:dyDescent="0.25">
      <c r="O136" s="204"/>
    </row>
    <row r="137" spans="15:15" x14ac:dyDescent="0.25">
      <c r="O137" s="204"/>
    </row>
    <row r="138" spans="15:15" x14ac:dyDescent="0.25">
      <c r="O138" s="204"/>
    </row>
    <row r="139" spans="15:15" x14ac:dyDescent="0.25">
      <c r="O139" s="204"/>
    </row>
    <row r="140" spans="15:15" x14ac:dyDescent="0.25">
      <c r="O140" s="204"/>
    </row>
    <row r="141" spans="15:15" x14ac:dyDescent="0.25">
      <c r="O141" s="204"/>
    </row>
    <row r="142" spans="15:15" x14ac:dyDescent="0.25">
      <c r="O142" s="204"/>
    </row>
    <row r="143" spans="15:15" x14ac:dyDescent="0.25">
      <c r="O143" s="204"/>
    </row>
    <row r="144" spans="15:15" x14ac:dyDescent="0.25">
      <c r="O144" s="204"/>
    </row>
    <row r="145" spans="15:15" x14ac:dyDescent="0.25">
      <c r="O145" s="204"/>
    </row>
    <row r="146" spans="15:15" x14ac:dyDescent="0.25">
      <c r="O146" s="204"/>
    </row>
    <row r="147" spans="15:15" x14ac:dyDescent="0.25">
      <c r="O147" s="204"/>
    </row>
    <row r="148" spans="15:15" x14ac:dyDescent="0.25">
      <c r="O148" s="204"/>
    </row>
    <row r="149" spans="15:15" x14ac:dyDescent="0.25">
      <c r="O149" s="204"/>
    </row>
    <row r="150" spans="15:15" x14ac:dyDescent="0.25">
      <c r="O150" s="204"/>
    </row>
    <row r="151" spans="15:15" x14ac:dyDescent="0.25">
      <c r="O151" s="204"/>
    </row>
    <row r="152" spans="15:15" x14ac:dyDescent="0.25">
      <c r="O152" s="204"/>
    </row>
    <row r="153" spans="15:15" x14ac:dyDescent="0.25">
      <c r="O153" s="204"/>
    </row>
    <row r="154" spans="15:15" x14ac:dyDescent="0.25">
      <c r="O154" s="204"/>
    </row>
    <row r="155" spans="15:15" x14ac:dyDescent="0.25">
      <c r="O155" s="204"/>
    </row>
    <row r="156" spans="15:15" x14ac:dyDescent="0.25">
      <c r="O156" s="204"/>
    </row>
    <row r="157" spans="15:15" x14ac:dyDescent="0.25">
      <c r="O157" s="204"/>
    </row>
    <row r="158" spans="15:15" x14ac:dyDescent="0.25">
      <c r="O158" s="204"/>
    </row>
    <row r="159" spans="15:15" x14ac:dyDescent="0.25">
      <c r="O159" s="204"/>
    </row>
    <row r="160" spans="15:15" x14ac:dyDescent="0.25">
      <c r="O160" s="204"/>
    </row>
    <row r="161" spans="15:15" x14ac:dyDescent="0.25">
      <c r="O161" s="204"/>
    </row>
    <row r="162" spans="15:15" x14ac:dyDescent="0.25">
      <c r="O162" s="204"/>
    </row>
    <row r="163" spans="15:15" x14ac:dyDescent="0.25">
      <c r="O163" s="204"/>
    </row>
    <row r="164" spans="15:15" x14ac:dyDescent="0.25">
      <c r="O164" s="204"/>
    </row>
    <row r="165" spans="15:15" x14ac:dyDescent="0.25">
      <c r="O165" s="204"/>
    </row>
    <row r="166" spans="15:15" x14ac:dyDescent="0.25">
      <c r="O166" s="204"/>
    </row>
    <row r="167" spans="15:15" x14ac:dyDescent="0.25">
      <c r="O167" s="204"/>
    </row>
    <row r="168" spans="15:15" x14ac:dyDescent="0.25">
      <c r="O168" s="204"/>
    </row>
    <row r="169" spans="15:15" x14ac:dyDescent="0.25">
      <c r="O169" s="204"/>
    </row>
    <row r="170" spans="15:15" x14ac:dyDescent="0.25">
      <c r="O170" s="204"/>
    </row>
    <row r="171" spans="15:15" x14ac:dyDescent="0.25">
      <c r="O171" s="204"/>
    </row>
    <row r="172" spans="15:15" x14ac:dyDescent="0.25">
      <c r="O172" s="204"/>
    </row>
    <row r="173" spans="15:15" x14ac:dyDescent="0.25">
      <c r="O173" s="204"/>
    </row>
    <row r="174" spans="15:15" x14ac:dyDescent="0.25">
      <c r="O174" s="204"/>
    </row>
    <row r="175" spans="15:15" x14ac:dyDescent="0.25">
      <c r="O175" s="204"/>
    </row>
    <row r="176" spans="15:15" x14ac:dyDescent="0.25">
      <c r="O176" s="204"/>
    </row>
    <row r="177" spans="15:15" x14ac:dyDescent="0.25">
      <c r="O177" s="204"/>
    </row>
    <row r="178" spans="15:15" x14ac:dyDescent="0.25">
      <c r="O178" s="204"/>
    </row>
    <row r="179" spans="15:15" x14ac:dyDescent="0.25">
      <c r="O179" s="204"/>
    </row>
    <row r="180" spans="15:15" x14ac:dyDescent="0.25">
      <c r="O180" s="204"/>
    </row>
    <row r="181" spans="15:15" x14ac:dyDescent="0.25">
      <c r="O181" s="204"/>
    </row>
    <row r="182" spans="15:15" x14ac:dyDescent="0.25">
      <c r="O182" s="204"/>
    </row>
    <row r="183" spans="15:15" x14ac:dyDescent="0.25">
      <c r="O183" s="204"/>
    </row>
    <row r="184" spans="15:15" x14ac:dyDescent="0.25">
      <c r="O184" s="204"/>
    </row>
    <row r="185" spans="15:15" x14ac:dyDescent="0.25">
      <c r="O185" s="204"/>
    </row>
    <row r="186" spans="15:15" x14ac:dyDescent="0.25">
      <c r="O186" s="204"/>
    </row>
    <row r="187" spans="15:15" x14ac:dyDescent="0.25">
      <c r="O187" s="204"/>
    </row>
    <row r="188" spans="15:15" x14ac:dyDescent="0.25">
      <c r="O188" s="204"/>
    </row>
    <row r="189" spans="15:15" x14ac:dyDescent="0.25">
      <c r="O189" s="204"/>
    </row>
    <row r="190" spans="15:15" x14ac:dyDescent="0.25">
      <c r="O190" s="204"/>
    </row>
    <row r="191" spans="15:15" x14ac:dyDescent="0.25">
      <c r="O191" s="204"/>
    </row>
    <row r="192" spans="15:15" x14ac:dyDescent="0.25">
      <c r="O192" s="204"/>
    </row>
    <row r="193" spans="15:15" x14ac:dyDescent="0.25">
      <c r="O193" s="204"/>
    </row>
    <row r="194" spans="15:15" x14ac:dyDescent="0.25">
      <c r="O194" s="204"/>
    </row>
    <row r="195" spans="15:15" x14ac:dyDescent="0.25">
      <c r="O195" s="204"/>
    </row>
    <row r="196" spans="15:15" x14ac:dyDescent="0.25">
      <c r="O196" s="204"/>
    </row>
    <row r="197" spans="15:15" x14ac:dyDescent="0.25">
      <c r="O197" s="204"/>
    </row>
    <row r="198" spans="15:15" x14ac:dyDescent="0.25">
      <c r="O198" s="204"/>
    </row>
    <row r="199" spans="15:15" x14ac:dyDescent="0.25">
      <c r="O199" s="204"/>
    </row>
    <row r="200" spans="15:15" x14ac:dyDescent="0.25">
      <c r="O200" s="204"/>
    </row>
    <row r="201" spans="15:15" x14ac:dyDescent="0.25">
      <c r="O201" s="204"/>
    </row>
    <row r="202" spans="15:15" x14ac:dyDescent="0.25">
      <c r="O202" s="204"/>
    </row>
    <row r="203" spans="15:15" x14ac:dyDescent="0.25">
      <c r="O203" s="204"/>
    </row>
    <row r="204" spans="15:15" x14ac:dyDescent="0.25">
      <c r="O204" s="204"/>
    </row>
    <row r="205" spans="15:15" x14ac:dyDescent="0.25">
      <c r="O205" s="204"/>
    </row>
    <row r="206" spans="15:15" x14ac:dyDescent="0.25">
      <c r="O206" s="204"/>
    </row>
    <row r="207" spans="15:15" x14ac:dyDescent="0.25">
      <c r="O207" s="204"/>
    </row>
    <row r="208" spans="15:15" x14ac:dyDescent="0.25">
      <c r="O208" s="204"/>
    </row>
    <row r="209" spans="15:15" x14ac:dyDescent="0.25">
      <c r="O209" s="204"/>
    </row>
    <row r="210" spans="15:15" x14ac:dyDescent="0.25">
      <c r="O210" s="204"/>
    </row>
    <row r="211" spans="15:15" x14ac:dyDescent="0.25">
      <c r="O211" s="204"/>
    </row>
    <row r="212" spans="15:15" x14ac:dyDescent="0.25">
      <c r="O212" s="204"/>
    </row>
    <row r="213" spans="15:15" x14ac:dyDescent="0.25">
      <c r="O213" s="204"/>
    </row>
    <row r="214" spans="15:15" x14ac:dyDescent="0.25">
      <c r="O214" s="204"/>
    </row>
    <row r="215" spans="15:15" x14ac:dyDescent="0.25">
      <c r="O215" s="204"/>
    </row>
    <row r="216" spans="15:15" x14ac:dyDescent="0.25">
      <c r="O216" s="204"/>
    </row>
    <row r="217" spans="15:15" x14ac:dyDescent="0.25">
      <c r="O217" s="204"/>
    </row>
    <row r="218" spans="15:15" x14ac:dyDescent="0.25">
      <c r="O218" s="204"/>
    </row>
    <row r="219" spans="15:15" x14ac:dyDescent="0.25">
      <c r="O219" s="204"/>
    </row>
    <row r="220" spans="15:15" x14ac:dyDescent="0.25">
      <c r="O220" s="204"/>
    </row>
    <row r="221" spans="15:15" x14ac:dyDescent="0.25">
      <c r="O221" s="204"/>
    </row>
    <row r="222" spans="15:15" x14ac:dyDescent="0.25">
      <c r="O222" s="204"/>
    </row>
    <row r="223" spans="15:15" x14ac:dyDescent="0.25">
      <c r="O223" s="204"/>
    </row>
    <row r="224" spans="15:15" x14ac:dyDescent="0.25">
      <c r="O224" s="204"/>
    </row>
    <row r="225" spans="15:15" x14ac:dyDescent="0.25">
      <c r="O225" s="204"/>
    </row>
    <row r="226" spans="15:15" x14ac:dyDescent="0.25">
      <c r="O226" s="204"/>
    </row>
    <row r="227" spans="15:15" x14ac:dyDescent="0.25">
      <c r="O227" s="204"/>
    </row>
    <row r="228" spans="15:15" x14ac:dyDescent="0.25">
      <c r="O228" s="204"/>
    </row>
    <row r="229" spans="15:15" x14ac:dyDescent="0.25">
      <c r="O229" s="204"/>
    </row>
    <row r="230" spans="15:15" x14ac:dyDescent="0.25">
      <c r="O230" s="204"/>
    </row>
    <row r="231" spans="15:15" x14ac:dyDescent="0.25">
      <c r="O231" s="204"/>
    </row>
    <row r="232" spans="15:15" x14ac:dyDescent="0.25">
      <c r="O232" s="204"/>
    </row>
    <row r="233" spans="15:15" x14ac:dyDescent="0.25">
      <c r="O233" s="204"/>
    </row>
    <row r="234" spans="15:15" x14ac:dyDescent="0.25">
      <c r="O234" s="204"/>
    </row>
    <row r="235" spans="15:15" x14ac:dyDescent="0.25">
      <c r="O235" s="204"/>
    </row>
    <row r="236" spans="15:15" x14ac:dyDescent="0.25">
      <c r="O236" s="204"/>
    </row>
    <row r="237" spans="15:15" x14ac:dyDescent="0.25">
      <c r="O237" s="204"/>
    </row>
    <row r="238" spans="15:15" x14ac:dyDescent="0.25">
      <c r="O238" s="204"/>
    </row>
    <row r="239" spans="15:15" x14ac:dyDescent="0.25">
      <c r="O239" s="204"/>
    </row>
    <row r="240" spans="15:15" x14ac:dyDescent="0.25">
      <c r="O240" s="204"/>
    </row>
    <row r="241" spans="15:15" x14ac:dyDescent="0.25">
      <c r="O241" s="204"/>
    </row>
    <row r="242" spans="15:15" x14ac:dyDescent="0.25">
      <c r="O242" s="204"/>
    </row>
    <row r="243" spans="15:15" x14ac:dyDescent="0.25">
      <c r="O243" s="204"/>
    </row>
    <row r="244" spans="15:15" x14ac:dyDescent="0.25">
      <c r="O244" s="204"/>
    </row>
    <row r="245" spans="15:15" x14ac:dyDescent="0.25">
      <c r="O245" s="204"/>
    </row>
    <row r="246" spans="15:15" x14ac:dyDescent="0.25">
      <c r="O246" s="204"/>
    </row>
    <row r="247" spans="15:15" x14ac:dyDescent="0.25">
      <c r="O247" s="204"/>
    </row>
    <row r="248" spans="15:15" x14ac:dyDescent="0.25">
      <c r="O248" s="204"/>
    </row>
    <row r="249" spans="15:15" x14ac:dyDescent="0.25">
      <c r="O249" s="204"/>
    </row>
    <row r="250" spans="15:15" x14ac:dyDescent="0.25">
      <c r="O250" s="204"/>
    </row>
    <row r="251" spans="15:15" x14ac:dyDescent="0.25">
      <c r="O251" s="204"/>
    </row>
    <row r="252" spans="15:15" x14ac:dyDescent="0.25">
      <c r="O252" s="204"/>
    </row>
    <row r="253" spans="15:15" x14ac:dyDescent="0.25">
      <c r="O253" s="204"/>
    </row>
    <row r="254" spans="15:15" x14ac:dyDescent="0.25">
      <c r="O254" s="204"/>
    </row>
    <row r="255" spans="15:15" x14ac:dyDescent="0.25">
      <c r="O255" s="204"/>
    </row>
    <row r="256" spans="15:15" x14ac:dyDescent="0.25">
      <c r="O256" s="204"/>
    </row>
    <row r="257" spans="15:15" x14ac:dyDescent="0.25">
      <c r="O257" s="204"/>
    </row>
    <row r="258" spans="15:15" x14ac:dyDescent="0.25">
      <c r="O258" s="204"/>
    </row>
    <row r="259" spans="15:15" x14ac:dyDescent="0.25">
      <c r="O259" s="204"/>
    </row>
    <row r="260" spans="15:15" x14ac:dyDescent="0.25">
      <c r="O260" s="204"/>
    </row>
    <row r="261" spans="15:15" x14ac:dyDescent="0.25">
      <c r="O261" s="204"/>
    </row>
    <row r="262" spans="15:15" x14ac:dyDescent="0.25">
      <c r="O262" s="204"/>
    </row>
    <row r="263" spans="15:15" x14ac:dyDescent="0.25">
      <c r="O263" s="204"/>
    </row>
    <row r="264" spans="15:15" x14ac:dyDescent="0.25">
      <c r="O264" s="204"/>
    </row>
    <row r="265" spans="15:15" x14ac:dyDescent="0.25">
      <c r="O265" s="204"/>
    </row>
    <row r="266" spans="15:15" x14ac:dyDescent="0.25">
      <c r="O266" s="204"/>
    </row>
    <row r="267" spans="15:15" x14ac:dyDescent="0.25">
      <c r="O267" s="204"/>
    </row>
  </sheetData>
  <mergeCells count="121">
    <mergeCell ref="S4:S5"/>
    <mergeCell ref="S9:S11"/>
    <mergeCell ref="S15:S16"/>
    <mergeCell ref="U15:U16"/>
    <mergeCell ref="O15:O16"/>
    <mergeCell ref="P15:P16"/>
    <mergeCell ref="Q15:Q16"/>
    <mergeCell ref="R15:R16"/>
    <mergeCell ref="G18:G20"/>
    <mergeCell ref="J18:J20"/>
    <mergeCell ref="K18:K20"/>
    <mergeCell ref="L15:L16"/>
    <mergeCell ref="M15:M16"/>
    <mergeCell ref="N15:N16"/>
    <mergeCell ref="R4:R5"/>
    <mergeCell ref="I9:I11"/>
    <mergeCell ref="R9:R11"/>
    <mergeCell ref="K4:K5"/>
    <mergeCell ref="L9:L11"/>
    <mergeCell ref="Q9:Q11"/>
    <mergeCell ref="P4:P5"/>
    <mergeCell ref="Q4:Q5"/>
    <mergeCell ref="O4:O5"/>
    <mergeCell ref="L4:L5"/>
    <mergeCell ref="B14:B17"/>
    <mergeCell ref="C14:C17"/>
    <mergeCell ref="D14:D17"/>
    <mergeCell ref="E14:E17"/>
    <mergeCell ref="F14:F17"/>
    <mergeCell ref="G14:G17"/>
    <mergeCell ref="J14:J17"/>
    <mergeCell ref="K14:K17"/>
    <mergeCell ref="H15:H16"/>
    <mergeCell ref="I15:I16"/>
    <mergeCell ref="A21:A32"/>
    <mergeCell ref="D21:D26"/>
    <mergeCell ref="E21:E26"/>
    <mergeCell ref="C21:C26"/>
    <mergeCell ref="B21:B26"/>
    <mergeCell ref="F21:F26"/>
    <mergeCell ref="G21:G26"/>
    <mergeCell ref="J21:J26"/>
    <mergeCell ref="K21:K26"/>
    <mergeCell ref="J27:J32"/>
    <mergeCell ref="K27:K32"/>
    <mergeCell ref="G27:G32"/>
    <mergeCell ref="F27:F32"/>
    <mergeCell ref="E27:E32"/>
    <mergeCell ref="D27:D32"/>
    <mergeCell ref="C27:C32"/>
    <mergeCell ref="B27:B32"/>
    <mergeCell ref="A14:A20"/>
    <mergeCell ref="B18:B20"/>
    <mergeCell ref="C18:C20"/>
    <mergeCell ref="D18:D20"/>
    <mergeCell ref="E18:E20"/>
    <mergeCell ref="F18:F20"/>
    <mergeCell ref="J49:J52"/>
    <mergeCell ref="K49:K52"/>
    <mergeCell ref="B53:B56"/>
    <mergeCell ref="C53:C56"/>
    <mergeCell ref="E53:E56"/>
    <mergeCell ref="F53:F56"/>
    <mergeCell ref="G53:G56"/>
    <mergeCell ref="J53:J56"/>
    <mergeCell ref="K53:K56"/>
    <mergeCell ref="A49:A56"/>
    <mergeCell ref="B49:B52"/>
    <mergeCell ref="C49:C52"/>
    <mergeCell ref="D49:D56"/>
    <mergeCell ref="E49:E52"/>
    <mergeCell ref="F38:F40"/>
    <mergeCell ref="G38:G40"/>
    <mergeCell ref="J38:J40"/>
    <mergeCell ref="K38:K40"/>
    <mergeCell ref="E41:E43"/>
    <mergeCell ref="F41:F43"/>
    <mergeCell ref="G41:G43"/>
    <mergeCell ref="J41:J43"/>
    <mergeCell ref="K41:K43"/>
    <mergeCell ref="A38:A43"/>
    <mergeCell ref="B38:B40"/>
    <mergeCell ref="C38:C40"/>
    <mergeCell ref="D38:D40"/>
    <mergeCell ref="E38:E40"/>
    <mergeCell ref="F49:F52"/>
    <mergeCell ref="G49:G52"/>
    <mergeCell ref="A2:G2"/>
    <mergeCell ref="B4:B5"/>
    <mergeCell ref="B6:B8"/>
    <mergeCell ref="B9:B13"/>
    <mergeCell ref="A6:A13"/>
    <mergeCell ref="C9:C13"/>
    <mergeCell ref="A4:A5"/>
    <mergeCell ref="C4:C5"/>
    <mergeCell ref="G4:G5"/>
    <mergeCell ref="C6:C8"/>
    <mergeCell ref="D4:F4"/>
    <mergeCell ref="E6:E8"/>
    <mergeCell ref="F6:F8"/>
    <mergeCell ref="D9:D13"/>
    <mergeCell ref="E9:E13"/>
    <mergeCell ref="F9:F13"/>
    <mergeCell ref="D6:D8"/>
    <mergeCell ref="G6:G8"/>
    <mergeCell ref="G9:G13"/>
    <mergeCell ref="B41:B43"/>
    <mergeCell ref="C41:C43"/>
    <mergeCell ref="D41:D43"/>
    <mergeCell ref="H4:I4"/>
    <mergeCell ref="H9:H11"/>
    <mergeCell ref="J4:J5"/>
    <mergeCell ref="M4:N4"/>
    <mergeCell ref="M9:M11"/>
    <mergeCell ref="P9:P11"/>
    <mergeCell ref="O9:O11"/>
    <mergeCell ref="N9:N11"/>
    <mergeCell ref="J6:J8"/>
    <mergeCell ref="K6:K8"/>
    <mergeCell ref="K9:K13"/>
    <mergeCell ref="J9:J13"/>
  </mergeCells>
  <phoneticPr fontId="2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38"/>
  <sheetViews>
    <sheetView zoomScale="81" zoomScaleNormal="81" workbookViewId="0">
      <selection activeCell="K37" sqref="K37"/>
    </sheetView>
  </sheetViews>
  <sheetFormatPr defaultRowHeight="15" x14ac:dyDescent="0.25"/>
  <cols>
    <col min="1" max="1" width="29.85546875" style="31" customWidth="1"/>
    <col min="2" max="2" width="25.42578125" style="43" customWidth="1"/>
    <col min="3" max="3" width="20.85546875" style="31" customWidth="1"/>
    <col min="4" max="4" width="24.140625" style="43" customWidth="1"/>
    <col min="5" max="5" width="22.85546875" style="32" customWidth="1"/>
    <col min="6" max="6" width="14.42578125" style="31" customWidth="1"/>
    <col min="7" max="7" width="11.5703125" style="31" customWidth="1"/>
    <col min="8" max="8" width="24.28515625" style="31" customWidth="1"/>
    <col min="9" max="9" width="24.5703125" style="31" customWidth="1"/>
    <col min="10" max="10" width="17.85546875" style="31" customWidth="1"/>
    <col min="11" max="11" width="24.42578125" style="31" customWidth="1"/>
    <col min="12" max="12" width="14.42578125" style="31" customWidth="1"/>
    <col min="13" max="13" width="14.85546875" style="31" customWidth="1"/>
    <col min="14" max="14" width="12.42578125" style="31" customWidth="1"/>
    <col min="15" max="15" width="12" style="31" bestFit="1" customWidth="1"/>
    <col min="16" max="16" width="12.5703125" style="32" customWidth="1"/>
    <col min="17" max="17" width="103.7109375" style="21" customWidth="1"/>
    <col min="18" max="18" width="84.42578125" style="21" customWidth="1"/>
  </cols>
  <sheetData>
    <row r="1" spans="1:107" ht="33.950000000000003" customHeight="1" x14ac:dyDescent="0.25">
      <c r="A1" s="563" t="s">
        <v>19</v>
      </c>
      <c r="B1" s="563"/>
      <c r="C1" s="563"/>
      <c r="D1" s="563"/>
      <c r="E1" s="563"/>
      <c r="F1" s="563"/>
    </row>
    <row r="2" spans="1:107" ht="15.75" thickBot="1" x14ac:dyDescent="0.3"/>
    <row r="3" spans="1:107" ht="32.25" customHeight="1" x14ac:dyDescent="0.25">
      <c r="A3" s="564" t="s">
        <v>235</v>
      </c>
      <c r="B3" s="566" t="s">
        <v>48</v>
      </c>
      <c r="C3" s="568" t="s">
        <v>2</v>
      </c>
      <c r="D3" s="569"/>
      <c r="E3" s="569"/>
      <c r="F3" s="568" t="s">
        <v>20</v>
      </c>
      <c r="G3" s="571" t="s">
        <v>111</v>
      </c>
      <c r="H3" s="571"/>
      <c r="I3" s="561" t="s">
        <v>21</v>
      </c>
      <c r="J3" s="589" t="s">
        <v>22</v>
      </c>
      <c r="K3" s="561" t="s">
        <v>4</v>
      </c>
      <c r="L3" s="569" t="s">
        <v>5</v>
      </c>
      <c r="M3" s="591"/>
      <c r="N3" s="561" t="s">
        <v>6</v>
      </c>
      <c r="O3" s="561" t="s">
        <v>7</v>
      </c>
      <c r="P3" s="561" t="s">
        <v>8</v>
      </c>
      <c r="Q3" s="573" t="s">
        <v>9</v>
      </c>
      <c r="R3" s="575" t="s">
        <v>61</v>
      </c>
    </row>
    <row r="4" spans="1:107" ht="54.75" customHeight="1" x14ac:dyDescent="0.25">
      <c r="A4" s="565"/>
      <c r="B4" s="567"/>
      <c r="C4" s="72" t="s">
        <v>10</v>
      </c>
      <c r="D4" s="44" t="s">
        <v>49</v>
      </c>
      <c r="E4" s="158" t="s">
        <v>46</v>
      </c>
      <c r="F4" s="570"/>
      <c r="G4" s="72" t="s">
        <v>113</v>
      </c>
      <c r="H4" s="72" t="s">
        <v>114</v>
      </c>
      <c r="I4" s="562"/>
      <c r="J4" s="590"/>
      <c r="K4" s="562"/>
      <c r="L4" s="50" t="s">
        <v>14</v>
      </c>
      <c r="M4" s="50" t="s">
        <v>15</v>
      </c>
      <c r="N4" s="562"/>
      <c r="O4" s="562"/>
      <c r="P4" s="562"/>
      <c r="Q4" s="574"/>
      <c r="R4" s="575"/>
    </row>
    <row r="5" spans="1:107" ht="103.5" customHeight="1" x14ac:dyDescent="0.25">
      <c r="A5" s="576" t="s">
        <v>221</v>
      </c>
      <c r="B5" s="579">
        <v>41500000</v>
      </c>
      <c r="C5" s="582" t="s">
        <v>241</v>
      </c>
      <c r="D5" s="579">
        <f>(B5-(B5*0.0411))*0.5/0.5</f>
        <v>39794350</v>
      </c>
      <c r="E5" s="579">
        <f>B5+D5</f>
        <v>81294350</v>
      </c>
      <c r="F5" s="585">
        <f>(B5-(B5*0.0411))+D5</f>
        <v>79588700</v>
      </c>
      <c r="G5" s="39" t="s">
        <v>25</v>
      </c>
      <c r="H5" s="68" t="s">
        <v>145</v>
      </c>
      <c r="I5" s="41" t="s">
        <v>199</v>
      </c>
      <c r="J5" s="39" t="s">
        <v>120</v>
      </c>
      <c r="K5" s="39" t="s">
        <v>243</v>
      </c>
      <c r="L5" s="36">
        <v>0</v>
      </c>
      <c r="M5" s="54" t="s">
        <v>47</v>
      </c>
      <c r="N5" s="36">
        <v>6460</v>
      </c>
      <c r="O5" s="49">
        <v>21534</v>
      </c>
      <c r="P5" s="73" t="s">
        <v>121</v>
      </c>
      <c r="Q5" s="98" t="s">
        <v>236</v>
      </c>
      <c r="R5" s="175" t="s">
        <v>209</v>
      </c>
    </row>
    <row r="6" spans="1:107" ht="87.75" customHeight="1" x14ac:dyDescent="0.25">
      <c r="A6" s="577"/>
      <c r="B6" s="580"/>
      <c r="C6" s="583"/>
      <c r="D6" s="580"/>
      <c r="E6" s="580"/>
      <c r="F6" s="586"/>
      <c r="G6" s="39" t="s">
        <v>23</v>
      </c>
      <c r="H6" s="68" t="s">
        <v>151</v>
      </c>
      <c r="I6" s="41" t="s">
        <v>199</v>
      </c>
      <c r="J6" s="39" t="s">
        <v>120</v>
      </c>
      <c r="K6" s="41" t="s">
        <v>150</v>
      </c>
      <c r="L6" s="36">
        <v>1427274</v>
      </c>
      <c r="M6" s="26">
        <v>2019</v>
      </c>
      <c r="N6" s="36" t="s">
        <v>37</v>
      </c>
      <c r="O6" s="36">
        <v>450061</v>
      </c>
      <c r="P6" s="73" t="s">
        <v>121</v>
      </c>
      <c r="Q6" s="98" t="s">
        <v>238</v>
      </c>
      <c r="R6" s="176" t="s">
        <v>72</v>
      </c>
    </row>
    <row r="7" spans="1:107" ht="96" customHeight="1" x14ac:dyDescent="0.25">
      <c r="A7" s="577"/>
      <c r="B7" s="581"/>
      <c r="C7" s="584"/>
      <c r="D7" s="581"/>
      <c r="E7" s="581"/>
      <c r="F7" s="587"/>
      <c r="G7" s="54" t="s">
        <v>36</v>
      </c>
      <c r="H7" s="69" t="s">
        <v>154</v>
      </c>
      <c r="I7" s="41" t="s">
        <v>199</v>
      </c>
      <c r="J7" s="39" t="s">
        <v>120</v>
      </c>
      <c r="K7" s="106" t="s">
        <v>198</v>
      </c>
      <c r="L7" s="193">
        <v>57091</v>
      </c>
      <c r="M7" s="26">
        <v>2019</v>
      </c>
      <c r="N7" s="54" t="s">
        <v>47</v>
      </c>
      <c r="O7" s="49">
        <v>41405</v>
      </c>
      <c r="P7" s="73" t="s">
        <v>121</v>
      </c>
      <c r="Q7" s="174" t="s">
        <v>239</v>
      </c>
      <c r="R7" s="168"/>
    </row>
    <row r="8" spans="1:107" ht="15" customHeight="1" x14ac:dyDescent="0.25">
      <c r="A8" s="577"/>
      <c r="B8" s="579">
        <v>41500000</v>
      </c>
      <c r="C8" s="582" t="s">
        <v>241</v>
      </c>
      <c r="D8" s="579">
        <f>(B8-(B8*0.0411))*0.5/0.5</f>
        <v>39794350</v>
      </c>
      <c r="E8" s="579">
        <f>B8+D8</f>
        <v>81294350</v>
      </c>
      <c r="F8" s="593">
        <f>(B8-(B8*0.0411))+D8</f>
        <v>79588700</v>
      </c>
      <c r="G8" s="596" t="s">
        <v>25</v>
      </c>
      <c r="H8" s="572" t="s">
        <v>145</v>
      </c>
      <c r="I8" s="596" t="s">
        <v>160</v>
      </c>
      <c r="J8" s="596" t="s">
        <v>144</v>
      </c>
      <c r="K8" s="596" t="s">
        <v>243</v>
      </c>
      <c r="L8" s="610">
        <v>0</v>
      </c>
      <c r="M8" s="611" t="s">
        <v>47</v>
      </c>
      <c r="N8" s="597">
        <v>6460</v>
      </c>
      <c r="O8" s="597">
        <v>21534</v>
      </c>
      <c r="P8" s="576" t="s">
        <v>121</v>
      </c>
      <c r="Q8" s="601" t="s">
        <v>237</v>
      </c>
      <c r="R8" s="604" t="s">
        <v>212</v>
      </c>
    </row>
    <row r="9" spans="1:107" ht="15" customHeight="1" x14ac:dyDescent="0.25">
      <c r="A9" s="577"/>
      <c r="B9" s="580"/>
      <c r="C9" s="583"/>
      <c r="D9" s="580"/>
      <c r="E9" s="580"/>
      <c r="F9" s="594"/>
      <c r="G9" s="596"/>
      <c r="H9" s="572"/>
      <c r="I9" s="596"/>
      <c r="J9" s="596"/>
      <c r="K9" s="596"/>
      <c r="L9" s="610"/>
      <c r="M9" s="611"/>
      <c r="N9" s="598"/>
      <c r="O9" s="598"/>
      <c r="P9" s="577"/>
      <c r="Q9" s="602"/>
      <c r="R9" s="605"/>
    </row>
    <row r="10" spans="1:107" ht="85.5" customHeight="1" x14ac:dyDescent="0.25">
      <c r="A10" s="577"/>
      <c r="B10" s="580"/>
      <c r="C10" s="583"/>
      <c r="D10" s="580"/>
      <c r="E10" s="580"/>
      <c r="F10" s="594"/>
      <c r="G10" s="596"/>
      <c r="H10" s="572"/>
      <c r="I10" s="596"/>
      <c r="J10" s="596"/>
      <c r="K10" s="596"/>
      <c r="L10" s="610"/>
      <c r="M10" s="611"/>
      <c r="N10" s="599"/>
      <c r="O10" s="599"/>
      <c r="P10" s="600"/>
      <c r="Q10" s="603"/>
      <c r="R10" s="606"/>
    </row>
    <row r="11" spans="1:107" s="28" customFormat="1" ht="87" customHeight="1" thickBot="1" x14ac:dyDescent="0.3">
      <c r="A11" s="577"/>
      <c r="B11" s="580"/>
      <c r="C11" s="583"/>
      <c r="D11" s="580"/>
      <c r="E11" s="580"/>
      <c r="F11" s="594"/>
      <c r="G11" s="39" t="s">
        <v>23</v>
      </c>
      <c r="H11" s="68" t="s">
        <v>151</v>
      </c>
      <c r="I11" s="41" t="s">
        <v>160</v>
      </c>
      <c r="J11" s="39" t="s">
        <v>144</v>
      </c>
      <c r="K11" s="41" t="s">
        <v>150</v>
      </c>
      <c r="L11" s="36">
        <v>1427274</v>
      </c>
      <c r="M11" s="26">
        <v>2019</v>
      </c>
      <c r="N11" s="36" t="s">
        <v>37</v>
      </c>
      <c r="O11" s="36">
        <v>450061</v>
      </c>
      <c r="P11" s="73" t="s">
        <v>121</v>
      </c>
      <c r="Q11" s="98" t="s">
        <v>238</v>
      </c>
      <c r="R11" s="176" t="s">
        <v>62</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row>
    <row r="12" spans="1:107" ht="110.25" customHeight="1" thickBot="1" x14ac:dyDescent="0.3">
      <c r="A12" s="578"/>
      <c r="B12" s="588"/>
      <c r="C12" s="592"/>
      <c r="D12" s="588"/>
      <c r="E12" s="588"/>
      <c r="F12" s="595"/>
      <c r="G12" s="194" t="s">
        <v>36</v>
      </c>
      <c r="H12" s="69" t="s">
        <v>154</v>
      </c>
      <c r="I12" s="41" t="s">
        <v>160</v>
      </c>
      <c r="J12" s="39" t="s">
        <v>144</v>
      </c>
      <c r="K12" s="109" t="s">
        <v>198</v>
      </c>
      <c r="L12" s="193">
        <v>57091</v>
      </c>
      <c r="M12" s="26">
        <v>2019</v>
      </c>
      <c r="N12" s="54" t="s">
        <v>47</v>
      </c>
      <c r="O12" s="49">
        <v>41405</v>
      </c>
      <c r="P12" s="73" t="s">
        <v>121</v>
      </c>
      <c r="Q12" s="174" t="s">
        <v>239</v>
      </c>
      <c r="R12" s="168"/>
      <c r="S12" s="173"/>
      <c r="U12" s="172"/>
    </row>
    <row r="13" spans="1:107" ht="83.25" customHeight="1" thickBot="1" x14ac:dyDescent="0.3">
      <c r="A13" s="607" t="s">
        <v>195</v>
      </c>
      <c r="B13" s="608">
        <v>62000000</v>
      </c>
      <c r="C13" s="609" t="s">
        <v>245</v>
      </c>
      <c r="D13" s="608">
        <f>(B13*0.3)/0.7</f>
        <v>26571428.571428575</v>
      </c>
      <c r="E13" s="608">
        <f>B13+D13</f>
        <v>88571428.571428567</v>
      </c>
      <c r="F13" s="608">
        <f>E13</f>
        <v>88571428.571428567</v>
      </c>
      <c r="G13" s="169" t="s">
        <v>26</v>
      </c>
      <c r="H13" s="170" t="s">
        <v>147</v>
      </c>
      <c r="I13" s="167" t="s">
        <v>199</v>
      </c>
      <c r="J13" s="167" t="s">
        <v>120</v>
      </c>
      <c r="K13" s="167" t="s">
        <v>33</v>
      </c>
      <c r="L13" s="190">
        <v>0</v>
      </c>
      <c r="M13" s="179" t="s">
        <v>47</v>
      </c>
      <c r="N13" s="186">
        <v>25670</v>
      </c>
      <c r="O13" s="190">
        <v>256700</v>
      </c>
      <c r="P13" s="191" t="s">
        <v>121</v>
      </c>
      <c r="Q13" s="171" t="s">
        <v>224</v>
      </c>
      <c r="R13" s="177" t="s">
        <v>74</v>
      </c>
    </row>
    <row r="14" spans="1:107" ht="13.5" customHeight="1" x14ac:dyDescent="0.25">
      <c r="A14" s="577"/>
      <c r="B14" s="580"/>
      <c r="C14" s="583"/>
      <c r="D14" s="580"/>
      <c r="E14" s="580"/>
      <c r="F14" s="580"/>
      <c r="G14" s="576" t="s">
        <v>23</v>
      </c>
      <c r="H14" s="614" t="s">
        <v>151</v>
      </c>
      <c r="I14" s="607" t="s">
        <v>199</v>
      </c>
      <c r="J14" s="576" t="s">
        <v>120</v>
      </c>
      <c r="K14" s="576" t="s">
        <v>150</v>
      </c>
      <c r="L14" s="597">
        <v>56474</v>
      </c>
      <c r="M14" s="616">
        <v>2019</v>
      </c>
      <c r="N14" s="597" t="s">
        <v>37</v>
      </c>
      <c r="O14" s="597">
        <v>33884</v>
      </c>
      <c r="P14" s="618" t="s">
        <v>121</v>
      </c>
      <c r="Q14" s="620" t="s">
        <v>225</v>
      </c>
      <c r="R14" s="612" t="s">
        <v>73</v>
      </c>
    </row>
    <row r="15" spans="1:107" ht="79.5" customHeight="1" x14ac:dyDescent="0.25">
      <c r="A15" s="577"/>
      <c r="B15" s="580"/>
      <c r="C15" s="583"/>
      <c r="D15" s="580"/>
      <c r="E15" s="580"/>
      <c r="F15" s="580"/>
      <c r="G15" s="600"/>
      <c r="H15" s="615"/>
      <c r="I15" s="600"/>
      <c r="J15" s="600"/>
      <c r="K15" s="600"/>
      <c r="L15" s="599"/>
      <c r="M15" s="617"/>
      <c r="N15" s="599"/>
      <c r="O15" s="599"/>
      <c r="P15" s="619"/>
      <c r="Q15" s="621"/>
      <c r="R15" s="613"/>
    </row>
    <row r="16" spans="1:107" ht="61.5" customHeight="1" thickBot="1" x14ac:dyDescent="0.3">
      <c r="A16" s="578"/>
      <c r="B16" s="581"/>
      <c r="C16" s="584"/>
      <c r="D16" s="580"/>
      <c r="E16" s="580"/>
      <c r="F16" s="581"/>
      <c r="G16" s="39" t="s">
        <v>36</v>
      </c>
      <c r="H16" s="69" t="s">
        <v>154</v>
      </c>
      <c r="I16" s="41" t="s">
        <v>199</v>
      </c>
      <c r="J16" s="39" t="s">
        <v>120</v>
      </c>
      <c r="K16" s="41" t="s">
        <v>198</v>
      </c>
      <c r="L16" s="36">
        <v>5647</v>
      </c>
      <c r="M16" s="152">
        <v>2019</v>
      </c>
      <c r="N16" s="192" t="s">
        <v>37</v>
      </c>
      <c r="O16" s="196">
        <v>3388</v>
      </c>
      <c r="P16" s="73" t="s">
        <v>121</v>
      </c>
      <c r="Q16" s="98" t="s">
        <v>226</v>
      </c>
      <c r="R16" s="178" t="s">
        <v>78</v>
      </c>
    </row>
    <row r="17" spans="1:18" ht="302.25" customHeight="1" x14ac:dyDescent="0.25">
      <c r="A17" s="607" t="s">
        <v>242</v>
      </c>
      <c r="B17" s="625">
        <v>13500000</v>
      </c>
      <c r="C17" s="627" t="s">
        <v>240</v>
      </c>
      <c r="D17" s="625">
        <f>(B17*0.3)/0.7</f>
        <v>5785714.2857142864</v>
      </c>
      <c r="E17" s="625">
        <f>B17+D17</f>
        <v>19285714.285714287</v>
      </c>
      <c r="F17" s="625">
        <f>E17</f>
        <v>19285714.285714287</v>
      </c>
      <c r="G17" s="179" t="s">
        <v>23</v>
      </c>
      <c r="H17" s="180" t="s">
        <v>151</v>
      </c>
      <c r="I17" s="115" t="s">
        <v>199</v>
      </c>
      <c r="J17" s="115" t="s">
        <v>120</v>
      </c>
      <c r="K17" s="115" t="s">
        <v>150</v>
      </c>
      <c r="L17" s="186">
        <v>1133300</v>
      </c>
      <c r="M17" s="115">
        <v>2019</v>
      </c>
      <c r="N17" s="190" t="s">
        <v>37</v>
      </c>
      <c r="O17" s="186">
        <v>1121001</v>
      </c>
      <c r="P17" s="181" t="s">
        <v>121</v>
      </c>
      <c r="Q17" s="182" t="s">
        <v>231</v>
      </c>
      <c r="R17" s="177" t="s">
        <v>91</v>
      </c>
    </row>
    <row r="18" spans="1:18" ht="84.75" customHeight="1" x14ac:dyDescent="0.25">
      <c r="A18" s="577"/>
      <c r="B18" s="626"/>
      <c r="C18" s="572"/>
      <c r="D18" s="626"/>
      <c r="E18" s="626"/>
      <c r="F18" s="626"/>
      <c r="G18" s="54" t="s">
        <v>27</v>
      </c>
      <c r="H18" s="90" t="s">
        <v>149</v>
      </c>
      <c r="I18" s="26" t="s">
        <v>199</v>
      </c>
      <c r="J18" s="26" t="s">
        <v>120</v>
      </c>
      <c r="K18" s="54" t="s">
        <v>32</v>
      </c>
      <c r="L18" s="197">
        <v>0</v>
      </c>
      <c r="M18" s="54" t="s">
        <v>47</v>
      </c>
      <c r="N18" s="36">
        <v>6</v>
      </c>
      <c r="O18" s="49">
        <v>21</v>
      </c>
      <c r="P18" s="73" t="s">
        <v>121</v>
      </c>
      <c r="Q18" s="98" t="s">
        <v>228</v>
      </c>
      <c r="R18" s="184" t="s">
        <v>90</v>
      </c>
    </row>
    <row r="19" spans="1:18" ht="48.75" customHeight="1" x14ac:dyDescent="0.25">
      <c r="A19" s="577"/>
      <c r="B19" s="626"/>
      <c r="C19" s="572"/>
      <c r="D19" s="626"/>
      <c r="E19" s="626"/>
      <c r="F19" s="626"/>
      <c r="G19" s="54" t="s">
        <v>36</v>
      </c>
      <c r="H19" s="69" t="s">
        <v>154</v>
      </c>
      <c r="I19" s="26" t="s">
        <v>199</v>
      </c>
      <c r="J19" s="106" t="s">
        <v>120</v>
      </c>
      <c r="K19" s="106" t="s">
        <v>198</v>
      </c>
      <c r="L19" s="49">
        <v>113330</v>
      </c>
      <c r="M19" s="26">
        <v>2019</v>
      </c>
      <c r="N19" s="54" t="s">
        <v>47</v>
      </c>
      <c r="O19" s="49">
        <v>112100</v>
      </c>
      <c r="P19" s="73" t="s">
        <v>121</v>
      </c>
      <c r="Q19" s="67" t="s">
        <v>234</v>
      </c>
      <c r="R19" s="168"/>
    </row>
    <row r="20" spans="1:18" ht="100.5" customHeight="1" thickBot="1" x14ac:dyDescent="0.3">
      <c r="A20" s="577"/>
      <c r="B20" s="626"/>
      <c r="C20" s="572"/>
      <c r="D20" s="626"/>
      <c r="E20" s="626"/>
      <c r="F20" s="626"/>
      <c r="G20" s="117" t="s">
        <v>118</v>
      </c>
      <c r="H20" s="187" t="s">
        <v>200</v>
      </c>
      <c r="I20" s="26" t="s">
        <v>199</v>
      </c>
      <c r="J20" s="117" t="s">
        <v>120</v>
      </c>
      <c r="K20" s="117" t="s">
        <v>190</v>
      </c>
      <c r="L20" s="195">
        <v>0</v>
      </c>
      <c r="M20" s="185" t="s">
        <v>47</v>
      </c>
      <c r="N20" s="195">
        <v>15428</v>
      </c>
      <c r="O20" s="195">
        <v>51428</v>
      </c>
      <c r="P20" s="191" t="s">
        <v>121</v>
      </c>
      <c r="Q20" s="188" t="s">
        <v>229</v>
      </c>
      <c r="R20" s="189" t="s">
        <v>86</v>
      </c>
    </row>
    <row r="21" spans="1:18" ht="305.25" customHeight="1" x14ac:dyDescent="0.25">
      <c r="A21" s="577"/>
      <c r="B21" s="579">
        <v>13500000</v>
      </c>
      <c r="C21" s="627" t="s">
        <v>240</v>
      </c>
      <c r="D21" s="581">
        <f>(B21*0.3)/0.7</f>
        <v>5785714.2857142864</v>
      </c>
      <c r="E21" s="579">
        <f>B21+D21</f>
        <v>19285714.285714287</v>
      </c>
      <c r="F21" s="622">
        <f>E21</f>
        <v>19285714.285714287</v>
      </c>
      <c r="G21" s="54" t="s">
        <v>23</v>
      </c>
      <c r="H21" s="90" t="s">
        <v>151</v>
      </c>
      <c r="I21" s="26" t="s">
        <v>160</v>
      </c>
      <c r="J21" s="26" t="s">
        <v>144</v>
      </c>
      <c r="K21" s="26" t="s">
        <v>150</v>
      </c>
      <c r="L21" s="36">
        <v>1133300</v>
      </c>
      <c r="M21" s="26">
        <v>2019</v>
      </c>
      <c r="N21" s="36" t="s">
        <v>37</v>
      </c>
      <c r="O21" s="49">
        <v>1121001</v>
      </c>
      <c r="P21" s="73" t="s">
        <v>121</v>
      </c>
      <c r="Q21" s="94" t="s">
        <v>232</v>
      </c>
      <c r="R21" s="175" t="s">
        <v>92</v>
      </c>
    </row>
    <row r="22" spans="1:18" ht="92.25" customHeight="1" x14ac:dyDescent="0.25">
      <c r="A22" s="577"/>
      <c r="B22" s="580"/>
      <c r="C22" s="572"/>
      <c r="D22" s="626"/>
      <c r="E22" s="580"/>
      <c r="F22" s="623"/>
      <c r="G22" s="54" t="s">
        <v>27</v>
      </c>
      <c r="H22" s="90" t="s">
        <v>149</v>
      </c>
      <c r="I22" s="26" t="s">
        <v>160</v>
      </c>
      <c r="J22" s="26" t="s">
        <v>144</v>
      </c>
      <c r="K22" s="26" t="s">
        <v>32</v>
      </c>
      <c r="L22" s="36">
        <v>0</v>
      </c>
      <c r="M22" s="54" t="s">
        <v>47</v>
      </c>
      <c r="N22" s="36">
        <v>6</v>
      </c>
      <c r="O22" s="49">
        <v>21</v>
      </c>
      <c r="P22" s="73" t="s">
        <v>121</v>
      </c>
      <c r="Q22" s="183" t="s">
        <v>227</v>
      </c>
      <c r="R22" s="176" t="s">
        <v>63</v>
      </c>
    </row>
    <row r="23" spans="1:18" ht="137.25" customHeight="1" x14ac:dyDescent="0.25">
      <c r="A23" s="577"/>
      <c r="B23" s="580"/>
      <c r="C23" s="572"/>
      <c r="D23" s="626"/>
      <c r="E23" s="580"/>
      <c r="F23" s="623"/>
      <c r="G23" s="152" t="s">
        <v>118</v>
      </c>
      <c r="H23" s="90" t="s">
        <v>200</v>
      </c>
      <c r="I23" s="26" t="s">
        <v>160</v>
      </c>
      <c r="J23" s="26" t="s">
        <v>144</v>
      </c>
      <c r="K23" s="26" t="s">
        <v>190</v>
      </c>
      <c r="L23" s="49">
        <v>0</v>
      </c>
      <c r="M23" s="26" t="s">
        <v>47</v>
      </c>
      <c r="N23" s="49">
        <v>15428</v>
      </c>
      <c r="O23" s="49">
        <v>51428</v>
      </c>
      <c r="P23" s="155" t="s">
        <v>121</v>
      </c>
      <c r="Q23" s="25" t="s">
        <v>230</v>
      </c>
      <c r="R23" s="175" t="s">
        <v>85</v>
      </c>
    </row>
    <row r="24" spans="1:18" ht="49.5" customHeight="1" thickBot="1" x14ac:dyDescent="0.3">
      <c r="A24" s="578"/>
      <c r="B24" s="581"/>
      <c r="C24" s="572"/>
      <c r="D24" s="626"/>
      <c r="E24" s="581"/>
      <c r="F24" s="624"/>
      <c r="G24" s="54" t="s">
        <v>36</v>
      </c>
      <c r="H24" s="69" t="s">
        <v>154</v>
      </c>
      <c r="I24" s="26" t="s">
        <v>160</v>
      </c>
      <c r="J24" s="26" t="s">
        <v>144</v>
      </c>
      <c r="K24" s="106" t="s">
        <v>198</v>
      </c>
      <c r="L24" s="49">
        <v>113330</v>
      </c>
      <c r="M24" s="26">
        <v>2019</v>
      </c>
      <c r="N24" s="54" t="s">
        <v>47</v>
      </c>
      <c r="O24" s="49">
        <v>112100</v>
      </c>
      <c r="P24" s="73" t="s">
        <v>121</v>
      </c>
      <c r="Q24" s="103" t="s">
        <v>233</v>
      </c>
      <c r="R24" s="168"/>
    </row>
    <row r="25" spans="1:18" x14ac:dyDescent="0.25">
      <c r="A25" s="45"/>
      <c r="C25" s="32"/>
    </row>
    <row r="26" spans="1:18" x14ac:dyDescent="0.25">
      <c r="M26" s="38"/>
      <c r="Q26" s="29"/>
    </row>
    <row r="27" spans="1:18" ht="21.75" customHeight="1" x14ac:dyDescent="0.25">
      <c r="A27" s="72" t="s">
        <v>143</v>
      </c>
      <c r="B27" s="40" t="s">
        <v>142</v>
      </c>
      <c r="C27" s="72" t="s">
        <v>116</v>
      </c>
      <c r="D27" s="72" t="s">
        <v>140</v>
      </c>
      <c r="E27" s="72" t="s">
        <v>112</v>
      </c>
      <c r="F27" s="72" t="s">
        <v>115</v>
      </c>
      <c r="G27" s="72" t="s">
        <v>141</v>
      </c>
      <c r="H27" s="72" t="s">
        <v>124</v>
      </c>
      <c r="I27" s="72" t="s">
        <v>123</v>
      </c>
    </row>
    <row r="28" spans="1:18" ht="35.25" customHeight="1" x14ac:dyDescent="0.25">
      <c r="A28" s="41" t="s">
        <v>25</v>
      </c>
      <c r="B28" s="41" t="s">
        <v>145</v>
      </c>
      <c r="C28" s="39" t="s">
        <v>243</v>
      </c>
      <c r="D28" s="51">
        <v>0</v>
      </c>
      <c r="E28" s="39" t="s">
        <v>199</v>
      </c>
      <c r="F28" s="39" t="s">
        <v>120</v>
      </c>
      <c r="G28" s="39" t="s">
        <v>47</v>
      </c>
      <c r="H28" s="52">
        <f>SUM(N5)</f>
        <v>6460</v>
      </c>
      <c r="I28" s="52">
        <f>SUM(O5)</f>
        <v>21534</v>
      </c>
    </row>
    <row r="29" spans="1:18" ht="39" customHeight="1" x14ac:dyDescent="0.25">
      <c r="A29" s="41" t="s">
        <v>25</v>
      </c>
      <c r="B29" s="41" t="s">
        <v>145</v>
      </c>
      <c r="C29" s="39" t="s">
        <v>243</v>
      </c>
      <c r="D29" s="51">
        <v>0</v>
      </c>
      <c r="E29" s="41" t="s">
        <v>160</v>
      </c>
      <c r="F29" s="39" t="s">
        <v>144</v>
      </c>
      <c r="G29" s="39" t="s">
        <v>47</v>
      </c>
      <c r="H29" s="52">
        <f>N8</f>
        <v>6460</v>
      </c>
      <c r="I29" s="52">
        <f>O8</f>
        <v>21534</v>
      </c>
    </row>
    <row r="30" spans="1:18" ht="48.75" customHeight="1" x14ac:dyDescent="0.25">
      <c r="A30" s="41" t="s">
        <v>40</v>
      </c>
      <c r="B30" s="41" t="s">
        <v>147</v>
      </c>
      <c r="C30" s="39" t="s">
        <v>35</v>
      </c>
      <c r="D30" s="51">
        <v>0</v>
      </c>
      <c r="E30" s="39" t="s">
        <v>199</v>
      </c>
      <c r="F30" s="39" t="s">
        <v>120</v>
      </c>
      <c r="G30" s="39" t="s">
        <v>47</v>
      </c>
      <c r="H30" s="52">
        <f>SUM(N13)</f>
        <v>25670</v>
      </c>
      <c r="I30" s="52">
        <f>SUM(O13)</f>
        <v>256700</v>
      </c>
    </row>
    <row r="31" spans="1:18" ht="39" x14ac:dyDescent="0.25">
      <c r="A31" s="41" t="s">
        <v>27</v>
      </c>
      <c r="B31" s="53" t="s">
        <v>149</v>
      </c>
      <c r="C31" s="41" t="s">
        <v>32</v>
      </c>
      <c r="D31" s="51">
        <v>0</v>
      </c>
      <c r="E31" s="39" t="s">
        <v>199</v>
      </c>
      <c r="F31" s="39" t="s">
        <v>120</v>
      </c>
      <c r="G31" s="39" t="s">
        <v>47</v>
      </c>
      <c r="H31" s="36">
        <f>SUM(N18)</f>
        <v>6</v>
      </c>
      <c r="I31" s="36">
        <f>SUM(O18)</f>
        <v>21</v>
      </c>
    </row>
    <row r="32" spans="1:18" ht="39" x14ac:dyDescent="0.25">
      <c r="A32" s="41" t="s">
        <v>27</v>
      </c>
      <c r="B32" s="53" t="s">
        <v>149</v>
      </c>
      <c r="C32" s="41" t="s">
        <v>32</v>
      </c>
      <c r="D32" s="51">
        <v>0</v>
      </c>
      <c r="E32" s="41" t="s">
        <v>160</v>
      </c>
      <c r="F32" s="39" t="s">
        <v>144</v>
      </c>
      <c r="G32" s="39" t="s">
        <v>47</v>
      </c>
      <c r="H32" s="36">
        <f>SUM(N22)</f>
        <v>6</v>
      </c>
      <c r="I32" s="36">
        <f>SUM(O22)</f>
        <v>21</v>
      </c>
    </row>
    <row r="33" spans="1:9" ht="54" customHeight="1" x14ac:dyDescent="0.25">
      <c r="A33" s="41" t="s">
        <v>23</v>
      </c>
      <c r="B33" s="41" t="s">
        <v>151</v>
      </c>
      <c r="C33" s="41" t="s">
        <v>244</v>
      </c>
      <c r="D33" s="48">
        <f>SUM(L6+L14+L17)</f>
        <v>2617048</v>
      </c>
      <c r="E33" s="41" t="s">
        <v>199</v>
      </c>
      <c r="F33" s="39" t="s">
        <v>120</v>
      </c>
      <c r="G33" s="39">
        <v>2019</v>
      </c>
      <c r="H33" s="36" t="s">
        <v>47</v>
      </c>
      <c r="I33" s="49">
        <f>SUM(O6+O14+O17)</f>
        <v>1604946</v>
      </c>
    </row>
    <row r="34" spans="1:9" ht="53.1" customHeight="1" x14ac:dyDescent="0.25">
      <c r="A34" s="41" t="s">
        <v>23</v>
      </c>
      <c r="B34" s="41" t="s">
        <v>151</v>
      </c>
      <c r="C34" s="41" t="s">
        <v>244</v>
      </c>
      <c r="D34" s="48">
        <f>SUM(L11+L21)</f>
        <v>2560574</v>
      </c>
      <c r="E34" s="41" t="s">
        <v>160</v>
      </c>
      <c r="F34" s="39" t="s">
        <v>144</v>
      </c>
      <c r="G34" s="39">
        <v>2019</v>
      </c>
      <c r="H34" s="36" t="s">
        <v>47</v>
      </c>
      <c r="I34" s="49">
        <f>SUM(O11+O21)</f>
        <v>1571062</v>
      </c>
    </row>
    <row r="35" spans="1:9" ht="45.95" customHeight="1" x14ac:dyDescent="0.25">
      <c r="A35" s="41" t="s">
        <v>36</v>
      </c>
      <c r="B35" s="41" t="s">
        <v>154</v>
      </c>
      <c r="C35" s="47" t="s">
        <v>198</v>
      </c>
      <c r="D35" s="48">
        <f>SUM(L7+L16+L19)</f>
        <v>176068</v>
      </c>
      <c r="E35" s="41" t="s">
        <v>199</v>
      </c>
      <c r="F35" s="39" t="s">
        <v>120</v>
      </c>
      <c r="G35" s="39">
        <v>2019</v>
      </c>
      <c r="H35" s="36" t="s">
        <v>47</v>
      </c>
      <c r="I35" s="36">
        <f>SUM(O16+O19+O7)</f>
        <v>156893</v>
      </c>
    </row>
    <row r="36" spans="1:9" ht="58.5" customHeight="1" x14ac:dyDescent="0.25">
      <c r="A36" s="41" t="s">
        <v>36</v>
      </c>
      <c r="B36" s="41" t="s">
        <v>154</v>
      </c>
      <c r="C36" s="47" t="s">
        <v>198</v>
      </c>
      <c r="D36" s="48">
        <f>SUM(L12+L24)</f>
        <v>170421</v>
      </c>
      <c r="E36" s="41" t="s">
        <v>160</v>
      </c>
      <c r="F36" s="39" t="s">
        <v>144</v>
      </c>
      <c r="G36" s="39">
        <v>2019</v>
      </c>
      <c r="H36" s="36" t="s">
        <v>47</v>
      </c>
      <c r="I36" s="36">
        <f>SUM(O12+O24)</f>
        <v>153505</v>
      </c>
    </row>
    <row r="37" spans="1:9" ht="68.25" customHeight="1" x14ac:dyDescent="0.25">
      <c r="A37" s="26" t="s">
        <v>118</v>
      </c>
      <c r="B37" s="26" t="s">
        <v>200</v>
      </c>
      <c r="C37" s="26" t="s">
        <v>190</v>
      </c>
      <c r="D37" s="48">
        <v>0</v>
      </c>
      <c r="E37" s="26" t="s">
        <v>199</v>
      </c>
      <c r="F37" s="26" t="s">
        <v>120</v>
      </c>
      <c r="G37" s="54" t="s">
        <v>47</v>
      </c>
      <c r="H37" s="36">
        <f>SUM(N20)</f>
        <v>15428</v>
      </c>
      <c r="I37" s="36">
        <f>SUM(O20)</f>
        <v>51428</v>
      </c>
    </row>
    <row r="38" spans="1:9" ht="68.25" customHeight="1" x14ac:dyDescent="0.25">
      <c r="A38" s="26" t="s">
        <v>118</v>
      </c>
      <c r="B38" s="26" t="s">
        <v>200</v>
      </c>
      <c r="C38" s="26" t="s">
        <v>190</v>
      </c>
      <c r="D38" s="48">
        <v>0</v>
      </c>
      <c r="E38" s="26" t="s">
        <v>160</v>
      </c>
      <c r="F38" s="26" t="s">
        <v>144</v>
      </c>
      <c r="G38" s="54" t="s">
        <v>47</v>
      </c>
      <c r="H38" s="36">
        <f>SUM(N23)</f>
        <v>15428</v>
      </c>
      <c r="I38" s="36">
        <f>SUM(O23)</f>
        <v>51428</v>
      </c>
    </row>
  </sheetData>
  <mergeCells count="67">
    <mergeCell ref="F21:F24"/>
    <mergeCell ref="A17:A24"/>
    <mergeCell ref="B17:B20"/>
    <mergeCell ref="C17:C20"/>
    <mergeCell ref="D17:D20"/>
    <mergeCell ref="E17:E20"/>
    <mergeCell ref="F17:F20"/>
    <mergeCell ref="B21:B24"/>
    <mergeCell ref="C21:C24"/>
    <mergeCell ref="D21:D24"/>
    <mergeCell ref="E21:E24"/>
    <mergeCell ref="R14:R15"/>
    <mergeCell ref="G14:G15"/>
    <mergeCell ref="H14:H15"/>
    <mergeCell ref="I14:I15"/>
    <mergeCell ref="J14:J15"/>
    <mergeCell ref="K14:K15"/>
    <mergeCell ref="L14:L15"/>
    <mergeCell ref="M14:M15"/>
    <mergeCell ref="N14:N15"/>
    <mergeCell ref="O14:O15"/>
    <mergeCell ref="P14:P15"/>
    <mergeCell ref="Q14:Q15"/>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C8:C12"/>
    <mergeCell ref="D8:D12"/>
    <mergeCell ref="E8:E12"/>
    <mergeCell ref="F8:F12"/>
    <mergeCell ref="G8:G10"/>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O3:O4"/>
    <mergeCell ref="A1:F1"/>
    <mergeCell ref="A3:A4"/>
    <mergeCell ref="B3:B4"/>
    <mergeCell ref="C3:E3"/>
    <mergeCell ref="F3:F4"/>
    <mergeCell ref="G3:H3"/>
  </mergeCells>
  <phoneticPr fontId="26"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8"/>
  <sheetViews>
    <sheetView topLeftCell="D22" zoomScale="80" zoomScaleNormal="80" workbookViewId="0">
      <selection activeCell="P26" sqref="P26"/>
    </sheetView>
  </sheetViews>
  <sheetFormatPr defaultRowHeight="15" x14ac:dyDescent="0.25"/>
  <cols>
    <col min="1" max="1" width="29.85546875" style="31" customWidth="1"/>
    <col min="2" max="2" width="29" style="43" customWidth="1"/>
    <col min="3" max="3" width="20.85546875" style="31" customWidth="1"/>
    <col min="4" max="4" width="21.5703125" style="43" customWidth="1"/>
    <col min="5" max="5" width="22.85546875" style="45" customWidth="1"/>
    <col min="6" max="6" width="14.42578125" style="31" customWidth="1"/>
    <col min="7" max="7" width="10.42578125" style="31" customWidth="1"/>
    <col min="8" max="8" width="20.85546875" style="31" customWidth="1"/>
    <col min="9" max="9" width="15.85546875" style="31" customWidth="1"/>
    <col min="10" max="10" width="17.85546875" style="31" customWidth="1"/>
    <col min="11" max="11" width="24.42578125" style="31" customWidth="1"/>
    <col min="12" max="12" width="14.42578125" style="31" customWidth="1"/>
    <col min="13" max="13" width="14.85546875" style="31" customWidth="1"/>
    <col min="14" max="14" width="12.42578125" style="31" customWidth="1"/>
    <col min="15" max="15" width="12" style="31" bestFit="1" customWidth="1"/>
    <col min="16" max="16" width="12.5703125" style="32" customWidth="1"/>
    <col min="17" max="17" width="0.140625" style="21" customWidth="1"/>
    <col min="18" max="18" width="84.42578125" style="21" customWidth="1"/>
  </cols>
  <sheetData>
    <row r="1" spans="1:18" ht="33.950000000000003" customHeight="1" x14ac:dyDescent="0.25">
      <c r="A1" s="30" t="s">
        <v>19</v>
      </c>
      <c r="B1" s="30"/>
      <c r="C1" s="30"/>
      <c r="D1" s="30"/>
      <c r="E1" s="157"/>
    </row>
    <row r="2" spans="1:18" ht="15.75" thickBot="1" x14ac:dyDescent="0.3"/>
    <row r="3" spans="1:18" ht="15" customHeight="1" x14ac:dyDescent="0.25">
      <c r="A3" s="564" t="s">
        <v>0</v>
      </c>
      <c r="B3" s="566" t="s">
        <v>48</v>
      </c>
      <c r="C3" s="568" t="s">
        <v>2</v>
      </c>
      <c r="D3" s="569"/>
      <c r="E3" s="569"/>
      <c r="F3" s="568" t="s">
        <v>20</v>
      </c>
      <c r="G3" s="647" t="s">
        <v>3</v>
      </c>
      <c r="H3" s="647"/>
      <c r="I3" s="561" t="s">
        <v>21</v>
      </c>
      <c r="J3" s="589" t="s">
        <v>22</v>
      </c>
      <c r="K3" s="561" t="s">
        <v>4</v>
      </c>
      <c r="L3" s="569" t="s">
        <v>5</v>
      </c>
      <c r="M3" s="591"/>
      <c r="N3" s="561" t="s">
        <v>6</v>
      </c>
      <c r="O3" s="561" t="s">
        <v>7</v>
      </c>
      <c r="P3" s="561" t="s">
        <v>8</v>
      </c>
      <c r="Q3" s="573" t="s">
        <v>9</v>
      </c>
      <c r="R3" s="575" t="s">
        <v>61</v>
      </c>
    </row>
    <row r="4" spans="1:18" ht="54.75" customHeight="1" x14ac:dyDescent="0.25">
      <c r="A4" s="565"/>
      <c r="B4" s="567"/>
      <c r="C4" s="72" t="s">
        <v>10</v>
      </c>
      <c r="D4" s="44" t="s">
        <v>49</v>
      </c>
      <c r="E4" s="158" t="s">
        <v>46</v>
      </c>
      <c r="F4" s="570"/>
      <c r="G4" s="72" t="s">
        <v>12</v>
      </c>
      <c r="H4" s="72" t="s">
        <v>13</v>
      </c>
      <c r="I4" s="562"/>
      <c r="J4" s="590"/>
      <c r="K4" s="562"/>
      <c r="L4" s="50" t="s">
        <v>14</v>
      </c>
      <c r="M4" s="50" t="s">
        <v>15</v>
      </c>
      <c r="N4" s="562"/>
      <c r="O4" s="562"/>
      <c r="P4" s="562"/>
      <c r="Q4" s="574"/>
      <c r="R4" s="575"/>
    </row>
    <row r="5" spans="1:18" ht="106.5" customHeight="1" x14ac:dyDescent="0.25">
      <c r="A5" s="596" t="s">
        <v>221</v>
      </c>
      <c r="B5" s="626">
        <v>29050000</v>
      </c>
      <c r="C5" s="572" t="s">
        <v>196</v>
      </c>
      <c r="D5" s="626">
        <f>(B5-(B5*0.0411))*0.5/0.5</f>
        <v>27856045</v>
      </c>
      <c r="E5" s="626">
        <f>B5+D5</f>
        <v>56906045</v>
      </c>
      <c r="F5" s="646">
        <f>E5</f>
        <v>56906045</v>
      </c>
      <c r="G5" s="39" t="s">
        <v>25</v>
      </c>
      <c r="H5" s="68" t="s">
        <v>145</v>
      </c>
      <c r="I5" s="41" t="s">
        <v>119</v>
      </c>
      <c r="J5" s="39" t="s">
        <v>120</v>
      </c>
      <c r="K5" s="39" t="s">
        <v>146</v>
      </c>
      <c r="L5" s="62">
        <v>0</v>
      </c>
      <c r="M5" s="62" t="s">
        <v>47</v>
      </c>
      <c r="N5" s="121">
        <v>4620</v>
      </c>
      <c r="O5" s="42">
        <v>15400</v>
      </c>
      <c r="P5" s="24" t="s">
        <v>121</v>
      </c>
      <c r="Q5" s="98" t="s">
        <v>210</v>
      </c>
      <c r="R5" s="67" t="s">
        <v>209</v>
      </c>
    </row>
    <row r="6" spans="1:18" ht="77.25" customHeight="1" x14ac:dyDescent="0.25">
      <c r="A6" s="634"/>
      <c r="B6" s="634"/>
      <c r="C6" s="635"/>
      <c r="D6" s="643"/>
      <c r="E6" s="643"/>
      <c r="F6" s="646"/>
      <c r="G6" s="39" t="s">
        <v>23</v>
      </c>
      <c r="H6" s="68" t="s">
        <v>151</v>
      </c>
      <c r="I6" s="41" t="s">
        <v>119</v>
      </c>
      <c r="J6" s="39" t="s">
        <v>120</v>
      </c>
      <c r="K6" s="41" t="s">
        <v>150</v>
      </c>
      <c r="L6" s="121">
        <v>1020712</v>
      </c>
      <c r="M6" s="26">
        <v>2019</v>
      </c>
      <c r="N6" s="37" t="s">
        <v>37</v>
      </c>
      <c r="O6" s="37">
        <v>321860</v>
      </c>
      <c r="P6" s="24" t="s">
        <v>121</v>
      </c>
      <c r="Q6" s="98" t="s">
        <v>51</v>
      </c>
      <c r="R6" s="103" t="s">
        <v>72</v>
      </c>
    </row>
    <row r="7" spans="1:18" ht="25.5" customHeight="1" x14ac:dyDescent="0.25">
      <c r="A7" s="634"/>
      <c r="B7" s="626">
        <v>53950000</v>
      </c>
      <c r="C7" s="572" t="s">
        <v>196</v>
      </c>
      <c r="D7" s="626">
        <f>(B7-(B7*0.0411))*0.5/0.5</f>
        <v>51732655</v>
      </c>
      <c r="E7" s="626">
        <f>B7+D7</f>
        <v>105682655</v>
      </c>
      <c r="F7" s="645">
        <f>E7</f>
        <v>105682655</v>
      </c>
      <c r="G7" s="596" t="s">
        <v>25</v>
      </c>
      <c r="H7" s="572" t="s">
        <v>145</v>
      </c>
      <c r="I7" s="596" t="s">
        <v>160</v>
      </c>
      <c r="J7" s="596" t="s">
        <v>144</v>
      </c>
      <c r="K7" s="596" t="s">
        <v>146</v>
      </c>
      <c r="L7" s="639">
        <v>0</v>
      </c>
      <c r="M7" s="644" t="s">
        <v>47</v>
      </c>
      <c r="N7" s="639">
        <v>8580</v>
      </c>
      <c r="O7" s="639">
        <v>28600</v>
      </c>
      <c r="P7" s="640" t="s">
        <v>121</v>
      </c>
      <c r="Q7" s="641" t="s">
        <v>211</v>
      </c>
      <c r="R7" s="642" t="s">
        <v>212</v>
      </c>
    </row>
    <row r="8" spans="1:18" ht="89.25" customHeight="1" x14ac:dyDescent="0.25">
      <c r="A8" s="634"/>
      <c r="B8" s="634"/>
      <c r="C8" s="635"/>
      <c r="D8" s="643"/>
      <c r="E8" s="643"/>
      <c r="F8" s="645"/>
      <c r="G8" s="634"/>
      <c r="H8" s="635"/>
      <c r="I8" s="634"/>
      <c r="J8" s="634"/>
      <c r="K8" s="634"/>
      <c r="L8" s="639"/>
      <c r="M8" s="644"/>
      <c r="N8" s="639"/>
      <c r="O8" s="639"/>
      <c r="P8" s="640"/>
      <c r="Q8" s="641"/>
      <c r="R8" s="603"/>
    </row>
    <row r="9" spans="1:18" s="28" customFormat="1" ht="86.25" customHeight="1" thickBot="1" x14ac:dyDescent="0.3">
      <c r="A9" s="634"/>
      <c r="B9" s="634"/>
      <c r="C9" s="635"/>
      <c r="D9" s="643"/>
      <c r="E9" s="643"/>
      <c r="F9" s="645"/>
      <c r="G9" s="39" t="s">
        <v>23</v>
      </c>
      <c r="H9" s="68" t="s">
        <v>151</v>
      </c>
      <c r="I9" s="64" t="s">
        <v>160</v>
      </c>
      <c r="J9" s="39" t="s">
        <v>144</v>
      </c>
      <c r="K9" s="41" t="s">
        <v>150</v>
      </c>
      <c r="L9" s="121">
        <v>1895608</v>
      </c>
      <c r="M9" s="26">
        <v>2019</v>
      </c>
      <c r="N9" s="74" t="s">
        <v>37</v>
      </c>
      <c r="O9" s="37">
        <v>597740</v>
      </c>
      <c r="P9" s="23" t="s">
        <v>121</v>
      </c>
      <c r="Q9" s="94" t="s">
        <v>52</v>
      </c>
      <c r="R9" s="103" t="s">
        <v>62</v>
      </c>
    </row>
    <row r="10" spans="1:18" ht="83.25" customHeight="1" x14ac:dyDescent="0.25">
      <c r="A10" s="596" t="s">
        <v>195</v>
      </c>
      <c r="B10" s="626">
        <v>24800000</v>
      </c>
      <c r="C10" s="572" t="s">
        <v>197</v>
      </c>
      <c r="D10" s="626">
        <f>(B10*0.3)/0.7</f>
        <v>10628571.428571429</v>
      </c>
      <c r="E10" s="626">
        <f>B10+D10</f>
        <v>35428571.428571433</v>
      </c>
      <c r="F10" s="626">
        <f>E10</f>
        <v>35428571.428571433</v>
      </c>
      <c r="G10" s="39" t="s">
        <v>26</v>
      </c>
      <c r="H10" s="68" t="s">
        <v>147</v>
      </c>
      <c r="I10" s="71" t="s">
        <v>119</v>
      </c>
      <c r="J10" s="71" t="s">
        <v>120</v>
      </c>
      <c r="K10" s="33" t="s">
        <v>148</v>
      </c>
      <c r="L10" s="121">
        <v>0</v>
      </c>
      <c r="M10" s="62" t="s">
        <v>47</v>
      </c>
      <c r="N10" s="74">
        <v>10200</v>
      </c>
      <c r="O10" s="37">
        <v>102000</v>
      </c>
      <c r="P10" s="23" t="s">
        <v>121</v>
      </c>
      <c r="Q10" s="70" t="s">
        <v>213</v>
      </c>
      <c r="R10" s="67" t="s">
        <v>74</v>
      </c>
    </row>
    <row r="11" spans="1:18" ht="13.5" customHeight="1" x14ac:dyDescent="0.25">
      <c r="A11" s="596"/>
      <c r="B11" s="596"/>
      <c r="C11" s="572"/>
      <c r="D11" s="643"/>
      <c r="E11" s="634"/>
      <c r="F11" s="634"/>
      <c r="G11" s="596" t="s">
        <v>23</v>
      </c>
      <c r="H11" s="637" t="s">
        <v>151</v>
      </c>
      <c r="I11" s="596" t="s">
        <v>119</v>
      </c>
      <c r="J11" s="596" t="s">
        <v>120</v>
      </c>
      <c r="K11" s="596" t="s">
        <v>150</v>
      </c>
      <c r="L11" s="639">
        <v>22440</v>
      </c>
      <c r="M11" s="611">
        <v>2019</v>
      </c>
      <c r="N11" s="632" t="s">
        <v>37</v>
      </c>
      <c r="O11" s="632">
        <v>15708</v>
      </c>
      <c r="P11" s="633" t="s">
        <v>121</v>
      </c>
      <c r="Q11" s="635" t="s">
        <v>70</v>
      </c>
      <c r="R11" s="636" t="s">
        <v>73</v>
      </c>
    </row>
    <row r="12" spans="1:18" ht="84.75" customHeight="1" x14ac:dyDescent="0.25">
      <c r="A12" s="596"/>
      <c r="B12" s="596"/>
      <c r="C12" s="572"/>
      <c r="D12" s="643"/>
      <c r="E12" s="634"/>
      <c r="F12" s="634"/>
      <c r="G12" s="634"/>
      <c r="H12" s="638"/>
      <c r="I12" s="596"/>
      <c r="J12" s="634"/>
      <c r="K12" s="634"/>
      <c r="L12" s="639"/>
      <c r="M12" s="611"/>
      <c r="N12" s="632"/>
      <c r="O12" s="632"/>
      <c r="P12" s="634"/>
      <c r="Q12" s="635"/>
      <c r="R12" s="636"/>
    </row>
    <row r="13" spans="1:18" ht="48.75" customHeight="1" x14ac:dyDescent="0.25">
      <c r="A13" s="596"/>
      <c r="B13" s="596"/>
      <c r="C13" s="572"/>
      <c r="D13" s="643"/>
      <c r="E13" s="634"/>
      <c r="F13" s="634"/>
      <c r="G13" s="39" t="s">
        <v>36</v>
      </c>
      <c r="H13" s="68" t="s">
        <v>154</v>
      </c>
      <c r="I13" s="41" t="s">
        <v>119</v>
      </c>
      <c r="J13" s="39" t="s">
        <v>120</v>
      </c>
      <c r="K13" s="41" t="s">
        <v>131</v>
      </c>
      <c r="L13" s="121">
        <v>2244</v>
      </c>
      <c r="M13" s="26">
        <v>2019</v>
      </c>
      <c r="N13" s="74" t="s">
        <v>37</v>
      </c>
      <c r="O13" s="37">
        <v>1571</v>
      </c>
      <c r="P13" s="73" t="s">
        <v>121</v>
      </c>
      <c r="Q13" s="98" t="s">
        <v>53</v>
      </c>
      <c r="R13" s="104" t="s">
        <v>78</v>
      </c>
    </row>
    <row r="14" spans="1:18" ht="409.5" x14ac:dyDescent="0.25">
      <c r="A14" s="634"/>
      <c r="B14" s="626">
        <v>37200000</v>
      </c>
      <c r="C14" s="572" t="s">
        <v>197</v>
      </c>
      <c r="D14" s="626">
        <f>(B14*0.3)/0.7</f>
        <v>15942857.142857144</v>
      </c>
      <c r="E14" s="628">
        <f>B14+D14</f>
        <v>53142857.142857142</v>
      </c>
      <c r="F14" s="628">
        <f>E14</f>
        <v>53142857.142857142</v>
      </c>
      <c r="G14" s="39" t="s">
        <v>26</v>
      </c>
      <c r="H14" s="68" t="s">
        <v>147</v>
      </c>
      <c r="I14" s="64" t="s">
        <v>160</v>
      </c>
      <c r="J14" s="41" t="s">
        <v>144</v>
      </c>
      <c r="K14" s="39" t="s">
        <v>148</v>
      </c>
      <c r="L14" s="121">
        <v>0</v>
      </c>
      <c r="M14" s="62" t="s">
        <v>47</v>
      </c>
      <c r="N14" s="74">
        <v>15500</v>
      </c>
      <c r="O14" s="37">
        <v>155000</v>
      </c>
      <c r="P14" s="73" t="s">
        <v>121</v>
      </c>
      <c r="Q14" s="96" t="s">
        <v>54</v>
      </c>
      <c r="R14" s="67" t="s">
        <v>75</v>
      </c>
    </row>
    <row r="15" spans="1:18" ht="85.5" customHeight="1" x14ac:dyDescent="0.25">
      <c r="A15" s="634"/>
      <c r="B15" s="626"/>
      <c r="C15" s="572"/>
      <c r="D15" s="626"/>
      <c r="E15" s="628"/>
      <c r="F15" s="629"/>
      <c r="G15" s="39" t="s">
        <v>23</v>
      </c>
      <c r="H15" s="68" t="s">
        <v>151</v>
      </c>
      <c r="I15" s="64" t="s">
        <v>160</v>
      </c>
      <c r="J15" s="41" t="s">
        <v>144</v>
      </c>
      <c r="K15" s="41" t="s">
        <v>150</v>
      </c>
      <c r="L15" s="121">
        <v>34100</v>
      </c>
      <c r="M15" s="23">
        <v>2019</v>
      </c>
      <c r="N15" s="74" t="s">
        <v>37</v>
      </c>
      <c r="O15" s="37">
        <v>23870</v>
      </c>
      <c r="P15" s="73" t="s">
        <v>121</v>
      </c>
      <c r="Q15" s="98" t="s">
        <v>55</v>
      </c>
      <c r="R15" s="103" t="s">
        <v>76</v>
      </c>
    </row>
    <row r="16" spans="1:18" s="28" customFormat="1" ht="60" customHeight="1" thickBot="1" x14ac:dyDescent="0.3">
      <c r="A16" s="634"/>
      <c r="B16" s="626"/>
      <c r="C16" s="572"/>
      <c r="D16" s="626"/>
      <c r="E16" s="628"/>
      <c r="F16" s="629"/>
      <c r="G16" s="39" t="s">
        <v>41</v>
      </c>
      <c r="H16" s="68" t="s">
        <v>154</v>
      </c>
      <c r="I16" s="64" t="s">
        <v>160</v>
      </c>
      <c r="J16" s="41" t="s">
        <v>144</v>
      </c>
      <c r="K16" s="41" t="s">
        <v>131</v>
      </c>
      <c r="L16" s="121">
        <v>3410</v>
      </c>
      <c r="M16" s="23">
        <v>2019</v>
      </c>
      <c r="N16" s="37" t="s">
        <v>37</v>
      </c>
      <c r="O16" s="37">
        <v>2387</v>
      </c>
      <c r="P16" s="73" t="s">
        <v>121</v>
      </c>
      <c r="Q16" s="99" t="s">
        <v>77</v>
      </c>
      <c r="R16" s="103" t="s">
        <v>79</v>
      </c>
    </row>
    <row r="17" spans="1:18" ht="62.25" customHeight="1" x14ac:dyDescent="0.25">
      <c r="A17" s="600" t="s">
        <v>194</v>
      </c>
      <c r="B17" s="581">
        <v>3493987.8</v>
      </c>
      <c r="C17" s="584" t="s">
        <v>193</v>
      </c>
      <c r="D17" s="581">
        <f>(B17*0.3)/0.7</f>
        <v>1497423.3428571427</v>
      </c>
      <c r="E17" s="624">
        <f>D17+B17</f>
        <v>4991411.1428571427</v>
      </c>
      <c r="F17" s="630">
        <f>E17</f>
        <v>4991411.1428571427</v>
      </c>
      <c r="G17" s="33" t="s">
        <v>23</v>
      </c>
      <c r="H17" s="34" t="s">
        <v>151</v>
      </c>
      <c r="I17" s="71" t="s">
        <v>119</v>
      </c>
      <c r="J17" s="35" t="s">
        <v>120</v>
      </c>
      <c r="K17" s="41" t="s">
        <v>150</v>
      </c>
      <c r="L17" s="121">
        <v>7000</v>
      </c>
      <c r="M17" s="107">
        <v>2019</v>
      </c>
      <c r="N17" s="74" t="s">
        <v>37</v>
      </c>
      <c r="O17" s="74">
        <v>5600</v>
      </c>
      <c r="P17" s="73" t="s">
        <v>121</v>
      </c>
      <c r="Q17" s="97" t="s">
        <v>56</v>
      </c>
      <c r="R17" s="67" t="s">
        <v>81</v>
      </c>
    </row>
    <row r="18" spans="1:18" ht="129" customHeight="1" x14ac:dyDescent="0.25">
      <c r="A18" s="596"/>
      <c r="B18" s="626"/>
      <c r="C18" s="572"/>
      <c r="D18" s="626"/>
      <c r="E18" s="628"/>
      <c r="F18" s="629"/>
      <c r="G18" s="26" t="s">
        <v>118</v>
      </c>
      <c r="H18" s="118" t="s">
        <v>153</v>
      </c>
      <c r="I18" s="26" t="s">
        <v>119</v>
      </c>
      <c r="J18" s="119" t="s">
        <v>120</v>
      </c>
      <c r="K18" s="54" t="s">
        <v>152</v>
      </c>
      <c r="L18" s="121">
        <v>0</v>
      </c>
      <c r="M18" s="62" t="s">
        <v>47</v>
      </c>
      <c r="N18" s="37">
        <v>14</v>
      </c>
      <c r="O18" s="74">
        <v>70</v>
      </c>
      <c r="P18" s="73" t="s">
        <v>121</v>
      </c>
      <c r="Q18" s="100" t="s">
        <v>57</v>
      </c>
      <c r="R18" s="103" t="s">
        <v>82</v>
      </c>
    </row>
    <row r="19" spans="1:18" ht="60" customHeight="1" x14ac:dyDescent="0.25">
      <c r="A19" s="596"/>
      <c r="B19" s="626">
        <v>6478246.5</v>
      </c>
      <c r="C19" s="584" t="s">
        <v>193</v>
      </c>
      <c r="D19" s="626">
        <f>(B19*0.3)/0.7</f>
        <v>2776391.3571428573</v>
      </c>
      <c r="E19" s="628">
        <f>D19+B19</f>
        <v>9254637.8571428582</v>
      </c>
      <c r="F19" s="630">
        <f>E19</f>
        <v>9254637.8571428582</v>
      </c>
      <c r="G19" s="54" t="s">
        <v>23</v>
      </c>
      <c r="H19" s="34" t="s">
        <v>151</v>
      </c>
      <c r="I19" s="82" t="s">
        <v>160</v>
      </c>
      <c r="J19" s="119" t="s">
        <v>144</v>
      </c>
      <c r="K19" s="26" t="s">
        <v>150</v>
      </c>
      <c r="L19" s="48">
        <v>12900</v>
      </c>
      <c r="M19" s="26">
        <v>2019</v>
      </c>
      <c r="N19" s="36" t="s">
        <v>37</v>
      </c>
      <c r="O19" s="49">
        <v>10320</v>
      </c>
      <c r="P19" s="73" t="s">
        <v>121</v>
      </c>
      <c r="Q19" s="100" t="s">
        <v>50</v>
      </c>
      <c r="R19" s="67" t="s">
        <v>80</v>
      </c>
    </row>
    <row r="20" spans="1:18" ht="102.75" customHeight="1" x14ac:dyDescent="0.25">
      <c r="A20" s="596"/>
      <c r="B20" s="626"/>
      <c r="C20" s="572"/>
      <c r="D20" s="626"/>
      <c r="E20" s="628"/>
      <c r="F20" s="629"/>
      <c r="G20" s="26" t="s">
        <v>118</v>
      </c>
      <c r="H20" s="118" t="s">
        <v>153</v>
      </c>
      <c r="I20" s="82" t="s">
        <v>160</v>
      </c>
      <c r="J20" s="119" t="s">
        <v>144</v>
      </c>
      <c r="K20" s="54" t="s">
        <v>152</v>
      </c>
      <c r="L20" s="48">
        <v>0</v>
      </c>
      <c r="M20" s="54" t="s">
        <v>47</v>
      </c>
      <c r="N20" s="36">
        <v>25</v>
      </c>
      <c r="O20" s="49">
        <v>129</v>
      </c>
      <c r="P20" s="73" t="s">
        <v>121</v>
      </c>
      <c r="Q20" s="100" t="s">
        <v>71</v>
      </c>
      <c r="R20" s="103" t="s">
        <v>83</v>
      </c>
    </row>
    <row r="21" spans="1:18" ht="59.25" customHeight="1" x14ac:dyDescent="0.25">
      <c r="A21" s="596"/>
      <c r="B21" s="626">
        <v>5235423</v>
      </c>
      <c r="C21" s="572" t="s">
        <v>192</v>
      </c>
      <c r="D21" s="626">
        <f>B21</f>
        <v>5235423</v>
      </c>
      <c r="E21" s="628">
        <f>D21+B21</f>
        <v>10470846</v>
      </c>
      <c r="F21" s="630">
        <f>E21</f>
        <v>10470846</v>
      </c>
      <c r="G21" s="54" t="s">
        <v>23</v>
      </c>
      <c r="H21" s="34" t="s">
        <v>151</v>
      </c>
      <c r="I21" s="26" t="s">
        <v>119</v>
      </c>
      <c r="J21" s="119" t="s">
        <v>120</v>
      </c>
      <c r="K21" s="56" t="s">
        <v>150</v>
      </c>
      <c r="L21" s="160">
        <v>26000</v>
      </c>
      <c r="M21" s="26">
        <v>2019</v>
      </c>
      <c r="N21" s="36" t="s">
        <v>37</v>
      </c>
      <c r="O21" s="49">
        <v>20800</v>
      </c>
      <c r="P21" s="73" t="s">
        <v>121</v>
      </c>
      <c r="Q21" s="105" t="s">
        <v>58</v>
      </c>
      <c r="R21" s="67" t="s">
        <v>89</v>
      </c>
    </row>
    <row r="22" spans="1:18" ht="93.75" customHeight="1" x14ac:dyDescent="0.25">
      <c r="A22" s="596"/>
      <c r="B22" s="626"/>
      <c r="C22" s="572"/>
      <c r="D22" s="626"/>
      <c r="E22" s="628"/>
      <c r="F22" s="629"/>
      <c r="G22" s="26" t="s">
        <v>118</v>
      </c>
      <c r="H22" s="118" t="s">
        <v>153</v>
      </c>
      <c r="I22" s="26" t="s">
        <v>119</v>
      </c>
      <c r="J22" s="119" t="s">
        <v>120</v>
      </c>
      <c r="K22" s="54" t="s">
        <v>152</v>
      </c>
      <c r="L22" s="48">
        <v>0</v>
      </c>
      <c r="M22" s="54" t="s">
        <v>47</v>
      </c>
      <c r="N22" s="36">
        <v>5</v>
      </c>
      <c r="O22" s="49">
        <v>26</v>
      </c>
      <c r="P22" s="73" t="s">
        <v>121</v>
      </c>
      <c r="Q22" s="67" t="s">
        <v>59</v>
      </c>
      <c r="R22" s="67" t="s">
        <v>84</v>
      </c>
    </row>
    <row r="23" spans="1:18" ht="69.75" customHeight="1" x14ac:dyDescent="0.25">
      <c r="A23" s="596"/>
      <c r="B23" s="626">
        <v>9722928.4000000004</v>
      </c>
      <c r="C23" s="572" t="s">
        <v>192</v>
      </c>
      <c r="D23" s="626">
        <f>B23</f>
        <v>9722928.4000000004</v>
      </c>
      <c r="E23" s="628">
        <f>D23+B23</f>
        <v>19445856.800000001</v>
      </c>
      <c r="F23" s="630">
        <f>E23</f>
        <v>19445856.800000001</v>
      </c>
      <c r="G23" s="54" t="s">
        <v>23</v>
      </c>
      <c r="H23" s="68" t="s">
        <v>151</v>
      </c>
      <c r="I23" s="64" t="s">
        <v>160</v>
      </c>
      <c r="J23" s="119" t="s">
        <v>144</v>
      </c>
      <c r="K23" s="41" t="s">
        <v>150</v>
      </c>
      <c r="L23" s="48">
        <v>48000</v>
      </c>
      <c r="M23" s="26">
        <v>2019</v>
      </c>
      <c r="N23" s="36" t="s">
        <v>37</v>
      </c>
      <c r="O23" s="49">
        <v>38400</v>
      </c>
      <c r="P23" s="73" t="s">
        <v>121</v>
      </c>
      <c r="Q23" s="67" t="s">
        <v>69</v>
      </c>
      <c r="R23" s="67" t="s">
        <v>68</v>
      </c>
    </row>
    <row r="24" spans="1:18" ht="107.25" customHeight="1" x14ac:dyDescent="0.25">
      <c r="A24" s="576"/>
      <c r="B24" s="579"/>
      <c r="C24" s="572"/>
      <c r="D24" s="579"/>
      <c r="E24" s="622"/>
      <c r="F24" s="631"/>
      <c r="G24" s="26" t="s">
        <v>118</v>
      </c>
      <c r="H24" s="118" t="s">
        <v>153</v>
      </c>
      <c r="I24" s="64" t="s">
        <v>160</v>
      </c>
      <c r="J24" s="119" t="s">
        <v>144</v>
      </c>
      <c r="K24" s="54" t="s">
        <v>152</v>
      </c>
      <c r="L24" s="48">
        <v>0</v>
      </c>
      <c r="M24" s="54" t="s">
        <v>47</v>
      </c>
      <c r="N24" s="36">
        <v>9</v>
      </c>
      <c r="O24" s="49">
        <v>48</v>
      </c>
      <c r="P24" s="73" t="s">
        <v>121</v>
      </c>
      <c r="Q24" s="67" t="s">
        <v>60</v>
      </c>
      <c r="R24" s="94" t="s">
        <v>88</v>
      </c>
    </row>
    <row r="25" spans="1:18" ht="246" customHeight="1" x14ac:dyDescent="0.25">
      <c r="A25" s="596" t="s">
        <v>223</v>
      </c>
      <c r="B25" s="626">
        <v>13456616.1</v>
      </c>
      <c r="C25" s="572" t="s">
        <v>191</v>
      </c>
      <c r="D25" s="626">
        <f>B25</f>
        <v>13456616.1</v>
      </c>
      <c r="E25" s="626">
        <f>B25+D25</f>
        <v>26913232.199999999</v>
      </c>
      <c r="F25" s="626">
        <f>E25</f>
        <v>26913232.199999999</v>
      </c>
      <c r="G25" s="39" t="s">
        <v>23</v>
      </c>
      <c r="H25" s="69" t="s">
        <v>151</v>
      </c>
      <c r="I25" s="41" t="s">
        <v>119</v>
      </c>
      <c r="J25" s="41" t="s">
        <v>120</v>
      </c>
      <c r="K25" s="41" t="s">
        <v>150</v>
      </c>
      <c r="L25" s="121">
        <v>1591050</v>
      </c>
      <c r="M25" s="107">
        <v>2019</v>
      </c>
      <c r="N25" s="37" t="s">
        <v>37</v>
      </c>
      <c r="O25" s="74">
        <v>1572300</v>
      </c>
      <c r="P25" s="73" t="s">
        <v>121</v>
      </c>
      <c r="Q25" s="94" t="s">
        <v>67</v>
      </c>
      <c r="R25" s="67" t="s">
        <v>91</v>
      </c>
    </row>
    <row r="26" spans="1:18" ht="65.25" customHeight="1" x14ac:dyDescent="0.25">
      <c r="A26" s="596"/>
      <c r="B26" s="626"/>
      <c r="C26" s="572"/>
      <c r="D26" s="626"/>
      <c r="E26" s="626"/>
      <c r="F26" s="626"/>
      <c r="G26" s="39" t="s">
        <v>27</v>
      </c>
      <c r="H26" s="69" t="s">
        <v>149</v>
      </c>
      <c r="I26" s="41" t="s">
        <v>119</v>
      </c>
      <c r="J26" s="41" t="s">
        <v>120</v>
      </c>
      <c r="K26" s="33" t="s">
        <v>32</v>
      </c>
      <c r="L26" s="120">
        <v>0</v>
      </c>
      <c r="M26" s="62" t="s">
        <v>47</v>
      </c>
      <c r="N26" s="37">
        <v>9</v>
      </c>
      <c r="O26" s="74">
        <v>30</v>
      </c>
      <c r="P26" s="73" t="s">
        <v>121</v>
      </c>
      <c r="Q26" s="101" t="s">
        <v>66</v>
      </c>
      <c r="R26" s="102" t="s">
        <v>90</v>
      </c>
    </row>
    <row r="27" spans="1:18" ht="154.5" customHeight="1" x14ac:dyDescent="0.25">
      <c r="A27" s="596"/>
      <c r="B27" s="626"/>
      <c r="C27" s="572"/>
      <c r="D27" s="626"/>
      <c r="E27" s="626"/>
      <c r="F27" s="626"/>
      <c r="G27" s="26" t="s">
        <v>118</v>
      </c>
      <c r="H27" s="159" t="s">
        <v>200</v>
      </c>
      <c r="I27" s="152" t="s">
        <v>119</v>
      </c>
      <c r="J27" s="152" t="s">
        <v>120</v>
      </c>
      <c r="K27" s="153" t="s">
        <v>34</v>
      </c>
      <c r="L27" s="154">
        <v>0</v>
      </c>
      <c r="M27" s="76" t="s">
        <v>47</v>
      </c>
      <c r="N27" s="154">
        <v>21525</v>
      </c>
      <c r="O27" s="154">
        <v>71750</v>
      </c>
      <c r="P27" s="155" t="s">
        <v>121</v>
      </c>
      <c r="Q27" s="156" t="s">
        <v>45</v>
      </c>
      <c r="R27" s="67" t="s">
        <v>86</v>
      </c>
    </row>
    <row r="28" spans="1:18" ht="243" customHeight="1" x14ac:dyDescent="0.25">
      <c r="A28" s="596"/>
      <c r="B28" s="626">
        <v>13456617.1</v>
      </c>
      <c r="C28" s="572" t="s">
        <v>191</v>
      </c>
      <c r="D28" s="626">
        <f>B28</f>
        <v>13456617.1</v>
      </c>
      <c r="E28" s="626">
        <f>B28+D28</f>
        <v>26913234.199999999</v>
      </c>
      <c r="F28" s="628">
        <f>E28</f>
        <v>26913234.199999999</v>
      </c>
      <c r="G28" s="39" t="s">
        <v>23</v>
      </c>
      <c r="H28" s="69" t="s">
        <v>151</v>
      </c>
      <c r="I28" s="41" t="s">
        <v>160</v>
      </c>
      <c r="J28" s="23" t="s">
        <v>144</v>
      </c>
      <c r="K28" s="41" t="s">
        <v>150</v>
      </c>
      <c r="L28" s="121">
        <v>1591050</v>
      </c>
      <c r="M28" s="107">
        <v>2019</v>
      </c>
      <c r="N28" s="37" t="s">
        <v>37</v>
      </c>
      <c r="O28" s="74">
        <v>1572300</v>
      </c>
      <c r="P28" s="24" t="s">
        <v>121</v>
      </c>
      <c r="Q28" s="94" t="s">
        <v>87</v>
      </c>
      <c r="R28" s="67" t="s">
        <v>92</v>
      </c>
    </row>
    <row r="29" spans="1:18" ht="92.25" customHeight="1" x14ac:dyDescent="0.25">
      <c r="A29" s="596"/>
      <c r="B29" s="626"/>
      <c r="C29" s="572"/>
      <c r="D29" s="626"/>
      <c r="E29" s="626"/>
      <c r="F29" s="629"/>
      <c r="G29" s="54" t="s">
        <v>27</v>
      </c>
      <c r="H29" s="90" t="s">
        <v>149</v>
      </c>
      <c r="I29" s="26" t="s">
        <v>160</v>
      </c>
      <c r="J29" s="26" t="s">
        <v>144</v>
      </c>
      <c r="K29" s="26" t="s">
        <v>32</v>
      </c>
      <c r="L29" s="48">
        <v>0</v>
      </c>
      <c r="M29" s="54" t="s">
        <v>47</v>
      </c>
      <c r="N29" s="36">
        <v>9</v>
      </c>
      <c r="O29" s="49">
        <v>30</v>
      </c>
      <c r="P29" s="73" t="s">
        <v>121</v>
      </c>
      <c r="Q29" s="95" t="s">
        <v>65</v>
      </c>
      <c r="R29" s="103" t="s">
        <v>63</v>
      </c>
    </row>
    <row r="30" spans="1:18" ht="137.25" customHeight="1" x14ac:dyDescent="0.25">
      <c r="A30" s="596"/>
      <c r="B30" s="626"/>
      <c r="C30" s="572"/>
      <c r="D30" s="626"/>
      <c r="E30" s="626"/>
      <c r="F30" s="629"/>
      <c r="G30" s="26" t="s">
        <v>118</v>
      </c>
      <c r="H30" s="90" t="s">
        <v>200</v>
      </c>
      <c r="I30" s="26" t="s">
        <v>160</v>
      </c>
      <c r="J30" s="54" t="s">
        <v>144</v>
      </c>
      <c r="K30" s="26" t="s">
        <v>190</v>
      </c>
      <c r="L30" s="151">
        <v>0</v>
      </c>
      <c r="M30" s="26" t="s">
        <v>47</v>
      </c>
      <c r="N30" s="151">
        <v>21530</v>
      </c>
      <c r="O30" s="151">
        <v>71768</v>
      </c>
      <c r="P30" s="73" t="s">
        <v>121</v>
      </c>
      <c r="Q30" s="25" t="s">
        <v>64</v>
      </c>
      <c r="R30" s="67" t="s">
        <v>85</v>
      </c>
    </row>
    <row r="31" spans="1:18" ht="75" customHeight="1" x14ac:dyDescent="0.25">
      <c r="A31" s="45"/>
      <c r="C31" s="32"/>
    </row>
    <row r="32" spans="1:18" x14ac:dyDescent="0.25">
      <c r="A32" s="45"/>
      <c r="C32" s="32"/>
    </row>
    <row r="33" spans="1:17" x14ac:dyDescent="0.25">
      <c r="M33" s="38"/>
      <c r="Q33" s="29"/>
    </row>
    <row r="34" spans="1:17" ht="44.25" customHeight="1" x14ac:dyDescent="0.25">
      <c r="A34" s="72" t="s">
        <v>143</v>
      </c>
      <c r="B34" s="40" t="s">
        <v>142</v>
      </c>
      <c r="C34" s="72" t="s">
        <v>116</v>
      </c>
      <c r="D34" s="72" t="s">
        <v>140</v>
      </c>
      <c r="E34" s="72" t="s">
        <v>112</v>
      </c>
      <c r="F34" s="72" t="s">
        <v>115</v>
      </c>
      <c r="G34" s="72" t="s">
        <v>141</v>
      </c>
      <c r="H34" s="72" t="s">
        <v>124</v>
      </c>
      <c r="I34" s="72" t="s">
        <v>123</v>
      </c>
    </row>
    <row r="35" spans="1:17" ht="36" customHeight="1" x14ac:dyDescent="0.25">
      <c r="A35" s="41" t="s">
        <v>25</v>
      </c>
      <c r="B35" s="69" t="s">
        <v>145</v>
      </c>
      <c r="C35" s="39" t="s">
        <v>146</v>
      </c>
      <c r="D35" s="51">
        <v>0</v>
      </c>
      <c r="E35" s="26" t="s">
        <v>199</v>
      </c>
      <c r="F35" s="39" t="s">
        <v>120</v>
      </c>
      <c r="G35" s="39"/>
      <c r="H35" s="52">
        <f>SUM(N5)</f>
        <v>4620</v>
      </c>
      <c r="I35" s="52">
        <f>SUM(O5)</f>
        <v>15400</v>
      </c>
    </row>
    <row r="36" spans="1:17" ht="36.75" customHeight="1" x14ac:dyDescent="0.25">
      <c r="A36" s="41" t="s">
        <v>25</v>
      </c>
      <c r="B36" s="69" t="s">
        <v>145</v>
      </c>
      <c r="C36" s="39" t="s">
        <v>146</v>
      </c>
      <c r="D36" s="51">
        <v>0</v>
      </c>
      <c r="E36" s="41" t="s">
        <v>17</v>
      </c>
      <c r="F36" s="39" t="s">
        <v>144</v>
      </c>
      <c r="G36" s="39"/>
      <c r="H36" s="52">
        <f>N7</f>
        <v>8580</v>
      </c>
      <c r="I36" s="52">
        <f>O7</f>
        <v>28600</v>
      </c>
    </row>
    <row r="37" spans="1:17" ht="41.25" customHeight="1" x14ac:dyDescent="0.25">
      <c r="A37" s="41" t="s">
        <v>40</v>
      </c>
      <c r="B37" s="68" t="s">
        <v>147</v>
      </c>
      <c r="C37" s="39" t="s">
        <v>35</v>
      </c>
      <c r="D37" s="51">
        <v>0</v>
      </c>
      <c r="E37" s="26" t="s">
        <v>199</v>
      </c>
      <c r="F37" s="39" t="s">
        <v>120</v>
      </c>
      <c r="G37" s="39"/>
      <c r="H37" s="52">
        <f>SUM(N10)</f>
        <v>10200</v>
      </c>
      <c r="I37" s="52">
        <f>SUM(O10)</f>
        <v>102000</v>
      </c>
    </row>
    <row r="38" spans="1:17" ht="41.25" customHeight="1" x14ac:dyDescent="0.25">
      <c r="A38" s="41" t="s">
        <v>40</v>
      </c>
      <c r="B38" s="68" t="s">
        <v>147</v>
      </c>
      <c r="C38" s="39" t="s">
        <v>35</v>
      </c>
      <c r="D38" s="51">
        <v>0</v>
      </c>
      <c r="E38" s="82" t="s">
        <v>160</v>
      </c>
      <c r="F38" s="39" t="s">
        <v>144</v>
      </c>
      <c r="G38" s="39"/>
      <c r="H38" s="52">
        <f>SUM(N14)</f>
        <v>15500</v>
      </c>
      <c r="I38" s="52">
        <f>SUM(O14)</f>
        <v>155000</v>
      </c>
    </row>
    <row r="39" spans="1:17" ht="45.75" customHeight="1" x14ac:dyDescent="0.25">
      <c r="A39" s="41" t="s">
        <v>27</v>
      </c>
      <c r="B39" s="68" t="s">
        <v>149</v>
      </c>
      <c r="C39" s="41" t="s">
        <v>32</v>
      </c>
      <c r="D39" s="51">
        <v>0</v>
      </c>
      <c r="E39" s="26" t="s">
        <v>199</v>
      </c>
      <c r="F39" s="39" t="s">
        <v>120</v>
      </c>
      <c r="G39" s="39"/>
      <c r="H39" s="36">
        <f>SUM(N26)</f>
        <v>9</v>
      </c>
      <c r="I39" s="36">
        <f>SUM(O26)</f>
        <v>30</v>
      </c>
    </row>
    <row r="40" spans="1:17" ht="49.5" customHeight="1" x14ac:dyDescent="0.25">
      <c r="A40" s="41" t="s">
        <v>27</v>
      </c>
      <c r="B40" s="68" t="s">
        <v>149</v>
      </c>
      <c r="C40" s="41" t="s">
        <v>32</v>
      </c>
      <c r="D40" s="51">
        <v>0</v>
      </c>
      <c r="E40" s="82" t="s">
        <v>160</v>
      </c>
      <c r="F40" s="39" t="s">
        <v>144</v>
      </c>
      <c r="G40" s="39"/>
      <c r="H40" s="36">
        <f>SUM(N29)</f>
        <v>9</v>
      </c>
      <c r="I40" s="36">
        <f>SUM(O29)</f>
        <v>30</v>
      </c>
    </row>
    <row r="41" spans="1:17" ht="62.25" customHeight="1" x14ac:dyDescent="0.25">
      <c r="A41" s="41" t="s">
        <v>23</v>
      </c>
      <c r="B41" s="68" t="s">
        <v>151</v>
      </c>
      <c r="C41" s="41" t="s">
        <v>150</v>
      </c>
      <c r="D41" s="48">
        <f>SUM(L6+L11+L17+L21+L25)</f>
        <v>2667202</v>
      </c>
      <c r="E41" s="26" t="s">
        <v>199</v>
      </c>
      <c r="F41" s="39" t="s">
        <v>120</v>
      </c>
      <c r="G41" s="39">
        <v>2019</v>
      </c>
      <c r="H41" s="36" t="s">
        <v>47</v>
      </c>
      <c r="I41" s="49">
        <f>SUM(O6+O11+O17+O21+O25)</f>
        <v>1936268</v>
      </c>
    </row>
    <row r="42" spans="1:17" ht="81.75" customHeight="1" x14ac:dyDescent="0.25">
      <c r="A42" s="41" t="s">
        <v>23</v>
      </c>
      <c r="B42" s="68" t="s">
        <v>151</v>
      </c>
      <c r="C42" s="41" t="s">
        <v>150</v>
      </c>
      <c r="D42" s="48">
        <f>SUM(L9+L15+L19+L23+L28)</f>
        <v>3581658</v>
      </c>
      <c r="E42" s="82" t="s">
        <v>160</v>
      </c>
      <c r="F42" s="39" t="s">
        <v>144</v>
      </c>
      <c r="G42" s="39">
        <v>2019</v>
      </c>
      <c r="H42" s="36" t="s">
        <v>47</v>
      </c>
      <c r="I42" s="49">
        <f>SUM(O9+O15+O19+O23+O28)</f>
        <v>2242630</v>
      </c>
    </row>
    <row r="43" spans="1:17" ht="45.95" customHeight="1" x14ac:dyDescent="0.25">
      <c r="A43" s="41" t="s">
        <v>36</v>
      </c>
      <c r="B43" s="161" t="s">
        <v>154</v>
      </c>
      <c r="C43" s="47" t="s">
        <v>198</v>
      </c>
      <c r="D43" s="48">
        <f>SUM(L13)</f>
        <v>2244</v>
      </c>
      <c r="E43" s="26" t="s">
        <v>199</v>
      </c>
      <c r="F43" s="39" t="s">
        <v>120</v>
      </c>
      <c r="G43" s="39">
        <v>2019</v>
      </c>
      <c r="H43" s="36" t="s">
        <v>47</v>
      </c>
      <c r="I43" s="36">
        <f>SUM(O13)</f>
        <v>1571</v>
      </c>
      <c r="J43" s="166">
        <f>SUM(D43-I43)</f>
        <v>673</v>
      </c>
    </row>
    <row r="44" spans="1:17" ht="58.5" customHeight="1" x14ac:dyDescent="0.25">
      <c r="A44" s="41" t="s">
        <v>36</v>
      </c>
      <c r="B44" s="161" t="s">
        <v>154</v>
      </c>
      <c r="C44" s="47" t="s">
        <v>198</v>
      </c>
      <c r="D44" s="48">
        <f>SUM(L16)</f>
        <v>3410</v>
      </c>
      <c r="E44" s="82" t="s">
        <v>160</v>
      </c>
      <c r="F44" s="39" t="s">
        <v>144</v>
      </c>
      <c r="G44" s="39">
        <v>2019</v>
      </c>
      <c r="H44" s="36" t="s">
        <v>47</v>
      </c>
      <c r="I44" s="36">
        <f>SUM(O16)</f>
        <v>2387</v>
      </c>
      <c r="J44" s="166">
        <f>SUM(D44-I44)</f>
        <v>1023</v>
      </c>
    </row>
    <row r="45" spans="1:17" ht="56.25" customHeight="1" x14ac:dyDescent="0.25">
      <c r="A45" s="26" t="s">
        <v>118</v>
      </c>
      <c r="B45" s="162" t="s">
        <v>200</v>
      </c>
      <c r="C45" s="26" t="s">
        <v>190</v>
      </c>
      <c r="D45" s="48">
        <v>0</v>
      </c>
      <c r="E45" s="26" t="s">
        <v>199</v>
      </c>
      <c r="F45" s="26" t="s">
        <v>120</v>
      </c>
      <c r="G45" s="54"/>
      <c r="H45" s="36">
        <f>SUM(N27)</f>
        <v>21525</v>
      </c>
      <c r="I45" s="36">
        <f>SUM(O27)</f>
        <v>71750</v>
      </c>
    </row>
    <row r="46" spans="1:17" ht="57.75" customHeight="1" x14ac:dyDescent="0.25">
      <c r="A46" s="26" t="s">
        <v>118</v>
      </c>
      <c r="B46" s="159" t="s">
        <v>200</v>
      </c>
      <c r="C46" s="26" t="s">
        <v>190</v>
      </c>
      <c r="D46" s="48">
        <v>0</v>
      </c>
      <c r="E46" s="82" t="s">
        <v>160</v>
      </c>
      <c r="F46" s="26" t="s">
        <v>144</v>
      </c>
      <c r="G46" s="54"/>
      <c r="H46" s="36">
        <f>SUM(N30)</f>
        <v>21530</v>
      </c>
      <c r="I46" s="36">
        <f>SUM(O30)</f>
        <v>71768</v>
      </c>
    </row>
    <row r="47" spans="1:17" ht="50.25" customHeight="1" x14ac:dyDescent="0.25">
      <c r="A47" s="26" t="s">
        <v>118</v>
      </c>
      <c r="B47" s="118" t="s">
        <v>153</v>
      </c>
      <c r="C47" s="26" t="s">
        <v>189</v>
      </c>
      <c r="D47" s="48">
        <v>0</v>
      </c>
      <c r="E47" s="26" t="s">
        <v>199</v>
      </c>
      <c r="F47" s="26" t="s">
        <v>120</v>
      </c>
      <c r="G47" s="54"/>
      <c r="H47" s="55">
        <f>SUM(N18+N22)</f>
        <v>19</v>
      </c>
      <c r="I47" s="55">
        <f>SUM(O18+O22)</f>
        <v>96</v>
      </c>
    </row>
    <row r="48" spans="1:17" ht="36" customHeight="1" x14ac:dyDescent="0.25">
      <c r="A48" s="26" t="s">
        <v>118</v>
      </c>
      <c r="B48" s="118" t="s">
        <v>153</v>
      </c>
      <c r="C48" s="26" t="s">
        <v>189</v>
      </c>
      <c r="D48" s="48">
        <v>0</v>
      </c>
      <c r="E48" s="82" t="s">
        <v>160</v>
      </c>
      <c r="F48" s="26" t="s">
        <v>144</v>
      </c>
      <c r="G48" s="54"/>
      <c r="H48" s="55">
        <f>SUM(N20+N24)</f>
        <v>34</v>
      </c>
      <c r="I48" s="55">
        <f>SUM(O20+O24)</f>
        <v>177</v>
      </c>
    </row>
  </sheetData>
  <mergeCells count="92">
    <mergeCell ref="I3:I4"/>
    <mergeCell ref="A3:A4"/>
    <mergeCell ref="B3:B4"/>
    <mergeCell ref="C3:E3"/>
    <mergeCell ref="F3:F4"/>
    <mergeCell ref="G3:H3"/>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O7:O8"/>
    <mergeCell ref="D7:D9"/>
    <mergeCell ref="E7:E9"/>
    <mergeCell ref="F7:F9"/>
    <mergeCell ref="G7:G8"/>
    <mergeCell ref="H7:H8"/>
    <mergeCell ref="I7:I8"/>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H11:H12"/>
    <mergeCell ref="I11:I12"/>
    <mergeCell ref="J11:J12"/>
    <mergeCell ref="K11:K12"/>
    <mergeCell ref="L11:L12"/>
    <mergeCell ref="B14:B16"/>
    <mergeCell ref="C14:C16"/>
    <mergeCell ref="D14:D16"/>
    <mergeCell ref="E14:E16"/>
    <mergeCell ref="F14:F16"/>
    <mergeCell ref="N11:N12"/>
    <mergeCell ref="O11:O12"/>
    <mergeCell ref="P11:P12"/>
    <mergeCell ref="Q11:Q12"/>
    <mergeCell ref="R11:R12"/>
    <mergeCell ref="F17:F18"/>
    <mergeCell ref="B19:B20"/>
    <mergeCell ref="C19:C20"/>
    <mergeCell ref="D19:D20"/>
    <mergeCell ref="E19:E20"/>
    <mergeCell ref="F19:F20"/>
    <mergeCell ref="E28:E30"/>
    <mergeCell ref="A17:A24"/>
    <mergeCell ref="B17:B18"/>
    <mergeCell ref="C17:C18"/>
    <mergeCell ref="D17:D18"/>
    <mergeCell ref="E17:E18"/>
    <mergeCell ref="B21:B22"/>
    <mergeCell ref="C21:C22"/>
    <mergeCell ref="D21:D22"/>
    <mergeCell ref="E21:E2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2"/>
  <sheetViews>
    <sheetView topLeftCell="A40" zoomScale="80" zoomScaleNormal="80" workbookViewId="0">
      <selection activeCell="O32" sqref="O32"/>
    </sheetView>
  </sheetViews>
  <sheetFormatPr defaultRowHeight="15" x14ac:dyDescent="0.25"/>
  <cols>
    <col min="1" max="1" width="17.85546875" customWidth="1"/>
    <col min="2" max="2" width="14.85546875" style="11" customWidth="1"/>
    <col min="3" max="3" width="13.5703125" customWidth="1"/>
    <col min="4" max="4" width="16.85546875" customWidth="1"/>
    <col min="5" max="5" width="16" customWidth="1"/>
    <col min="6" max="6" width="16.42578125" customWidth="1"/>
    <col min="7" max="7" width="8.85546875" customWidth="1"/>
    <col min="8" max="8" width="11.85546875" customWidth="1"/>
    <col min="9" max="9" width="9.5703125" customWidth="1"/>
    <col min="10" max="10" width="12.42578125" customWidth="1"/>
    <col min="11" max="11" width="15.5703125" bestFit="1" customWidth="1"/>
    <col min="12" max="12" width="10.42578125" customWidth="1"/>
    <col min="13" max="13" width="17.5703125" customWidth="1"/>
    <col min="14" max="14" width="10.42578125" style="16" customWidth="1"/>
    <col min="15" max="15" width="11.5703125" style="16" customWidth="1"/>
    <col min="16" max="16" width="12.140625" customWidth="1"/>
    <col min="17" max="17" width="71.5703125" style="21" hidden="1" customWidth="1"/>
    <col min="18" max="18" width="79.5703125" style="21" customWidth="1"/>
  </cols>
  <sheetData>
    <row r="1" spans="1:18" ht="18.75" x14ac:dyDescent="0.3">
      <c r="A1" s="729" t="s">
        <v>30</v>
      </c>
      <c r="B1" s="729"/>
      <c r="C1" s="729"/>
      <c r="D1" s="729"/>
      <c r="E1" s="729"/>
    </row>
    <row r="2" spans="1:18" ht="15.75" thickBot="1" x14ac:dyDescent="0.3"/>
    <row r="3" spans="1:18" ht="15" customHeight="1" x14ac:dyDescent="0.25">
      <c r="A3" s="488" t="s">
        <v>136</v>
      </c>
      <c r="B3" s="731" t="s">
        <v>137</v>
      </c>
      <c r="C3" s="490" t="s">
        <v>2</v>
      </c>
      <c r="D3" s="493"/>
      <c r="E3" s="493"/>
      <c r="F3" s="490" t="s">
        <v>18</v>
      </c>
      <c r="G3" s="465" t="s">
        <v>111</v>
      </c>
      <c r="H3" s="465"/>
      <c r="I3" s="719" t="s">
        <v>127</v>
      </c>
      <c r="J3" s="726" t="s">
        <v>115</v>
      </c>
      <c r="K3" s="719" t="s">
        <v>116</v>
      </c>
      <c r="L3" s="493" t="s">
        <v>5</v>
      </c>
      <c r="M3" s="728"/>
      <c r="N3" s="719" t="s">
        <v>124</v>
      </c>
      <c r="O3" s="719" t="s">
        <v>123</v>
      </c>
      <c r="P3" s="719" t="s">
        <v>122</v>
      </c>
      <c r="Q3" s="721" t="s">
        <v>9</v>
      </c>
      <c r="R3" s="723" t="s">
        <v>61</v>
      </c>
    </row>
    <row r="4" spans="1:18" ht="63.75" customHeight="1" thickBot="1" x14ac:dyDescent="0.3">
      <c r="A4" s="730"/>
      <c r="B4" s="732"/>
      <c r="C4" s="13" t="s">
        <v>10</v>
      </c>
      <c r="D4" s="14" t="s">
        <v>11</v>
      </c>
      <c r="E4" s="59" t="s">
        <v>43</v>
      </c>
      <c r="F4" s="541"/>
      <c r="G4" s="75" t="s">
        <v>113</v>
      </c>
      <c r="H4" s="12" t="s">
        <v>114</v>
      </c>
      <c r="I4" s="720"/>
      <c r="J4" s="727"/>
      <c r="K4" s="720"/>
      <c r="L4" s="12" t="s">
        <v>126</v>
      </c>
      <c r="M4" s="12" t="s">
        <v>125</v>
      </c>
      <c r="N4" s="720"/>
      <c r="O4" s="720"/>
      <c r="P4" s="720"/>
      <c r="Q4" s="722"/>
      <c r="R4" s="723"/>
    </row>
    <row r="5" spans="1:18" ht="197.25" customHeight="1" x14ac:dyDescent="0.25">
      <c r="A5" s="688" t="s">
        <v>159</v>
      </c>
      <c r="B5" s="683">
        <v>1045010.2</v>
      </c>
      <c r="C5" s="724" t="s">
        <v>132</v>
      </c>
      <c r="D5" s="683">
        <f>(B5-(B5*0.0411))*0.78/0.22</f>
        <v>3552759.1773109087</v>
      </c>
      <c r="E5" s="686">
        <f>B5+D5</f>
        <v>4597769.3773109084</v>
      </c>
      <c r="F5" s="686">
        <f>E5</f>
        <v>4597769.3773109084</v>
      </c>
      <c r="G5" s="26" t="s">
        <v>118</v>
      </c>
      <c r="H5" s="106" t="s">
        <v>128</v>
      </c>
      <c r="I5" s="63" t="s">
        <v>119</v>
      </c>
      <c r="J5" s="106" t="s">
        <v>120</v>
      </c>
      <c r="K5" s="65" t="s">
        <v>29</v>
      </c>
      <c r="L5" s="62">
        <v>0</v>
      </c>
      <c r="M5" s="62" t="s">
        <v>47</v>
      </c>
      <c r="N5" s="23">
        <v>1.26</v>
      </c>
      <c r="O5" s="23">
        <v>4.2</v>
      </c>
      <c r="P5" s="24" t="s">
        <v>121</v>
      </c>
      <c r="Q5" s="88" t="s">
        <v>201</v>
      </c>
      <c r="R5" s="67" t="s">
        <v>208</v>
      </c>
    </row>
    <row r="6" spans="1:18" ht="134.25" customHeight="1" x14ac:dyDescent="0.25">
      <c r="A6" s="689"/>
      <c r="B6" s="683"/>
      <c r="C6" s="725"/>
      <c r="D6" s="683"/>
      <c r="E6" s="686"/>
      <c r="F6" s="704"/>
      <c r="G6" s="62" t="s">
        <v>31</v>
      </c>
      <c r="H6" s="63" t="s">
        <v>155</v>
      </c>
      <c r="I6" s="63" t="s">
        <v>119</v>
      </c>
      <c r="J6" s="106" t="s">
        <v>120</v>
      </c>
      <c r="K6" s="61" t="s">
        <v>138</v>
      </c>
      <c r="L6" s="62">
        <v>0</v>
      </c>
      <c r="M6" s="62" t="s">
        <v>47</v>
      </c>
      <c r="N6" s="23">
        <v>0.48</v>
      </c>
      <c r="O6" s="23">
        <v>1.6</v>
      </c>
      <c r="P6" s="24" t="s">
        <v>121</v>
      </c>
      <c r="Q6" s="88" t="s">
        <v>202</v>
      </c>
      <c r="R6" s="67" t="s">
        <v>117</v>
      </c>
    </row>
    <row r="7" spans="1:18" ht="82.5" customHeight="1" x14ac:dyDescent="0.25">
      <c r="A7" s="689"/>
      <c r="B7" s="683"/>
      <c r="C7" s="725"/>
      <c r="D7" s="683"/>
      <c r="E7" s="686"/>
      <c r="F7" s="704"/>
      <c r="G7" s="23" t="s">
        <v>38</v>
      </c>
      <c r="H7" s="63" t="s">
        <v>154</v>
      </c>
      <c r="I7" s="63" t="s">
        <v>119</v>
      </c>
      <c r="J7" s="106" t="s">
        <v>120</v>
      </c>
      <c r="K7" s="23" t="s">
        <v>131</v>
      </c>
      <c r="L7" s="77">
        <v>860</v>
      </c>
      <c r="M7" s="26">
        <v>2019</v>
      </c>
      <c r="N7" s="23" t="s">
        <v>37</v>
      </c>
      <c r="O7" s="23">
        <v>0</v>
      </c>
      <c r="P7" s="24" t="s">
        <v>121</v>
      </c>
      <c r="Q7" s="67" t="s">
        <v>203</v>
      </c>
      <c r="R7" s="67" t="s">
        <v>204</v>
      </c>
    </row>
    <row r="8" spans="1:18" ht="265.5" customHeight="1" x14ac:dyDescent="0.25">
      <c r="A8" s="689"/>
      <c r="B8" s="682">
        <v>103456013.59999999</v>
      </c>
      <c r="C8" s="703" t="s">
        <v>133</v>
      </c>
      <c r="D8" s="715">
        <f>(B8-(B8*0.0411))*0.78/0.22</f>
        <v>351723171.47277814</v>
      </c>
      <c r="E8" s="716">
        <f>B8+D8</f>
        <v>455179185.07277811</v>
      </c>
      <c r="F8" s="716">
        <f>E8</f>
        <v>455179185.07277811</v>
      </c>
      <c r="G8" s="23" t="s">
        <v>118</v>
      </c>
      <c r="H8" s="106" t="s">
        <v>128</v>
      </c>
      <c r="I8" s="63" t="s">
        <v>119</v>
      </c>
      <c r="J8" s="106" t="s">
        <v>120</v>
      </c>
      <c r="K8" s="61" t="s">
        <v>29</v>
      </c>
      <c r="L8" s="62">
        <v>0</v>
      </c>
      <c r="M8" s="62" t="s">
        <v>47</v>
      </c>
      <c r="N8" s="62">
        <v>41.5</v>
      </c>
      <c r="O8" s="23">
        <v>138</v>
      </c>
      <c r="P8" s="24" t="s">
        <v>121</v>
      </c>
      <c r="Q8" s="67" t="s">
        <v>214</v>
      </c>
      <c r="R8" s="67" t="s">
        <v>215</v>
      </c>
    </row>
    <row r="9" spans="1:18" ht="181.5" customHeight="1" x14ac:dyDescent="0.25">
      <c r="A9" s="689"/>
      <c r="B9" s="683"/>
      <c r="C9" s="704"/>
      <c r="D9" s="715"/>
      <c r="E9" s="716"/>
      <c r="F9" s="516"/>
      <c r="G9" s="60" t="s">
        <v>31</v>
      </c>
      <c r="H9" s="63" t="s">
        <v>155</v>
      </c>
      <c r="I9" s="63" t="s">
        <v>119</v>
      </c>
      <c r="J9" s="64" t="s">
        <v>120</v>
      </c>
      <c r="K9" s="87" t="s">
        <v>138</v>
      </c>
      <c r="L9" s="60">
        <v>0</v>
      </c>
      <c r="M9" s="60" t="s">
        <v>47</v>
      </c>
      <c r="N9" s="23">
        <v>84</v>
      </c>
      <c r="O9" s="23">
        <v>279</v>
      </c>
      <c r="P9" s="24" t="s">
        <v>121</v>
      </c>
      <c r="Q9" s="67" t="s">
        <v>218</v>
      </c>
      <c r="R9" s="67" t="s">
        <v>216</v>
      </c>
    </row>
    <row r="10" spans="1:18" ht="73.5" customHeight="1" x14ac:dyDescent="0.25">
      <c r="A10" s="690"/>
      <c r="B10" s="684"/>
      <c r="C10" s="714"/>
      <c r="D10" s="715"/>
      <c r="E10" s="716"/>
      <c r="F10" s="516"/>
      <c r="G10" s="41" t="s">
        <v>38</v>
      </c>
      <c r="H10" s="64" t="s">
        <v>154</v>
      </c>
      <c r="I10" s="63" t="s">
        <v>119</v>
      </c>
      <c r="J10" s="64" t="s">
        <v>120</v>
      </c>
      <c r="K10" s="47" t="s">
        <v>131</v>
      </c>
      <c r="L10" s="77">
        <v>120120</v>
      </c>
      <c r="M10" s="26">
        <v>2020</v>
      </c>
      <c r="N10" s="23" t="s">
        <v>37</v>
      </c>
      <c r="O10" s="23">
        <v>0</v>
      </c>
      <c r="P10" s="24" t="s">
        <v>121</v>
      </c>
      <c r="Q10" s="67" t="s">
        <v>219</v>
      </c>
      <c r="R10" s="67" t="s">
        <v>220</v>
      </c>
    </row>
    <row r="11" spans="1:18" ht="57.95" customHeight="1" x14ac:dyDescent="0.25">
      <c r="A11" s="689" t="s">
        <v>158</v>
      </c>
      <c r="B11" s="684">
        <v>18564284.100000001</v>
      </c>
      <c r="C11" s="714" t="s">
        <v>134</v>
      </c>
      <c r="D11" s="684">
        <f>(B11-(B11*0.0411))*0.5/0.5</f>
        <v>17801292.023490001</v>
      </c>
      <c r="E11" s="687">
        <f>B11+D11</f>
        <v>36365576.123490006</v>
      </c>
      <c r="F11" s="734">
        <f>E11</f>
        <v>36365576.123490006</v>
      </c>
      <c r="G11" s="577" t="s">
        <v>31</v>
      </c>
      <c r="H11" s="711" t="s">
        <v>155</v>
      </c>
      <c r="I11" s="665" t="s">
        <v>119</v>
      </c>
      <c r="J11" s="711" t="s">
        <v>120</v>
      </c>
      <c r="K11" s="711" t="s">
        <v>130</v>
      </c>
      <c r="L11" s="713">
        <v>0</v>
      </c>
      <c r="M11" s="713" t="s">
        <v>47</v>
      </c>
      <c r="N11" s="713">
        <v>69</v>
      </c>
      <c r="O11" s="713">
        <v>230</v>
      </c>
      <c r="P11" s="669" t="s">
        <v>121</v>
      </c>
      <c r="Q11" s="718" t="s">
        <v>217</v>
      </c>
      <c r="R11" s="641" t="s">
        <v>205</v>
      </c>
    </row>
    <row r="12" spans="1:18" ht="21" customHeight="1" x14ac:dyDescent="0.25">
      <c r="A12" s="689"/>
      <c r="B12" s="715"/>
      <c r="C12" s="516"/>
      <c r="D12" s="715"/>
      <c r="E12" s="716"/>
      <c r="F12" s="735"/>
      <c r="G12" s="577"/>
      <c r="H12" s="708"/>
      <c r="I12" s="712"/>
      <c r="J12" s="708"/>
      <c r="K12" s="708"/>
      <c r="L12" s="713"/>
      <c r="M12" s="713"/>
      <c r="N12" s="713"/>
      <c r="O12" s="713"/>
      <c r="P12" s="717"/>
      <c r="Q12" s="718"/>
      <c r="R12" s="641"/>
    </row>
    <row r="13" spans="1:18" ht="57.75" customHeight="1" x14ac:dyDescent="0.25">
      <c r="A13" s="689"/>
      <c r="B13" s="715"/>
      <c r="C13" s="516"/>
      <c r="D13" s="715"/>
      <c r="E13" s="716"/>
      <c r="F13" s="735"/>
      <c r="G13" s="577"/>
      <c r="H13" s="708"/>
      <c r="I13" s="666"/>
      <c r="J13" s="708"/>
      <c r="K13" s="708"/>
      <c r="L13" s="706"/>
      <c r="M13" s="706"/>
      <c r="N13" s="706"/>
      <c r="O13" s="706"/>
      <c r="P13" s="670"/>
      <c r="Q13" s="707"/>
      <c r="R13" s="641"/>
    </row>
    <row r="14" spans="1:18" ht="133.5" customHeight="1" x14ac:dyDescent="0.25">
      <c r="A14" s="689"/>
      <c r="B14" s="715"/>
      <c r="C14" s="516"/>
      <c r="D14" s="715"/>
      <c r="E14" s="716"/>
      <c r="F14" s="735"/>
      <c r="G14" s="56" t="s">
        <v>38</v>
      </c>
      <c r="H14" s="81" t="s">
        <v>154</v>
      </c>
      <c r="I14" s="81" t="s">
        <v>119</v>
      </c>
      <c r="J14" s="81" t="s">
        <v>120</v>
      </c>
      <c r="K14" s="84" t="s">
        <v>131</v>
      </c>
      <c r="L14" s="77">
        <v>289241</v>
      </c>
      <c r="M14" s="107">
        <v>2019</v>
      </c>
      <c r="N14" s="23" t="s">
        <v>37</v>
      </c>
      <c r="O14" s="23">
        <v>16069</v>
      </c>
      <c r="P14" s="24" t="s">
        <v>121</v>
      </c>
      <c r="Q14" s="67" t="s">
        <v>98</v>
      </c>
      <c r="R14" s="67" t="s">
        <v>100</v>
      </c>
    </row>
    <row r="15" spans="1:18" ht="87" customHeight="1" x14ac:dyDescent="0.25">
      <c r="A15" s="689"/>
      <c r="B15" s="682">
        <v>18564284</v>
      </c>
      <c r="C15" s="703" t="s">
        <v>135</v>
      </c>
      <c r="D15" s="684">
        <f>(B15-(B15*0.0411))*0.5/0.5</f>
        <v>17801291.9276</v>
      </c>
      <c r="E15" s="685">
        <f>B15+D15</f>
        <v>36365575.927599996</v>
      </c>
      <c r="F15" s="734">
        <f>E15</f>
        <v>36365575.927599996</v>
      </c>
      <c r="G15" s="576" t="s">
        <v>38</v>
      </c>
      <c r="H15" s="667" t="s">
        <v>154</v>
      </c>
      <c r="I15" s="667" t="s">
        <v>119</v>
      </c>
      <c r="J15" s="665" t="s">
        <v>120</v>
      </c>
      <c r="K15" s="697" t="s">
        <v>131</v>
      </c>
      <c r="L15" s="697">
        <v>144620</v>
      </c>
      <c r="M15" s="709">
        <v>2019</v>
      </c>
      <c r="N15" s="697" t="s">
        <v>37</v>
      </c>
      <c r="O15" s="697">
        <v>20696</v>
      </c>
      <c r="P15" s="593" t="s">
        <v>121</v>
      </c>
      <c r="Q15" s="700" t="s">
        <v>99</v>
      </c>
      <c r="R15" s="601" t="s">
        <v>101</v>
      </c>
    </row>
    <row r="16" spans="1:18" ht="46.5" customHeight="1" x14ac:dyDescent="0.25">
      <c r="A16" s="689"/>
      <c r="B16" s="683"/>
      <c r="C16" s="704"/>
      <c r="D16" s="715"/>
      <c r="E16" s="686"/>
      <c r="F16" s="735"/>
      <c r="G16" s="600"/>
      <c r="H16" s="668"/>
      <c r="I16" s="668"/>
      <c r="J16" s="666"/>
      <c r="K16" s="706"/>
      <c r="L16" s="706"/>
      <c r="M16" s="710"/>
      <c r="N16" s="706"/>
      <c r="O16" s="706"/>
      <c r="P16" s="658"/>
      <c r="Q16" s="707"/>
      <c r="R16" s="603"/>
    </row>
    <row r="17" spans="1:18" ht="59.1" customHeight="1" x14ac:dyDescent="0.25">
      <c r="A17" s="689"/>
      <c r="B17" s="683"/>
      <c r="C17" s="704"/>
      <c r="D17" s="715"/>
      <c r="E17" s="686"/>
      <c r="F17" s="735"/>
      <c r="G17" s="576" t="s">
        <v>31</v>
      </c>
      <c r="H17" s="667" t="s">
        <v>155</v>
      </c>
      <c r="I17" s="667" t="s">
        <v>119</v>
      </c>
      <c r="J17" s="667" t="s">
        <v>120</v>
      </c>
      <c r="K17" s="667" t="s">
        <v>130</v>
      </c>
      <c r="L17" s="697">
        <v>0</v>
      </c>
      <c r="M17" s="697" t="s">
        <v>47</v>
      </c>
      <c r="N17" s="697">
        <v>16</v>
      </c>
      <c r="O17" s="697">
        <v>55</v>
      </c>
      <c r="P17" s="593" t="s">
        <v>121</v>
      </c>
      <c r="Q17" s="700" t="s">
        <v>206</v>
      </c>
      <c r="R17" s="601" t="s">
        <v>207</v>
      </c>
    </row>
    <row r="18" spans="1:18" ht="74.25" customHeight="1" thickBot="1" x14ac:dyDescent="0.3">
      <c r="A18" s="733"/>
      <c r="B18" s="702"/>
      <c r="C18" s="705"/>
      <c r="D18" s="715"/>
      <c r="E18" s="736"/>
      <c r="F18" s="735"/>
      <c r="G18" s="578"/>
      <c r="H18" s="699"/>
      <c r="I18" s="668"/>
      <c r="J18" s="708"/>
      <c r="K18" s="699"/>
      <c r="L18" s="698"/>
      <c r="M18" s="698"/>
      <c r="N18" s="698"/>
      <c r="O18" s="698"/>
      <c r="P18" s="699"/>
      <c r="Q18" s="701"/>
      <c r="R18" s="603"/>
    </row>
    <row r="19" spans="1:18" ht="66.75" customHeight="1" x14ac:dyDescent="0.25">
      <c r="A19" s="688" t="s">
        <v>157</v>
      </c>
      <c r="B19" s="691">
        <v>18750000</v>
      </c>
      <c r="C19" s="692" t="s">
        <v>133</v>
      </c>
      <c r="D19" s="693">
        <f>B19</f>
        <v>18750000</v>
      </c>
      <c r="E19" s="694">
        <f>B19+D19</f>
        <v>37500000</v>
      </c>
      <c r="F19" s="695">
        <f>E19</f>
        <v>37500000</v>
      </c>
      <c r="G19" s="115" t="s">
        <v>118</v>
      </c>
      <c r="H19" s="106" t="s">
        <v>128</v>
      </c>
      <c r="I19" s="113" t="s">
        <v>160</v>
      </c>
      <c r="J19" s="113" t="s">
        <v>16</v>
      </c>
      <c r="K19" s="114" t="s">
        <v>29</v>
      </c>
      <c r="L19" s="112">
        <v>0</v>
      </c>
      <c r="M19" s="112" t="s">
        <v>47</v>
      </c>
      <c r="N19" s="112">
        <v>392</v>
      </c>
      <c r="O19" s="124">
        <v>1961</v>
      </c>
      <c r="P19" s="89" t="s">
        <v>121</v>
      </c>
      <c r="Q19" s="696" t="s">
        <v>102</v>
      </c>
      <c r="R19" s="642" t="s">
        <v>103</v>
      </c>
    </row>
    <row r="20" spans="1:18" ht="57.75" customHeight="1" x14ac:dyDescent="0.25">
      <c r="A20" s="689"/>
      <c r="B20" s="680"/>
      <c r="C20" s="674"/>
      <c r="D20" s="683"/>
      <c r="E20" s="686"/>
      <c r="F20" s="677"/>
      <c r="G20" s="663" t="s">
        <v>31</v>
      </c>
      <c r="H20" s="665" t="s">
        <v>155</v>
      </c>
      <c r="I20" s="667" t="s">
        <v>160</v>
      </c>
      <c r="J20" s="667" t="s">
        <v>144</v>
      </c>
      <c r="K20" s="61" t="s">
        <v>138</v>
      </c>
      <c r="L20" s="663">
        <v>0</v>
      </c>
      <c r="M20" s="663" t="s">
        <v>47</v>
      </c>
      <c r="N20" s="76">
        <v>0.9</v>
      </c>
      <c r="O20" s="23">
        <v>4.7</v>
      </c>
      <c r="P20" s="593" t="s">
        <v>121</v>
      </c>
      <c r="Q20" s="602"/>
      <c r="R20" s="661"/>
    </row>
    <row r="21" spans="1:18" ht="95.25" customHeight="1" x14ac:dyDescent="0.25">
      <c r="A21" s="689"/>
      <c r="B21" s="680"/>
      <c r="C21" s="674"/>
      <c r="D21" s="683"/>
      <c r="E21" s="686"/>
      <c r="F21" s="677"/>
      <c r="G21" s="664"/>
      <c r="H21" s="666"/>
      <c r="I21" s="668"/>
      <c r="J21" s="668"/>
      <c r="K21" s="61" t="s">
        <v>130</v>
      </c>
      <c r="L21" s="664"/>
      <c r="M21" s="664"/>
      <c r="N21" s="76">
        <v>18</v>
      </c>
      <c r="O21" s="23">
        <v>91.8</v>
      </c>
      <c r="P21" s="658"/>
      <c r="Q21" s="603"/>
      <c r="R21" s="662"/>
    </row>
    <row r="22" spans="1:18" ht="90.75" customHeight="1" thickBot="1" x14ac:dyDescent="0.3">
      <c r="A22" s="689"/>
      <c r="B22" s="681"/>
      <c r="C22" s="657"/>
      <c r="D22" s="684"/>
      <c r="E22" s="687"/>
      <c r="F22" s="678"/>
      <c r="G22" s="62" t="s">
        <v>36</v>
      </c>
      <c r="H22" s="63" t="s">
        <v>154</v>
      </c>
      <c r="I22" s="82" t="s">
        <v>160</v>
      </c>
      <c r="J22" s="64" t="s">
        <v>144</v>
      </c>
      <c r="K22" s="23" t="s">
        <v>131</v>
      </c>
      <c r="L22" s="77">
        <v>7224</v>
      </c>
      <c r="M22" s="123">
        <v>2019</v>
      </c>
      <c r="N22" s="85" t="s">
        <v>37</v>
      </c>
      <c r="O22" s="23">
        <v>0</v>
      </c>
      <c r="P22" s="78" t="s">
        <v>121</v>
      </c>
      <c r="Q22" s="83" t="s">
        <v>95</v>
      </c>
      <c r="R22" s="92" t="s">
        <v>106</v>
      </c>
    </row>
    <row r="23" spans="1:18" ht="58.5" customHeight="1" x14ac:dyDescent="0.25">
      <c r="A23" s="689"/>
      <c r="B23" s="679">
        <v>11250000</v>
      </c>
      <c r="C23" s="656" t="s">
        <v>134</v>
      </c>
      <c r="D23" s="682">
        <f>B23</f>
        <v>11250000</v>
      </c>
      <c r="E23" s="685">
        <f>B23+D23</f>
        <v>22500000</v>
      </c>
      <c r="F23" s="676">
        <f>E23</f>
        <v>22500000</v>
      </c>
      <c r="G23" s="115" t="s">
        <v>118</v>
      </c>
      <c r="H23" s="108" t="s">
        <v>128</v>
      </c>
      <c r="I23" s="82" t="s">
        <v>119</v>
      </c>
      <c r="J23" s="106" t="s">
        <v>120</v>
      </c>
      <c r="K23" s="110" t="s">
        <v>29</v>
      </c>
      <c r="L23" s="86">
        <v>0</v>
      </c>
      <c r="M23" s="62" t="s">
        <v>47</v>
      </c>
      <c r="N23" s="62">
        <v>52</v>
      </c>
      <c r="O23" s="23">
        <v>260</v>
      </c>
      <c r="P23" s="91" t="s">
        <v>121</v>
      </c>
      <c r="Q23" s="601" t="s">
        <v>93</v>
      </c>
      <c r="R23" s="642" t="s">
        <v>107</v>
      </c>
    </row>
    <row r="24" spans="1:18" ht="66" customHeight="1" x14ac:dyDescent="0.25">
      <c r="A24" s="689"/>
      <c r="B24" s="680"/>
      <c r="C24" s="674"/>
      <c r="D24" s="683"/>
      <c r="E24" s="686"/>
      <c r="F24" s="677"/>
      <c r="G24" s="663" t="s">
        <v>31</v>
      </c>
      <c r="H24" s="665" t="s">
        <v>155</v>
      </c>
      <c r="I24" s="667" t="s">
        <v>119</v>
      </c>
      <c r="J24" s="667" t="s">
        <v>120</v>
      </c>
      <c r="K24" s="61" t="s">
        <v>138</v>
      </c>
      <c r="L24" s="663">
        <v>0</v>
      </c>
      <c r="M24" s="663" t="s">
        <v>47</v>
      </c>
      <c r="N24" s="23">
        <v>0.6</v>
      </c>
      <c r="O24" s="23">
        <v>3</v>
      </c>
      <c r="P24" s="669" t="s">
        <v>121</v>
      </c>
      <c r="Q24" s="602"/>
      <c r="R24" s="661"/>
    </row>
    <row r="25" spans="1:18" ht="90" customHeight="1" x14ac:dyDescent="0.25">
      <c r="A25" s="689"/>
      <c r="B25" s="680"/>
      <c r="C25" s="674"/>
      <c r="D25" s="683"/>
      <c r="E25" s="686"/>
      <c r="F25" s="677"/>
      <c r="G25" s="664"/>
      <c r="H25" s="666"/>
      <c r="I25" s="668"/>
      <c r="J25" s="668"/>
      <c r="K25" s="61" t="s">
        <v>130</v>
      </c>
      <c r="L25" s="664"/>
      <c r="M25" s="664"/>
      <c r="N25" s="77">
        <v>5</v>
      </c>
      <c r="O25" s="23">
        <v>26</v>
      </c>
      <c r="P25" s="670"/>
      <c r="Q25" s="603"/>
      <c r="R25" s="662"/>
    </row>
    <row r="26" spans="1:18" ht="86.25" customHeight="1" x14ac:dyDescent="0.25">
      <c r="A26" s="689"/>
      <c r="B26" s="681"/>
      <c r="C26" s="657"/>
      <c r="D26" s="684"/>
      <c r="E26" s="687"/>
      <c r="F26" s="678"/>
      <c r="G26" s="62" t="s">
        <v>36</v>
      </c>
      <c r="H26" s="63" t="s">
        <v>154</v>
      </c>
      <c r="I26" s="82" t="s">
        <v>119</v>
      </c>
      <c r="J26" s="81" t="s">
        <v>120</v>
      </c>
      <c r="K26" s="23" t="s">
        <v>131</v>
      </c>
      <c r="L26" s="77">
        <v>25680</v>
      </c>
      <c r="M26" s="107">
        <v>2019</v>
      </c>
      <c r="N26" s="86" t="s">
        <v>37</v>
      </c>
      <c r="O26" s="23">
        <v>7200</v>
      </c>
      <c r="P26" s="24" t="s">
        <v>121</v>
      </c>
      <c r="Q26" s="67" t="s">
        <v>96</v>
      </c>
      <c r="R26" s="92" t="s">
        <v>108</v>
      </c>
    </row>
    <row r="27" spans="1:18" ht="62.25" customHeight="1" x14ac:dyDescent="0.25">
      <c r="A27" s="689"/>
      <c r="B27" s="671">
        <v>26250000</v>
      </c>
      <c r="C27" s="656" t="s">
        <v>134</v>
      </c>
      <c r="D27" s="654">
        <f>B27</f>
        <v>26250000</v>
      </c>
      <c r="E27" s="593">
        <f>B27+D27</f>
        <v>52500000</v>
      </c>
      <c r="F27" s="676">
        <f>E27</f>
        <v>52500000</v>
      </c>
      <c r="G27" s="26" t="s">
        <v>118</v>
      </c>
      <c r="H27" s="108" t="s">
        <v>128</v>
      </c>
      <c r="I27" s="109" t="s">
        <v>160</v>
      </c>
      <c r="J27" s="106" t="s">
        <v>144</v>
      </c>
      <c r="K27" s="111" t="s">
        <v>29</v>
      </c>
      <c r="L27" s="86">
        <v>0</v>
      </c>
      <c r="M27" s="62" t="s">
        <v>47</v>
      </c>
      <c r="N27" s="62">
        <v>121</v>
      </c>
      <c r="O27" s="23">
        <v>607</v>
      </c>
      <c r="P27" s="24" t="s">
        <v>121</v>
      </c>
      <c r="Q27" s="601" t="s">
        <v>97</v>
      </c>
      <c r="R27" s="642" t="s">
        <v>129</v>
      </c>
    </row>
    <row r="28" spans="1:18" ht="63" customHeight="1" x14ac:dyDescent="0.25">
      <c r="A28" s="689"/>
      <c r="B28" s="672"/>
      <c r="C28" s="674"/>
      <c r="D28" s="675"/>
      <c r="E28" s="594"/>
      <c r="F28" s="677"/>
      <c r="G28" s="663" t="s">
        <v>31</v>
      </c>
      <c r="H28" s="665" t="s">
        <v>155</v>
      </c>
      <c r="I28" s="667" t="s">
        <v>160</v>
      </c>
      <c r="J28" s="667" t="s">
        <v>144</v>
      </c>
      <c r="K28" s="61" t="s">
        <v>138</v>
      </c>
      <c r="L28" s="62">
        <v>0</v>
      </c>
      <c r="M28" s="663" t="s">
        <v>47</v>
      </c>
      <c r="N28" s="23">
        <v>1.4</v>
      </c>
      <c r="O28" s="23">
        <v>7</v>
      </c>
      <c r="P28" s="669" t="s">
        <v>121</v>
      </c>
      <c r="Q28" s="602"/>
      <c r="R28" s="661"/>
    </row>
    <row r="29" spans="1:18" ht="93" customHeight="1" x14ac:dyDescent="0.25">
      <c r="A29" s="689"/>
      <c r="B29" s="672"/>
      <c r="C29" s="674"/>
      <c r="D29" s="675"/>
      <c r="E29" s="594"/>
      <c r="F29" s="677"/>
      <c r="G29" s="664"/>
      <c r="H29" s="666"/>
      <c r="I29" s="668"/>
      <c r="J29" s="668"/>
      <c r="K29" s="61" t="s">
        <v>130</v>
      </c>
      <c r="L29" s="62">
        <v>0</v>
      </c>
      <c r="M29" s="664"/>
      <c r="N29" s="77">
        <v>12</v>
      </c>
      <c r="O29" s="23">
        <v>61</v>
      </c>
      <c r="P29" s="670"/>
      <c r="Q29" s="603"/>
      <c r="R29" s="662"/>
    </row>
    <row r="30" spans="1:18" ht="93.75" customHeight="1" x14ac:dyDescent="0.25">
      <c r="A30" s="689"/>
      <c r="B30" s="673"/>
      <c r="C30" s="657"/>
      <c r="D30" s="655"/>
      <c r="E30" s="658"/>
      <c r="F30" s="678"/>
      <c r="G30" s="62" t="s">
        <v>36</v>
      </c>
      <c r="H30" s="63" t="s">
        <v>154</v>
      </c>
      <c r="I30" s="82" t="s">
        <v>160</v>
      </c>
      <c r="J30" s="64" t="s">
        <v>144</v>
      </c>
      <c r="K30" s="23" t="s">
        <v>131</v>
      </c>
      <c r="L30" s="77">
        <v>60120</v>
      </c>
      <c r="M30" s="107">
        <v>2019</v>
      </c>
      <c r="N30" s="62" t="s">
        <v>47</v>
      </c>
      <c r="O30" s="23">
        <v>16880</v>
      </c>
      <c r="P30" s="24" t="s">
        <v>121</v>
      </c>
      <c r="Q30" s="67" t="s">
        <v>109</v>
      </c>
      <c r="R30" s="92" t="s">
        <v>110</v>
      </c>
    </row>
    <row r="31" spans="1:18" ht="70.5" customHeight="1" x14ac:dyDescent="0.25">
      <c r="A31" s="689"/>
      <c r="B31" s="654">
        <v>18750000</v>
      </c>
      <c r="C31" s="656" t="s">
        <v>135</v>
      </c>
      <c r="D31" s="654">
        <f>B31</f>
        <v>18750000</v>
      </c>
      <c r="E31" s="593">
        <f>B31+D31</f>
        <v>37500000</v>
      </c>
      <c r="F31" s="659">
        <f>E31</f>
        <v>37500000</v>
      </c>
      <c r="G31" s="62" t="s">
        <v>31</v>
      </c>
      <c r="H31" s="63" t="s">
        <v>155</v>
      </c>
      <c r="I31" s="82" t="s">
        <v>119</v>
      </c>
      <c r="J31" s="64" t="s">
        <v>120</v>
      </c>
      <c r="K31" s="66" t="s">
        <v>130</v>
      </c>
      <c r="L31" s="62">
        <v>0</v>
      </c>
      <c r="M31" s="62" t="s">
        <v>47</v>
      </c>
      <c r="N31" s="23">
        <v>11</v>
      </c>
      <c r="O31" s="23">
        <v>37.5</v>
      </c>
      <c r="P31" s="24" t="s">
        <v>121</v>
      </c>
      <c r="Q31" s="67" t="s">
        <v>156</v>
      </c>
      <c r="R31" s="94" t="s">
        <v>105</v>
      </c>
    </row>
    <row r="32" spans="1:18" ht="68.25" customHeight="1" x14ac:dyDescent="0.25">
      <c r="A32" s="690"/>
      <c r="B32" s="655"/>
      <c r="C32" s="657"/>
      <c r="D32" s="655"/>
      <c r="E32" s="658"/>
      <c r="F32" s="660"/>
      <c r="G32" s="62" t="s">
        <v>36</v>
      </c>
      <c r="H32" s="63" t="s">
        <v>154</v>
      </c>
      <c r="I32" s="82" t="s">
        <v>119</v>
      </c>
      <c r="J32" s="82" t="s">
        <v>120</v>
      </c>
      <c r="K32" s="23" t="s">
        <v>131</v>
      </c>
      <c r="L32" s="77">
        <v>2250</v>
      </c>
      <c r="M32" s="107">
        <v>2019</v>
      </c>
      <c r="N32" s="62" t="s">
        <v>47</v>
      </c>
      <c r="O32" s="23">
        <v>900</v>
      </c>
      <c r="P32" s="24" t="s">
        <v>121</v>
      </c>
      <c r="Q32" s="67" t="s">
        <v>94</v>
      </c>
      <c r="R32" s="94" t="s">
        <v>104</v>
      </c>
    </row>
    <row r="33" spans="1:12" x14ac:dyDescent="0.25">
      <c r="C33" s="2"/>
      <c r="D33" s="3"/>
      <c r="E33" s="80"/>
      <c r="F33" s="16"/>
      <c r="G33" s="16"/>
      <c r="H33" s="4"/>
      <c r="I33" s="5"/>
      <c r="J33" s="5"/>
      <c r="K33" s="4"/>
      <c r="L33" s="10"/>
    </row>
    <row r="34" spans="1:12" ht="0.75" customHeight="1" x14ac:dyDescent="0.25">
      <c r="C34" s="2"/>
      <c r="D34" s="3"/>
      <c r="E34" s="80"/>
      <c r="F34" s="16"/>
      <c r="G34" s="16"/>
      <c r="H34" s="4"/>
      <c r="I34" s="5"/>
      <c r="J34" s="5"/>
      <c r="K34" s="4"/>
    </row>
    <row r="35" spans="1:12" x14ac:dyDescent="0.25">
      <c r="C35" s="2"/>
      <c r="D35" s="3"/>
      <c r="E35" s="80"/>
      <c r="F35" s="16"/>
      <c r="G35" s="16"/>
      <c r="H35" s="4"/>
      <c r="I35" s="5"/>
      <c r="J35" s="5"/>
      <c r="K35" s="4"/>
    </row>
    <row r="36" spans="1:12" x14ac:dyDescent="0.25">
      <c r="A36" s="1"/>
      <c r="B36" s="15"/>
      <c r="C36" s="2"/>
      <c r="D36" s="3"/>
      <c r="E36" s="80"/>
      <c r="F36" s="16"/>
      <c r="G36" s="16"/>
      <c r="H36" s="4"/>
      <c r="I36" s="5"/>
      <c r="J36" s="5"/>
      <c r="K36" s="4"/>
    </row>
    <row r="37" spans="1:12" ht="26.25" customHeight="1" x14ac:dyDescent="0.25">
      <c r="A37" s="72" t="s">
        <v>143</v>
      </c>
      <c r="B37" s="40" t="s">
        <v>142</v>
      </c>
      <c r="C37" s="72" t="s">
        <v>116</v>
      </c>
      <c r="D37" s="72" t="s">
        <v>140</v>
      </c>
      <c r="E37" s="72" t="s">
        <v>112</v>
      </c>
      <c r="F37" s="72" t="s">
        <v>115</v>
      </c>
      <c r="G37" s="72" t="s">
        <v>141</v>
      </c>
      <c r="H37" s="72" t="s">
        <v>124</v>
      </c>
      <c r="I37" s="72" t="s">
        <v>123</v>
      </c>
      <c r="J37" s="165" t="s">
        <v>222</v>
      </c>
      <c r="K37" s="4"/>
    </row>
    <row r="38" spans="1:12" ht="49.5" customHeight="1" x14ac:dyDescent="0.25">
      <c r="A38" s="56" t="s">
        <v>36</v>
      </c>
      <c r="B38" s="125" t="s">
        <v>154</v>
      </c>
      <c r="C38" s="23" t="s">
        <v>131</v>
      </c>
      <c r="D38" s="58">
        <f>SUM(L7+L10+L14+L15+L26+L32)</f>
        <v>582771</v>
      </c>
      <c r="E38" s="41" t="s">
        <v>119</v>
      </c>
      <c r="F38" s="56" t="s">
        <v>24</v>
      </c>
      <c r="G38" s="41">
        <v>2019</v>
      </c>
      <c r="H38" s="57" t="s">
        <v>47</v>
      </c>
      <c r="I38" s="57">
        <f>SUM(O7+O10+O14+O15+O26+O32)</f>
        <v>44865</v>
      </c>
      <c r="J38" s="164">
        <f>SUM(D38-I38)</f>
        <v>537906</v>
      </c>
      <c r="K38" s="4"/>
    </row>
    <row r="39" spans="1:12" ht="52.5" customHeight="1" x14ac:dyDescent="0.25">
      <c r="A39" s="56" t="s">
        <v>36</v>
      </c>
      <c r="B39" s="125" t="s">
        <v>154</v>
      </c>
      <c r="C39" s="23" t="s">
        <v>131</v>
      </c>
      <c r="D39" s="58">
        <f>SUM(L22+L30)</f>
        <v>67344</v>
      </c>
      <c r="E39" s="82" t="s">
        <v>160</v>
      </c>
      <c r="F39" s="56" t="s">
        <v>16</v>
      </c>
      <c r="G39" s="41">
        <v>2019</v>
      </c>
      <c r="H39" s="57" t="s">
        <v>47</v>
      </c>
      <c r="I39" s="57">
        <f>SUM(O22+O30)</f>
        <v>16880</v>
      </c>
      <c r="J39" s="164">
        <f>SUM(D39-I39)</f>
        <v>50464</v>
      </c>
      <c r="K39" s="4"/>
    </row>
    <row r="40" spans="1:12" ht="43.5" customHeight="1" x14ac:dyDescent="0.25">
      <c r="A40" s="631" t="s">
        <v>31</v>
      </c>
      <c r="B40" s="652" t="s">
        <v>155</v>
      </c>
      <c r="C40" s="61" t="s">
        <v>138</v>
      </c>
      <c r="D40" s="41">
        <v>0</v>
      </c>
      <c r="E40" s="41" t="s">
        <v>119</v>
      </c>
      <c r="F40" s="41" t="s">
        <v>24</v>
      </c>
      <c r="G40" s="39"/>
      <c r="H40" s="55">
        <f>SUM(N6+N9+N24)</f>
        <v>85.08</v>
      </c>
      <c r="I40" s="55">
        <f>SUM(O6+O9+O24)</f>
        <v>283.60000000000002</v>
      </c>
      <c r="J40" s="5"/>
      <c r="K40" s="4"/>
    </row>
    <row r="41" spans="1:12" ht="61.5" customHeight="1" x14ac:dyDescent="0.25">
      <c r="A41" s="648"/>
      <c r="B41" s="653"/>
      <c r="C41" s="66" t="s">
        <v>130</v>
      </c>
      <c r="D41" s="41">
        <v>0</v>
      </c>
      <c r="E41" s="41" t="s">
        <v>119</v>
      </c>
      <c r="F41" s="41" t="s">
        <v>24</v>
      </c>
      <c r="G41" s="39"/>
      <c r="H41" s="55">
        <f>SUM(N11+N17+N25+N31)</f>
        <v>101</v>
      </c>
      <c r="I41" s="55">
        <f>SUM(O11+O17+O25+O31)</f>
        <v>348.5</v>
      </c>
      <c r="J41" s="5"/>
      <c r="K41" s="4"/>
    </row>
    <row r="42" spans="1:12" ht="47.25" customHeight="1" x14ac:dyDescent="0.25">
      <c r="A42" s="631" t="s">
        <v>31</v>
      </c>
      <c r="B42" s="652" t="s">
        <v>155</v>
      </c>
      <c r="C42" s="61" t="s">
        <v>138</v>
      </c>
      <c r="D42" s="41">
        <v>0</v>
      </c>
      <c r="E42" s="82" t="s">
        <v>160</v>
      </c>
      <c r="F42" s="41" t="s">
        <v>16</v>
      </c>
      <c r="G42" s="39"/>
      <c r="H42" s="55">
        <f>SUM(N20+N28)</f>
        <v>2.2999999999999998</v>
      </c>
      <c r="I42" s="55">
        <f>SUM(O20+O28)</f>
        <v>11.7</v>
      </c>
      <c r="J42" s="6"/>
      <c r="K42" s="6"/>
    </row>
    <row r="43" spans="1:12" ht="74.25" customHeight="1" x14ac:dyDescent="0.25">
      <c r="A43" s="648"/>
      <c r="B43" s="653"/>
      <c r="C43" s="61" t="s">
        <v>130</v>
      </c>
      <c r="D43" s="41">
        <v>0</v>
      </c>
      <c r="E43" s="82" t="s">
        <v>160</v>
      </c>
      <c r="F43" s="41" t="s">
        <v>16</v>
      </c>
      <c r="G43" s="39"/>
      <c r="H43" s="55">
        <f>SUM(N21+N29)</f>
        <v>30</v>
      </c>
      <c r="I43" s="55">
        <f>SUM(O21+O29)</f>
        <v>152.80000000000001</v>
      </c>
      <c r="J43" s="6"/>
      <c r="K43" s="6"/>
    </row>
    <row r="44" spans="1:12" ht="35.25" customHeight="1" x14ac:dyDescent="0.25">
      <c r="A44" s="54" t="s">
        <v>118</v>
      </c>
      <c r="B44" s="116" t="s">
        <v>139</v>
      </c>
      <c r="C44" s="117" t="s">
        <v>29</v>
      </c>
      <c r="D44" s="26">
        <v>0</v>
      </c>
      <c r="E44" s="41" t="s">
        <v>119</v>
      </c>
      <c r="F44" s="117" t="s">
        <v>24</v>
      </c>
      <c r="G44" s="54"/>
      <c r="H44" s="36">
        <f>SUM(N5+N8+N23)</f>
        <v>94.759999999999991</v>
      </c>
      <c r="I44" s="36">
        <f>SUM(O5+O8+O23)</f>
        <v>402.2</v>
      </c>
      <c r="J44" s="6"/>
    </row>
    <row r="45" spans="1:12" ht="31.5" customHeight="1" x14ac:dyDescent="0.25">
      <c r="A45" s="54" t="s">
        <v>118</v>
      </c>
      <c r="B45" s="116" t="s">
        <v>139</v>
      </c>
      <c r="C45" s="117" t="s">
        <v>29</v>
      </c>
      <c r="D45" s="26">
        <v>0</v>
      </c>
      <c r="E45" s="82" t="s">
        <v>160</v>
      </c>
      <c r="F45" s="54" t="s">
        <v>16</v>
      </c>
      <c r="G45" s="54"/>
      <c r="H45" s="49">
        <f>SUM(N19+N27)</f>
        <v>513</v>
      </c>
      <c r="I45" s="49">
        <f>SUM(O19+O27)</f>
        <v>2568</v>
      </c>
      <c r="J45" s="6"/>
    </row>
    <row r="46" spans="1:12" x14ac:dyDescent="0.25">
      <c r="C46" s="649"/>
      <c r="D46" s="7"/>
      <c r="E46" s="8"/>
      <c r="F46" s="650"/>
      <c r="J46" s="6"/>
    </row>
    <row r="47" spans="1:12" x14ac:dyDescent="0.25">
      <c r="C47" s="649"/>
      <c r="D47" s="7"/>
      <c r="E47" s="9"/>
      <c r="F47" s="651"/>
      <c r="H47" s="6"/>
      <c r="I47" s="6"/>
      <c r="J47" s="6"/>
    </row>
    <row r="48" spans="1:12" x14ac:dyDescent="0.25">
      <c r="C48" s="649"/>
      <c r="D48" s="7"/>
      <c r="E48" s="9"/>
      <c r="F48" s="651"/>
      <c r="H48" s="6"/>
      <c r="I48" s="6"/>
    </row>
    <row r="49" spans="3:9" x14ac:dyDescent="0.25">
      <c r="C49" s="649"/>
      <c r="D49" s="7"/>
      <c r="E49" s="9"/>
      <c r="F49" s="651"/>
      <c r="H49" s="6"/>
      <c r="I49" s="6"/>
    </row>
    <row r="50" spans="3:9" x14ac:dyDescent="0.25">
      <c r="C50" s="649"/>
      <c r="D50" s="7"/>
      <c r="E50" s="9"/>
      <c r="F50" s="651"/>
      <c r="H50" s="6"/>
      <c r="I50" s="6"/>
    </row>
    <row r="51" spans="3:9" x14ac:dyDescent="0.25">
      <c r="C51" s="79"/>
      <c r="D51" s="7"/>
      <c r="E51" s="9"/>
      <c r="F51" s="16"/>
      <c r="H51" s="6"/>
      <c r="I51" s="6"/>
    </row>
    <row r="52" spans="3:9" x14ac:dyDescent="0.25">
      <c r="C52" s="79"/>
      <c r="D52" s="7"/>
      <c r="E52" s="9"/>
      <c r="F52" s="16"/>
      <c r="H52" s="6"/>
      <c r="I52" s="6"/>
    </row>
    <row r="53" spans="3:9" x14ac:dyDescent="0.25">
      <c r="C53" s="79"/>
      <c r="D53" s="7"/>
      <c r="E53" s="9"/>
      <c r="F53" s="16"/>
      <c r="H53" s="6"/>
      <c r="I53" s="6"/>
    </row>
    <row r="54" spans="3:9" x14ac:dyDescent="0.25">
      <c r="C54" s="3"/>
      <c r="D54" s="7"/>
      <c r="E54" s="9"/>
      <c r="F54" s="16"/>
      <c r="H54" s="6"/>
      <c r="I54" s="6"/>
    </row>
    <row r="57" spans="3:9" x14ac:dyDescent="0.25">
      <c r="C57" s="1"/>
      <c r="D57" s="1"/>
      <c r="E57" s="1"/>
      <c r="F57" s="1"/>
      <c r="G57" s="1"/>
      <c r="H57" s="1"/>
      <c r="I57" s="1"/>
    </row>
    <row r="60" spans="3:9" x14ac:dyDescent="0.25">
      <c r="C60" s="6"/>
    </row>
    <row r="62" spans="3:9" x14ac:dyDescent="0.25">
      <c r="C62" s="6"/>
    </row>
  </sheetData>
  <mergeCells count="126">
    <mergeCell ref="A1:E1"/>
    <mergeCell ref="A3:A4"/>
    <mergeCell ref="B3:B4"/>
    <mergeCell ref="C3:E3"/>
    <mergeCell ref="F3:F4"/>
    <mergeCell ref="G3:H3"/>
    <mergeCell ref="A11:A18"/>
    <mergeCell ref="B11:B14"/>
    <mergeCell ref="C11:C14"/>
    <mergeCell ref="D11:D14"/>
    <mergeCell ref="E11:E14"/>
    <mergeCell ref="F11:F14"/>
    <mergeCell ref="D15:D18"/>
    <mergeCell ref="E15:E18"/>
    <mergeCell ref="F15:F18"/>
    <mergeCell ref="G15:G16"/>
    <mergeCell ref="P3:P4"/>
    <mergeCell ref="Q3:Q4"/>
    <mergeCell ref="R3:R4"/>
    <mergeCell ref="A5:A10"/>
    <mergeCell ref="B5:B7"/>
    <mergeCell ref="C5:C7"/>
    <mergeCell ref="D5:D7"/>
    <mergeCell ref="E5:E7"/>
    <mergeCell ref="F5:F7"/>
    <mergeCell ref="B8:B10"/>
    <mergeCell ref="I3:I4"/>
    <mergeCell ref="J3:J4"/>
    <mergeCell ref="K3:K4"/>
    <mergeCell ref="L3:M3"/>
    <mergeCell ref="N3:N4"/>
    <mergeCell ref="O3:O4"/>
    <mergeCell ref="R11:R13"/>
    <mergeCell ref="G11:G13"/>
    <mergeCell ref="H11:H13"/>
    <mergeCell ref="I11:I13"/>
    <mergeCell ref="J11:J13"/>
    <mergeCell ref="K11:K13"/>
    <mergeCell ref="L11:L13"/>
    <mergeCell ref="C8:C10"/>
    <mergeCell ref="D8:D10"/>
    <mergeCell ref="E8:E10"/>
    <mergeCell ref="F8:F10"/>
    <mergeCell ref="M11:M13"/>
    <mergeCell ref="N11:N13"/>
    <mergeCell ref="O11:O13"/>
    <mergeCell ref="P11:P13"/>
    <mergeCell ref="Q11:Q13"/>
    <mergeCell ref="N15:N16"/>
    <mergeCell ref="O15:O16"/>
    <mergeCell ref="P15:P16"/>
    <mergeCell ref="Q15:Q16"/>
    <mergeCell ref="R15:R16"/>
    <mergeCell ref="G17:G18"/>
    <mergeCell ref="H17:H18"/>
    <mergeCell ref="I17:I18"/>
    <mergeCell ref="J17:J18"/>
    <mergeCell ref="K17:K18"/>
    <mergeCell ref="H15:H16"/>
    <mergeCell ref="I15:I16"/>
    <mergeCell ref="J15:J16"/>
    <mergeCell ref="K15:K16"/>
    <mergeCell ref="L15:L16"/>
    <mergeCell ref="M15:M16"/>
    <mergeCell ref="H20:H21"/>
    <mergeCell ref="I20:I21"/>
    <mergeCell ref="J20:J21"/>
    <mergeCell ref="L20:L21"/>
    <mergeCell ref="M20:M21"/>
    <mergeCell ref="P20:P21"/>
    <mergeCell ref="R17:R18"/>
    <mergeCell ref="A19:A32"/>
    <mergeCell ref="B19:B22"/>
    <mergeCell ref="C19:C22"/>
    <mergeCell ref="D19:D22"/>
    <mergeCell ref="E19:E22"/>
    <mergeCell ref="F19:F22"/>
    <mergeCell ref="Q19:Q21"/>
    <mergeCell ref="R19:R21"/>
    <mergeCell ref="G20:G21"/>
    <mergeCell ref="L17:L18"/>
    <mergeCell ref="M17:M18"/>
    <mergeCell ref="N17:N18"/>
    <mergeCell ref="O17:O18"/>
    <mergeCell ref="P17:P18"/>
    <mergeCell ref="Q17:Q18"/>
    <mergeCell ref="B15:B18"/>
    <mergeCell ref="C15:C18"/>
    <mergeCell ref="R23:R25"/>
    <mergeCell ref="G24:G25"/>
    <mergeCell ref="H24:H25"/>
    <mergeCell ref="I24:I25"/>
    <mergeCell ref="J24:J25"/>
    <mergeCell ref="L24:L25"/>
    <mergeCell ref="M24:M25"/>
    <mergeCell ref="P24:P25"/>
    <mergeCell ref="B23:B26"/>
    <mergeCell ref="C23:C26"/>
    <mergeCell ref="D23:D26"/>
    <mergeCell ref="E23:E26"/>
    <mergeCell ref="F23:F26"/>
    <mergeCell ref="Q23:Q25"/>
    <mergeCell ref="R27:R29"/>
    <mergeCell ref="G28:G29"/>
    <mergeCell ref="H28:H29"/>
    <mergeCell ref="I28:I29"/>
    <mergeCell ref="J28:J29"/>
    <mergeCell ref="M28:M29"/>
    <mergeCell ref="P28:P29"/>
    <mergeCell ref="B27:B30"/>
    <mergeCell ref="C27:C30"/>
    <mergeCell ref="D27:D30"/>
    <mergeCell ref="E27:E30"/>
    <mergeCell ref="F27:F30"/>
    <mergeCell ref="Q27:Q29"/>
    <mergeCell ref="A42:A43"/>
    <mergeCell ref="C46:C50"/>
    <mergeCell ref="F46:F50"/>
    <mergeCell ref="B40:B41"/>
    <mergeCell ref="B42:B43"/>
    <mergeCell ref="B31:B32"/>
    <mergeCell ref="C31:C32"/>
    <mergeCell ref="D31:D32"/>
    <mergeCell ref="E31:E32"/>
    <mergeCell ref="F31:F32"/>
    <mergeCell ref="A40:A4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9"/>
  <sheetViews>
    <sheetView topLeftCell="A16" zoomScale="80" zoomScaleNormal="80" workbookViewId="0">
      <selection activeCell="A5" sqref="A5:A8"/>
    </sheetView>
  </sheetViews>
  <sheetFormatPr defaultRowHeight="15" x14ac:dyDescent="0.25"/>
  <cols>
    <col min="1" max="1" width="18.42578125" style="17" customWidth="1"/>
    <col min="2" max="2" width="20.5703125" style="17" customWidth="1"/>
    <col min="3" max="3" width="43.42578125" style="17" customWidth="1"/>
    <col min="4" max="4" width="17.42578125" style="17" customWidth="1"/>
    <col min="5" max="5" width="20.5703125" style="17" customWidth="1"/>
    <col min="6" max="6" width="13.42578125" style="17" bestFit="1" customWidth="1"/>
    <col min="7" max="7" width="11.42578125" style="17" customWidth="1"/>
    <col min="8" max="8" width="15.5703125" style="17" customWidth="1"/>
    <col min="9" max="9" width="15.85546875" style="17" customWidth="1"/>
    <col min="10" max="10" width="9.140625" style="17"/>
    <col min="11" max="11" width="14.42578125" style="17" customWidth="1"/>
    <col min="12" max="12" width="9.140625" style="17"/>
    <col min="13" max="13" width="8.5703125" style="17" customWidth="1"/>
    <col min="14" max="14" width="11.85546875" style="17" customWidth="1"/>
    <col min="15" max="15" width="11.42578125" style="17" customWidth="1"/>
    <col min="16" max="16" width="17.85546875" style="17" customWidth="1"/>
    <col min="17" max="17" width="0.140625" style="17" customWidth="1"/>
    <col min="18" max="18" width="66.5703125" style="93" customWidth="1"/>
  </cols>
  <sheetData>
    <row r="1" spans="1:19" ht="21" x14ac:dyDescent="0.35">
      <c r="A1" s="20" t="s">
        <v>42</v>
      </c>
      <c r="B1" s="20"/>
      <c r="C1" s="20"/>
      <c r="D1" s="20"/>
      <c r="E1" s="20"/>
      <c r="F1" s="20"/>
      <c r="G1" s="20"/>
      <c r="H1" s="20"/>
      <c r="I1" s="20"/>
      <c r="J1" s="20"/>
      <c r="K1" s="20"/>
    </row>
    <row r="2" spans="1:19" ht="15.75" thickBot="1" x14ac:dyDescent="0.3"/>
    <row r="3" spans="1:19" ht="14.85" customHeight="1" thickBot="1" x14ac:dyDescent="0.3">
      <c r="A3" s="760" t="s">
        <v>0</v>
      </c>
      <c r="B3" s="721" t="s">
        <v>1</v>
      </c>
      <c r="C3" s="758" t="s">
        <v>2</v>
      </c>
      <c r="D3" s="762"/>
      <c r="E3" s="759"/>
      <c r="F3" s="763" t="s">
        <v>20</v>
      </c>
      <c r="G3" s="765" t="s">
        <v>111</v>
      </c>
      <c r="H3" s="766"/>
      <c r="I3" s="721" t="s">
        <v>181</v>
      </c>
      <c r="J3" s="756" t="s">
        <v>115</v>
      </c>
      <c r="K3" s="721" t="s">
        <v>182</v>
      </c>
      <c r="L3" s="758" t="s">
        <v>140</v>
      </c>
      <c r="M3" s="759"/>
      <c r="N3" s="721" t="s">
        <v>124</v>
      </c>
      <c r="O3" s="721" t="s">
        <v>123</v>
      </c>
      <c r="P3" s="721" t="s">
        <v>172</v>
      </c>
      <c r="Q3" s="573" t="s">
        <v>9</v>
      </c>
      <c r="R3" s="753" t="s">
        <v>61</v>
      </c>
    </row>
    <row r="4" spans="1:19" ht="75.95" customHeight="1" thickBot="1" x14ac:dyDescent="0.3">
      <c r="A4" s="761"/>
      <c r="B4" s="722"/>
      <c r="C4" s="133" t="s">
        <v>10</v>
      </c>
      <c r="D4" s="134" t="s">
        <v>183</v>
      </c>
      <c r="E4" s="135" t="s">
        <v>44</v>
      </c>
      <c r="F4" s="764"/>
      <c r="G4" s="136" t="s">
        <v>113</v>
      </c>
      <c r="H4" s="136" t="s">
        <v>114</v>
      </c>
      <c r="I4" s="722"/>
      <c r="J4" s="757"/>
      <c r="K4" s="722"/>
      <c r="L4" s="137" t="s">
        <v>126</v>
      </c>
      <c r="M4" s="137" t="s">
        <v>125</v>
      </c>
      <c r="N4" s="722"/>
      <c r="O4" s="722"/>
      <c r="P4" s="722"/>
      <c r="Q4" s="752"/>
      <c r="R4" s="754"/>
    </row>
    <row r="5" spans="1:19" ht="100.5" customHeight="1" x14ac:dyDescent="0.25">
      <c r="A5" s="742" t="s">
        <v>167</v>
      </c>
      <c r="B5" s="739">
        <v>8750000</v>
      </c>
      <c r="C5" s="755" t="s">
        <v>168</v>
      </c>
      <c r="D5" s="739">
        <f>B5</f>
        <v>8750000</v>
      </c>
      <c r="E5" s="740">
        <f>B5+D5</f>
        <v>17500000</v>
      </c>
      <c r="F5" s="737">
        <f>E5</f>
        <v>17500000</v>
      </c>
      <c r="G5" s="62" t="s">
        <v>28</v>
      </c>
      <c r="H5" s="23" t="s">
        <v>169</v>
      </c>
      <c r="I5" s="23" t="s">
        <v>119</v>
      </c>
      <c r="J5" s="23" t="s">
        <v>120</v>
      </c>
      <c r="K5" s="23" t="s">
        <v>162</v>
      </c>
      <c r="L5" s="62">
        <v>26250</v>
      </c>
      <c r="M5" s="62">
        <v>2021</v>
      </c>
      <c r="N5" s="112" t="s">
        <v>47</v>
      </c>
      <c r="O5" s="124">
        <v>26250</v>
      </c>
      <c r="P5" s="124" t="s">
        <v>121</v>
      </c>
      <c r="Q5" s="128" t="s">
        <v>173</v>
      </c>
      <c r="R5" s="98" t="s">
        <v>163</v>
      </c>
      <c r="S5" s="141"/>
    </row>
    <row r="6" spans="1:19" ht="168" customHeight="1" thickBot="1" x14ac:dyDescent="0.3">
      <c r="A6" s="743"/>
      <c r="B6" s="699"/>
      <c r="C6" s="621"/>
      <c r="D6" s="708"/>
      <c r="E6" s="675"/>
      <c r="F6" s="738"/>
      <c r="G6" s="27" t="s">
        <v>118</v>
      </c>
      <c r="H6" s="27" t="s">
        <v>170</v>
      </c>
      <c r="I6" s="27" t="s">
        <v>119</v>
      </c>
      <c r="J6" s="27" t="s">
        <v>120</v>
      </c>
      <c r="K6" s="27" t="s">
        <v>161</v>
      </c>
      <c r="L6" s="122">
        <v>0</v>
      </c>
      <c r="M6" s="122" t="s">
        <v>47</v>
      </c>
      <c r="N6" s="27">
        <v>78</v>
      </c>
      <c r="O6" s="27">
        <v>391</v>
      </c>
      <c r="P6" s="76" t="s">
        <v>121</v>
      </c>
      <c r="Q6" s="105" t="s">
        <v>174</v>
      </c>
      <c r="R6" s="150" t="s">
        <v>188</v>
      </c>
      <c r="S6" s="141"/>
    </row>
    <row r="7" spans="1:19" ht="89.25" customHeight="1" x14ac:dyDescent="0.25">
      <c r="A7" s="743"/>
      <c r="B7" s="675">
        <v>16250000</v>
      </c>
      <c r="C7" s="755" t="s">
        <v>168</v>
      </c>
      <c r="D7" s="739">
        <f>B7</f>
        <v>16250000</v>
      </c>
      <c r="E7" s="740">
        <f>B7+D7</f>
        <v>32500000</v>
      </c>
      <c r="F7" s="741">
        <f>E7</f>
        <v>32500000</v>
      </c>
      <c r="G7" s="86" t="s">
        <v>28</v>
      </c>
      <c r="H7" s="126" t="s">
        <v>169</v>
      </c>
      <c r="I7" s="77" t="s">
        <v>160</v>
      </c>
      <c r="J7" s="77" t="s">
        <v>144</v>
      </c>
      <c r="K7" s="77" t="s">
        <v>162</v>
      </c>
      <c r="L7" s="86">
        <v>50800</v>
      </c>
      <c r="M7" s="86">
        <v>2021</v>
      </c>
      <c r="N7" s="127" t="s">
        <v>47</v>
      </c>
      <c r="O7" s="77">
        <v>50800</v>
      </c>
      <c r="P7" s="145" t="s">
        <v>121</v>
      </c>
      <c r="Q7" s="129" t="s">
        <v>175</v>
      </c>
      <c r="R7" s="146" t="s">
        <v>164</v>
      </c>
      <c r="S7" s="141"/>
    </row>
    <row r="8" spans="1:19" ht="137.25" customHeight="1" thickBot="1" x14ac:dyDescent="0.3">
      <c r="A8" s="743"/>
      <c r="B8" s="675"/>
      <c r="C8" s="621"/>
      <c r="D8" s="708"/>
      <c r="E8" s="675"/>
      <c r="F8" s="738"/>
      <c r="G8" s="27" t="s">
        <v>118</v>
      </c>
      <c r="H8" s="27" t="s">
        <v>170</v>
      </c>
      <c r="I8" s="27" t="s">
        <v>160</v>
      </c>
      <c r="J8" s="27" t="s">
        <v>144</v>
      </c>
      <c r="K8" s="27" t="s">
        <v>161</v>
      </c>
      <c r="L8" s="122">
        <v>0</v>
      </c>
      <c r="M8" s="122" t="s">
        <v>47</v>
      </c>
      <c r="N8" s="27">
        <v>153</v>
      </c>
      <c r="O8" s="27">
        <v>767</v>
      </c>
      <c r="P8" s="27" t="s">
        <v>121</v>
      </c>
      <c r="Q8" s="105" t="s">
        <v>176</v>
      </c>
      <c r="R8" s="149" t="s">
        <v>187</v>
      </c>
      <c r="S8" s="141"/>
    </row>
    <row r="9" spans="1:19" ht="118.5" customHeight="1" x14ac:dyDescent="0.25">
      <c r="A9" s="742" t="s">
        <v>166</v>
      </c>
      <c r="B9" s="740">
        <v>8750000</v>
      </c>
      <c r="C9" s="745" t="s">
        <v>168</v>
      </c>
      <c r="D9" s="747">
        <f>B9</f>
        <v>8750000</v>
      </c>
      <c r="E9" s="749">
        <f>B9+D9</f>
        <v>17500000</v>
      </c>
      <c r="F9" s="741">
        <f>E9</f>
        <v>17500000</v>
      </c>
      <c r="G9" s="86" t="s">
        <v>28</v>
      </c>
      <c r="H9" s="77" t="s">
        <v>169</v>
      </c>
      <c r="I9" s="77" t="s">
        <v>119</v>
      </c>
      <c r="J9" s="77" t="s">
        <v>120</v>
      </c>
      <c r="K9" s="77" t="s">
        <v>162</v>
      </c>
      <c r="L9" s="86">
        <v>28600</v>
      </c>
      <c r="M9" s="86">
        <v>2021</v>
      </c>
      <c r="N9" s="86" t="s">
        <v>47</v>
      </c>
      <c r="O9" s="77">
        <v>28600</v>
      </c>
      <c r="P9" s="77" t="s">
        <v>121</v>
      </c>
      <c r="Q9" s="128" t="s">
        <v>177</v>
      </c>
      <c r="R9" s="144" t="s">
        <v>171</v>
      </c>
      <c r="S9" s="141"/>
    </row>
    <row r="10" spans="1:19" ht="165.75" customHeight="1" thickBot="1" x14ac:dyDescent="0.3">
      <c r="A10" s="743"/>
      <c r="B10" s="699"/>
      <c r="C10" s="746"/>
      <c r="D10" s="748"/>
      <c r="E10" s="750"/>
      <c r="F10" s="738"/>
      <c r="G10" s="76" t="s">
        <v>118</v>
      </c>
      <c r="H10" s="27" t="s">
        <v>170</v>
      </c>
      <c r="I10" s="27" t="s">
        <v>119</v>
      </c>
      <c r="J10" s="27" t="s">
        <v>120</v>
      </c>
      <c r="K10" s="76" t="s">
        <v>161</v>
      </c>
      <c r="L10" s="85">
        <v>0</v>
      </c>
      <c r="M10" s="85" t="s">
        <v>47</v>
      </c>
      <c r="N10" s="76">
        <v>100</v>
      </c>
      <c r="O10" s="76">
        <v>498</v>
      </c>
      <c r="P10" s="76" t="s">
        <v>121</v>
      </c>
      <c r="Q10" s="130" t="s">
        <v>178</v>
      </c>
      <c r="R10" s="143" t="s">
        <v>184</v>
      </c>
    </row>
    <row r="11" spans="1:19" ht="120.75" customHeight="1" x14ac:dyDescent="0.25">
      <c r="A11" s="743"/>
      <c r="B11" s="740">
        <v>16250000</v>
      </c>
      <c r="C11" s="745" t="s">
        <v>168</v>
      </c>
      <c r="D11" s="747">
        <f>B11</f>
        <v>16250000</v>
      </c>
      <c r="E11" s="749">
        <f>B11+D11</f>
        <v>32500000</v>
      </c>
      <c r="F11" s="737">
        <f>E11</f>
        <v>32500000</v>
      </c>
      <c r="G11" s="112" t="s">
        <v>39</v>
      </c>
      <c r="H11" s="77" t="s">
        <v>169</v>
      </c>
      <c r="I11" s="77" t="s">
        <v>160</v>
      </c>
      <c r="J11" s="77" t="s">
        <v>144</v>
      </c>
      <c r="K11" s="124" t="s">
        <v>162</v>
      </c>
      <c r="L11" s="112">
        <v>53104</v>
      </c>
      <c r="M11" s="112">
        <v>2021</v>
      </c>
      <c r="N11" s="112" t="s">
        <v>47</v>
      </c>
      <c r="O11" s="124">
        <v>53104</v>
      </c>
      <c r="P11" s="124" t="s">
        <v>121</v>
      </c>
      <c r="Q11" s="131" t="s">
        <v>179</v>
      </c>
      <c r="R11" s="142" t="s">
        <v>165</v>
      </c>
    </row>
    <row r="12" spans="1:19" ht="213.75" customHeight="1" thickBot="1" x14ac:dyDescent="0.3">
      <c r="A12" s="744"/>
      <c r="B12" s="751"/>
      <c r="C12" s="746"/>
      <c r="D12" s="748"/>
      <c r="E12" s="750"/>
      <c r="F12" s="738"/>
      <c r="G12" s="27" t="s">
        <v>118</v>
      </c>
      <c r="H12" s="27" t="s">
        <v>170</v>
      </c>
      <c r="I12" s="27" t="s">
        <v>160</v>
      </c>
      <c r="J12" s="27" t="s">
        <v>144</v>
      </c>
      <c r="K12" s="76" t="s">
        <v>161</v>
      </c>
      <c r="L12" s="122">
        <v>0</v>
      </c>
      <c r="M12" s="85" t="s">
        <v>47</v>
      </c>
      <c r="N12" s="76">
        <v>185</v>
      </c>
      <c r="O12" s="76">
        <v>925</v>
      </c>
      <c r="P12" s="76" t="s">
        <v>121</v>
      </c>
      <c r="Q12" s="132" t="s">
        <v>180</v>
      </c>
      <c r="R12" s="140" t="s">
        <v>185</v>
      </c>
      <c r="S12" s="141"/>
    </row>
    <row r="13" spans="1:19" ht="130.5" customHeight="1" x14ac:dyDescent="0.25">
      <c r="K13" s="19"/>
      <c r="M13" s="19"/>
      <c r="N13" s="19"/>
      <c r="O13" s="19"/>
      <c r="P13" s="19"/>
      <c r="Q13" s="22"/>
      <c r="R13" s="139"/>
    </row>
    <row r="14" spans="1:19" ht="42" customHeight="1" x14ac:dyDescent="0.25">
      <c r="A14" s="35" t="s">
        <v>143</v>
      </c>
      <c r="B14" s="46" t="s">
        <v>142</v>
      </c>
      <c r="C14" s="35" t="s">
        <v>116</v>
      </c>
      <c r="D14" s="35" t="s">
        <v>140</v>
      </c>
      <c r="E14" s="35" t="s">
        <v>112</v>
      </c>
      <c r="F14" s="35" t="s">
        <v>115</v>
      </c>
      <c r="G14" s="35" t="s">
        <v>141</v>
      </c>
      <c r="H14" s="35" t="s">
        <v>124</v>
      </c>
      <c r="I14" s="35" t="s">
        <v>123</v>
      </c>
    </row>
    <row r="15" spans="1:19" ht="42" customHeight="1" x14ac:dyDescent="0.25">
      <c r="A15" s="23" t="s">
        <v>118</v>
      </c>
      <c r="B15" s="23" t="s">
        <v>170</v>
      </c>
      <c r="C15" s="23" t="s">
        <v>161</v>
      </c>
      <c r="D15" s="18">
        <v>0</v>
      </c>
      <c r="E15" s="23" t="s">
        <v>119</v>
      </c>
      <c r="F15" s="138" t="s">
        <v>120</v>
      </c>
      <c r="G15" s="138" t="s">
        <v>47</v>
      </c>
      <c r="H15" s="148">
        <f>SUM(N6,N10)</f>
        <v>178</v>
      </c>
      <c r="I15" s="148">
        <f>SUM(O6,O10)</f>
        <v>889</v>
      </c>
    </row>
    <row r="16" spans="1:19" ht="54.75" customHeight="1" x14ac:dyDescent="0.25">
      <c r="A16" s="23" t="s">
        <v>118</v>
      </c>
      <c r="B16" s="23" t="s">
        <v>170</v>
      </c>
      <c r="C16" s="23" t="s">
        <v>161</v>
      </c>
      <c r="D16" s="18">
        <v>0</v>
      </c>
      <c r="E16" s="23" t="s">
        <v>160</v>
      </c>
      <c r="F16" s="138" t="s">
        <v>144</v>
      </c>
      <c r="G16" s="138" t="s">
        <v>47</v>
      </c>
      <c r="H16" s="148">
        <f>SUM(N8,N12)</f>
        <v>338</v>
      </c>
      <c r="I16" s="148">
        <f>SUM(O8,O12)</f>
        <v>1692</v>
      </c>
    </row>
    <row r="17" spans="1:9" ht="45.75" customHeight="1" x14ac:dyDescent="0.25">
      <c r="A17" s="18" t="s">
        <v>28</v>
      </c>
      <c r="B17" s="23" t="s">
        <v>169</v>
      </c>
      <c r="C17" s="23" t="s">
        <v>162</v>
      </c>
      <c r="D17" s="148">
        <f>SUM(L5,L9)</f>
        <v>54850</v>
      </c>
      <c r="E17" s="138" t="s">
        <v>186</v>
      </c>
      <c r="F17" s="138" t="s">
        <v>120</v>
      </c>
      <c r="G17" s="18">
        <v>2019</v>
      </c>
      <c r="H17" s="163" t="s">
        <v>47</v>
      </c>
      <c r="I17" s="148">
        <f>SUM(O5,O9)</f>
        <v>54850</v>
      </c>
    </row>
    <row r="18" spans="1:9" ht="55.5" customHeight="1" x14ac:dyDescent="0.25">
      <c r="A18" s="18" t="s">
        <v>28</v>
      </c>
      <c r="B18" s="23" t="s">
        <v>169</v>
      </c>
      <c r="C18" s="23" t="s">
        <v>162</v>
      </c>
      <c r="D18" s="148">
        <f>SUM(L7,L11)</f>
        <v>103904</v>
      </c>
      <c r="E18" s="23" t="s">
        <v>160</v>
      </c>
      <c r="F18" s="138" t="s">
        <v>144</v>
      </c>
      <c r="G18" s="18">
        <v>2019</v>
      </c>
      <c r="H18" s="163" t="s">
        <v>47</v>
      </c>
      <c r="I18" s="148">
        <f>SUM(O7,O11)</f>
        <v>103904</v>
      </c>
    </row>
    <row r="19" spans="1:9" x14ac:dyDescent="0.25">
      <c r="A19" s="147"/>
      <c r="B19" s="22"/>
    </row>
  </sheetData>
  <mergeCells count="36">
    <mergeCell ref="I3:I4"/>
    <mergeCell ref="A3:A4"/>
    <mergeCell ref="B3:B4"/>
    <mergeCell ref="C3:E3"/>
    <mergeCell ref="F3:F4"/>
    <mergeCell ref="G3:H3"/>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A9:A12"/>
    <mergeCell ref="B9:B10"/>
    <mergeCell ref="C9:C10"/>
    <mergeCell ref="D9:D10"/>
    <mergeCell ref="E9:E10"/>
    <mergeCell ref="B11:B12"/>
    <mergeCell ref="C11:C12"/>
    <mergeCell ref="D11:D12"/>
    <mergeCell ref="E11:E12"/>
    <mergeCell ref="F11:F12"/>
    <mergeCell ref="D7:D8"/>
    <mergeCell ref="E7:E8"/>
    <mergeCell ref="F7:F8"/>
    <mergeCell ref="F9:F10"/>
  </mergeCells>
  <phoneticPr fontId="2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75" zoomScaleNormal="75" workbookViewId="0">
      <selection activeCell="C4" sqref="C4"/>
    </sheetView>
  </sheetViews>
  <sheetFormatPr defaultRowHeight="15" x14ac:dyDescent="0.25"/>
  <cols>
    <col min="2" max="2" width="41.140625" customWidth="1"/>
    <col min="3" max="3" width="63.5703125" customWidth="1"/>
    <col min="4" max="4" width="66.140625" customWidth="1"/>
  </cols>
  <sheetData>
    <row r="1" spans="1:3" ht="15.75" x14ac:dyDescent="0.25">
      <c r="A1" s="231" t="s">
        <v>277</v>
      </c>
      <c r="B1" s="255" t="s">
        <v>278</v>
      </c>
      <c r="C1" s="255" t="s">
        <v>279</v>
      </c>
    </row>
    <row r="2" spans="1:3" ht="15.75" x14ac:dyDescent="0.25">
      <c r="A2" s="234">
        <v>1</v>
      </c>
      <c r="B2" s="235" t="s">
        <v>263</v>
      </c>
      <c r="C2" s="235" t="s">
        <v>280</v>
      </c>
    </row>
    <row r="3" spans="1:3" ht="31.5" x14ac:dyDescent="0.25">
      <c r="A3" s="234">
        <f>A2+1</f>
        <v>2</v>
      </c>
      <c r="B3" s="235" t="s">
        <v>264</v>
      </c>
      <c r="C3" s="261" t="s">
        <v>319</v>
      </c>
    </row>
    <row r="4" spans="1:3" ht="15.75" x14ac:dyDescent="0.25">
      <c r="A4" s="234">
        <f t="shared" ref="A4:A19" si="0">A3+1</f>
        <v>3</v>
      </c>
      <c r="B4" s="235" t="s">
        <v>116</v>
      </c>
      <c r="C4" s="267" t="s">
        <v>146</v>
      </c>
    </row>
    <row r="5" spans="1:3" ht="15.75" x14ac:dyDescent="0.25">
      <c r="A5" s="234">
        <f t="shared" si="0"/>
        <v>4</v>
      </c>
      <c r="B5" s="235" t="s">
        <v>282</v>
      </c>
      <c r="C5" s="235" t="s">
        <v>283</v>
      </c>
    </row>
    <row r="6" spans="1:3" ht="15.75" x14ac:dyDescent="0.25">
      <c r="A6" s="234">
        <f t="shared" si="0"/>
        <v>5</v>
      </c>
      <c r="B6" s="235" t="s">
        <v>140</v>
      </c>
      <c r="C6" s="256">
        <v>0</v>
      </c>
    </row>
    <row r="7" spans="1:3" ht="15.75" x14ac:dyDescent="0.25">
      <c r="A7" s="234">
        <f t="shared" si="0"/>
        <v>6</v>
      </c>
      <c r="B7" s="235" t="s">
        <v>124</v>
      </c>
      <c r="C7" s="257" t="s">
        <v>315</v>
      </c>
    </row>
    <row r="8" spans="1:3" ht="15.75" x14ac:dyDescent="0.25">
      <c r="A8" s="234">
        <f t="shared" si="0"/>
        <v>7</v>
      </c>
      <c r="B8" s="235" t="s">
        <v>123</v>
      </c>
      <c r="C8" s="257" t="s">
        <v>284</v>
      </c>
    </row>
    <row r="9" spans="1:3" ht="15.75" x14ac:dyDescent="0.25">
      <c r="A9" s="234">
        <f t="shared" si="0"/>
        <v>8</v>
      </c>
      <c r="B9" s="235" t="s">
        <v>285</v>
      </c>
      <c r="C9" s="235" t="s">
        <v>286</v>
      </c>
    </row>
    <row r="10" spans="1:3" ht="15.75" x14ac:dyDescent="0.25">
      <c r="A10" s="234">
        <f t="shared" si="0"/>
        <v>9</v>
      </c>
      <c r="B10" s="235" t="s">
        <v>287</v>
      </c>
      <c r="C10" s="235" t="s">
        <v>316</v>
      </c>
    </row>
    <row r="11" spans="1:3" ht="189" x14ac:dyDescent="0.25">
      <c r="A11" s="234">
        <f t="shared" si="0"/>
        <v>10</v>
      </c>
      <c r="B11" s="235" t="s">
        <v>289</v>
      </c>
      <c r="C11" s="258" t="s">
        <v>317</v>
      </c>
    </row>
    <row r="12" spans="1:3" ht="15.75" x14ac:dyDescent="0.25">
      <c r="A12" s="234">
        <f t="shared" si="0"/>
        <v>11</v>
      </c>
      <c r="B12" s="235" t="s">
        <v>291</v>
      </c>
      <c r="C12" s="257" t="s">
        <v>121</v>
      </c>
    </row>
    <row r="13" spans="1:3" ht="15.75" x14ac:dyDescent="0.25">
      <c r="A13" s="234">
        <f t="shared" si="0"/>
        <v>12</v>
      </c>
      <c r="B13" s="235" t="s">
        <v>292</v>
      </c>
      <c r="C13" s="235" t="s">
        <v>293</v>
      </c>
    </row>
    <row r="14" spans="1:3" ht="15.75" x14ac:dyDescent="0.25">
      <c r="A14" s="234">
        <f t="shared" si="0"/>
        <v>13</v>
      </c>
      <c r="B14" s="235" t="s">
        <v>294</v>
      </c>
      <c r="C14" s="259"/>
    </row>
    <row r="15" spans="1:3" ht="15.75" x14ac:dyDescent="0.25">
      <c r="A15" s="234">
        <f t="shared" si="0"/>
        <v>14</v>
      </c>
      <c r="B15" s="235" t="s">
        <v>295</v>
      </c>
      <c r="C15" s="260" t="s">
        <v>318</v>
      </c>
    </row>
    <row r="16" spans="1:3" ht="15.75" x14ac:dyDescent="0.25">
      <c r="A16" s="234">
        <f t="shared" si="0"/>
        <v>15</v>
      </c>
      <c r="B16" s="235" t="s">
        <v>297</v>
      </c>
      <c r="C16" s="259"/>
    </row>
    <row r="17" spans="1:3" ht="15.75" x14ac:dyDescent="0.25">
      <c r="A17" s="234">
        <f t="shared" si="0"/>
        <v>16</v>
      </c>
      <c r="B17" s="235" t="s">
        <v>298</v>
      </c>
      <c r="C17" s="235"/>
    </row>
    <row r="18" spans="1:3" ht="15.75" x14ac:dyDescent="0.25">
      <c r="A18" s="234">
        <f>A17+1</f>
        <v>17</v>
      </c>
      <c r="B18" s="235" t="s">
        <v>299</v>
      </c>
      <c r="C18" s="259"/>
    </row>
    <row r="19" spans="1:3" ht="15.75" x14ac:dyDescent="0.25">
      <c r="A19" s="234">
        <f t="shared" si="0"/>
        <v>18</v>
      </c>
      <c r="B19" s="235" t="s">
        <v>300</v>
      </c>
      <c r="C19" s="23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9"/>
  <sheetViews>
    <sheetView zoomScale="75" zoomScaleNormal="75" workbookViewId="0">
      <selection activeCell="C32" sqref="C32"/>
    </sheetView>
  </sheetViews>
  <sheetFormatPr defaultColWidth="9.140625" defaultRowHeight="15.75" x14ac:dyDescent="0.25"/>
  <cols>
    <col min="1" max="1" width="9.140625" style="243"/>
    <col min="2" max="2" width="41.7109375" style="233" customWidth="1"/>
    <col min="3" max="3" width="75.42578125" style="233" customWidth="1"/>
    <col min="4" max="4" width="36.85546875" style="243" customWidth="1"/>
    <col min="5" max="16384" width="9.140625" style="233"/>
  </cols>
  <sheetData>
    <row r="1" spans="1:3" s="233" customFormat="1" x14ac:dyDescent="0.25">
      <c r="A1" s="231" t="s">
        <v>277</v>
      </c>
      <c r="B1" s="232" t="s">
        <v>278</v>
      </c>
      <c r="C1" s="232" t="s">
        <v>279</v>
      </c>
    </row>
    <row r="2" spans="1:3" s="233" customFormat="1" x14ac:dyDescent="0.25">
      <c r="A2" s="234">
        <v>1</v>
      </c>
      <c r="B2" s="235" t="s">
        <v>263</v>
      </c>
      <c r="C2" s="236" t="s">
        <v>280</v>
      </c>
    </row>
    <row r="3" spans="1:3" s="233" customFormat="1" ht="47.25" x14ac:dyDescent="0.25">
      <c r="A3" s="234">
        <f>A2+1</f>
        <v>2</v>
      </c>
      <c r="B3" s="235" t="s">
        <v>264</v>
      </c>
      <c r="C3" s="237" t="s">
        <v>281</v>
      </c>
    </row>
    <row r="4" spans="1:3" s="233" customFormat="1" x14ac:dyDescent="0.25">
      <c r="A4" s="234">
        <f t="shared" ref="A4:A19" si="0">A3+1</f>
        <v>3</v>
      </c>
      <c r="B4" s="235" t="s">
        <v>116</v>
      </c>
      <c r="C4" s="236" t="s">
        <v>190</v>
      </c>
    </row>
    <row r="5" spans="1:3" s="233" customFormat="1" x14ac:dyDescent="0.25">
      <c r="A5" s="234">
        <f t="shared" si="0"/>
        <v>4</v>
      </c>
      <c r="B5" s="235" t="s">
        <v>282</v>
      </c>
      <c r="C5" s="236" t="s">
        <v>283</v>
      </c>
    </row>
    <row r="6" spans="1:3" s="233" customFormat="1" x14ac:dyDescent="0.25">
      <c r="A6" s="234">
        <f t="shared" si="0"/>
        <v>5</v>
      </c>
      <c r="B6" s="235" t="s">
        <v>140</v>
      </c>
      <c r="C6" s="238">
        <v>0</v>
      </c>
    </row>
    <row r="7" spans="1:3" s="233" customFormat="1" x14ac:dyDescent="0.25">
      <c r="A7" s="234">
        <f t="shared" si="0"/>
        <v>6</v>
      </c>
      <c r="B7" s="235" t="s">
        <v>124</v>
      </c>
      <c r="C7" s="239" t="s">
        <v>284</v>
      </c>
    </row>
    <row r="8" spans="1:3" s="233" customFormat="1" x14ac:dyDescent="0.25">
      <c r="A8" s="234">
        <f t="shared" si="0"/>
        <v>7</v>
      </c>
      <c r="B8" s="235" t="s">
        <v>123</v>
      </c>
      <c r="C8" s="239" t="s">
        <v>284</v>
      </c>
    </row>
    <row r="9" spans="1:3" s="233" customFormat="1" x14ac:dyDescent="0.25">
      <c r="A9" s="234">
        <f t="shared" si="0"/>
        <v>8</v>
      </c>
      <c r="B9" s="235" t="s">
        <v>285</v>
      </c>
      <c r="C9" s="236" t="s">
        <v>286</v>
      </c>
    </row>
    <row r="10" spans="1:3" s="233" customFormat="1" x14ac:dyDescent="0.25">
      <c r="A10" s="234">
        <f t="shared" si="0"/>
        <v>9</v>
      </c>
      <c r="B10" s="235" t="s">
        <v>287</v>
      </c>
      <c r="C10" s="236" t="s">
        <v>288</v>
      </c>
    </row>
    <row r="11" spans="1:3" s="233" customFormat="1" ht="31.5" x14ac:dyDescent="0.25">
      <c r="A11" s="234">
        <f t="shared" si="0"/>
        <v>10</v>
      </c>
      <c r="B11" s="235" t="s">
        <v>289</v>
      </c>
      <c r="C11" s="240" t="s">
        <v>290</v>
      </c>
    </row>
    <row r="12" spans="1:3" s="233" customFormat="1" x14ac:dyDescent="0.25">
      <c r="A12" s="234">
        <f t="shared" si="0"/>
        <v>11</v>
      </c>
      <c r="B12" s="235" t="s">
        <v>291</v>
      </c>
      <c r="C12" s="239" t="s">
        <v>121</v>
      </c>
    </row>
    <row r="13" spans="1:3" s="233" customFormat="1" x14ac:dyDescent="0.25">
      <c r="A13" s="234">
        <f t="shared" si="0"/>
        <v>12</v>
      </c>
      <c r="B13" s="235" t="s">
        <v>292</v>
      </c>
      <c r="C13" s="236" t="s">
        <v>293</v>
      </c>
    </row>
    <row r="14" spans="1:3" s="233" customFormat="1" x14ac:dyDescent="0.25">
      <c r="A14" s="234">
        <f t="shared" si="0"/>
        <v>13</v>
      </c>
      <c r="B14" s="235" t="s">
        <v>294</v>
      </c>
      <c r="C14" s="241"/>
    </row>
    <row r="15" spans="1:3" s="233" customFormat="1" ht="31.5" x14ac:dyDescent="0.25">
      <c r="A15" s="234">
        <f t="shared" si="0"/>
        <v>14</v>
      </c>
      <c r="B15" s="235" t="s">
        <v>295</v>
      </c>
      <c r="C15" s="242" t="s">
        <v>296</v>
      </c>
    </row>
    <row r="16" spans="1:3" s="233" customFormat="1" x14ac:dyDescent="0.25">
      <c r="A16" s="234">
        <f t="shared" si="0"/>
        <v>15</v>
      </c>
      <c r="B16" s="235" t="s">
        <v>297</v>
      </c>
      <c r="C16" s="241"/>
    </row>
    <row r="17" spans="1:17" x14ac:dyDescent="0.25">
      <c r="A17" s="234">
        <f t="shared" si="0"/>
        <v>16</v>
      </c>
      <c r="B17" s="235" t="s">
        <v>298</v>
      </c>
      <c r="C17" s="236"/>
    </row>
    <row r="18" spans="1:17" x14ac:dyDescent="0.25">
      <c r="A18" s="234">
        <f>A17+1</f>
        <v>17</v>
      </c>
      <c r="B18" s="235" t="s">
        <v>299</v>
      </c>
      <c r="C18" s="241"/>
      <c r="M18" s="244"/>
      <c r="N18" s="244"/>
      <c r="O18" s="244"/>
      <c r="P18" s="244"/>
      <c r="Q18" s="244"/>
    </row>
    <row r="19" spans="1:17" x14ac:dyDescent="0.25">
      <c r="A19" s="234">
        <f t="shared" si="0"/>
        <v>18</v>
      </c>
      <c r="B19" s="235" t="s">
        <v>300</v>
      </c>
      <c r="C19" s="23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50B916-2488-43D2-8BF8-930DBC63F1D7}">
  <ds:schemaRefs>
    <ds:schemaRef ds:uri="d2426d7b-0fc7-434c-bfb8-842f1e3498f8"/>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http://purl.org/dc/terms/"/>
    <ds:schemaRef ds:uri="7e1cde7d-1d3d-42a6-b142-3e8b75033348"/>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001328FB-344B-49E6-80F0-5AD1B8E393BF}">
  <ds:schemaRefs>
    <ds:schemaRef ds:uri="http://schemas.microsoft.com/sharepoint/v3/contenttype/forms"/>
  </ds:schemaRefs>
</ds:datastoreItem>
</file>

<file path=customXml/itemProps3.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2PO 2.1</vt:lpstr>
      <vt:lpstr>2PO 2.1 (e)</vt:lpstr>
      <vt:lpstr>2PO 2.1 (eng)</vt:lpstr>
      <vt:lpstr>2PO 2.2 (eng)</vt:lpstr>
      <vt:lpstr>2PO 2.3 (eng)</vt:lpstr>
      <vt:lpstr>F Specific output 2.1.1 (1)</vt:lpstr>
      <vt:lpstr>F Specific output 2.1.3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2024-06-18T09:55:25Z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