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658B30B8-C597-4B09-8653-82C5986BFB1F}" xr6:coauthVersionLast="47" xr6:coauthVersionMax="47" xr10:uidLastSave="{00000000-0000-0000-0000-000000000000}"/>
  <bookViews>
    <workbookView xWindow="-108" yWindow="-108" windowWidth="23256" windowHeight="12456" firstSheet="4" activeTab="4" xr2:uid="{00000000-000D-0000-FFFF-FFFF00000000}"/>
  </bookViews>
  <sheets>
    <sheet name="Intervencijų lėšos (2)" sheetId="17" state="hidden" r:id="rId1"/>
    <sheet name="2PO 2.2" sheetId="6" state="hidden" r:id="rId2"/>
    <sheet name="2PO 2.8" sheetId="12" state="hidden" r:id="rId3"/>
    <sheet name="3PO 3.1" sheetId="13" state="hidden" r:id="rId4"/>
    <sheet name="3.1." sheetId="14" r:id="rId5"/>
    <sheet name="5PO" sheetId="18" state="hidden" r:id="rId6"/>
    <sheet name="F Specific output 3.1.1 (1)" sheetId="19" r:id="rId7"/>
    <sheet name="F Specific result 3.1.1 (1)" sheetId="20" r:id="rId8"/>
    <sheet name="F Specific result 3.1.1 (2)" sheetId="21" r:id="rId9"/>
    <sheet name="F Specific output 3.1.1 (3)" sheetId="28" r:id="rId10"/>
    <sheet name="F Specific result 3.1.1 (3)" sheetId="23" r:id="rId11"/>
    <sheet name="F Specific output 3.1.1 (4)" sheetId="22" r:id="rId12"/>
    <sheet name="F Specific result 3.1.1 (4)" sheetId="27" r:id="rId13"/>
    <sheet name="F Specific output 3.1.2 (1)" sheetId="24" r:id="rId14"/>
    <sheet name="F Specific result 3.1.2 (1)" sheetId="25" r:id="rId15"/>
  </sheets>
  <externalReferences>
    <externalReference r:id="rId16"/>
  </externalReferences>
  <definedNames>
    <definedName name="_xlnm._FilterDatabase" localSheetId="4" hidden="1">'3.1.'!$A$5:$AF$36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4" l="1"/>
  <c r="C37" i="14"/>
  <c r="G15" i="14" l="1"/>
  <c r="G10" i="14"/>
  <c r="G8" i="14"/>
  <c r="I43" i="14" l="1"/>
  <c r="I44" i="14"/>
  <c r="I56" i="14"/>
  <c r="I57" i="14"/>
  <c r="I58" i="14"/>
  <c r="E17" i="14" l="1"/>
  <c r="F17" i="14" s="1"/>
  <c r="G17" i="14" s="1"/>
  <c r="E13" i="14"/>
  <c r="G13" i="14"/>
  <c r="E6" i="14"/>
  <c r="G6" i="14"/>
  <c r="D42" i="14" l="1"/>
  <c r="I42" i="14" l="1"/>
  <c r="C34" i="14" l="1"/>
  <c r="F13" i="14" l="1"/>
  <c r="I47" i="14"/>
  <c r="D47" i="14"/>
  <c r="I46" i="14"/>
  <c r="D46" i="14"/>
  <c r="C47" i="14" l="1"/>
  <c r="B47" i="14"/>
  <c r="H46" i="14"/>
  <c r="C46" i="14"/>
  <c r="B46" i="14"/>
  <c r="C55" i="14" l="1"/>
  <c r="B55" i="14"/>
  <c r="A55" i="14"/>
  <c r="C54" i="14"/>
  <c r="B54" i="14"/>
  <c r="A54" i="14"/>
  <c r="C53" i="14"/>
  <c r="B53" i="14"/>
  <c r="A53" i="14"/>
  <c r="C52" i="14"/>
  <c r="B52" i="14"/>
  <c r="A52" i="14"/>
  <c r="C51" i="14"/>
  <c r="B51" i="14"/>
  <c r="A51" i="14"/>
  <c r="C50" i="14"/>
  <c r="B50" i="14"/>
  <c r="A50" i="14"/>
  <c r="C49" i="14"/>
  <c r="B49" i="14"/>
  <c r="A49" i="14"/>
  <c r="C48" i="14"/>
  <c r="B48" i="14"/>
  <c r="A48" i="14"/>
  <c r="C45" i="14"/>
  <c r="B45" i="14"/>
  <c r="A45" i="14"/>
  <c r="C44" i="14"/>
  <c r="B44" i="14"/>
  <c r="A44" i="14"/>
  <c r="C43" i="14"/>
  <c r="B43" i="14"/>
  <c r="A43" i="14"/>
  <c r="C42" i="14"/>
  <c r="B42" i="14"/>
  <c r="A42" i="14"/>
  <c r="C41" i="14"/>
  <c r="B41" i="14"/>
  <c r="A41" i="14"/>
  <c r="E21" i="14" l="1"/>
  <c r="E27" i="14"/>
  <c r="E24" i="14"/>
  <c r="E19" i="14" l="1"/>
  <c r="E32" i="14" l="1"/>
  <c r="G52" i="14" l="1"/>
  <c r="I50" i="14" l="1"/>
  <c r="D50" i="14"/>
  <c r="D49" i="14"/>
  <c r="D48" i="14"/>
  <c r="I52" i="14"/>
  <c r="D52" i="14"/>
  <c r="I53" i="14"/>
  <c r="D53" i="14"/>
  <c r="I51" i="14"/>
  <c r="D51" i="14"/>
  <c r="H49" i="14"/>
  <c r="I49" i="14"/>
  <c r="C35" i="14"/>
  <c r="D43" i="14" l="1"/>
  <c r="F24" i="14" l="1"/>
  <c r="E35" i="14"/>
  <c r="M34" i="14"/>
  <c r="G24" i="14" l="1"/>
  <c r="G35" i="14" s="1"/>
  <c r="F35" i="14"/>
  <c r="I45" i="14" l="1"/>
  <c r="D45" i="14"/>
  <c r="H44" i="14"/>
  <c r="D44" i="14"/>
  <c r="H41" i="14"/>
  <c r="D41" i="14"/>
  <c r="H43" i="14" l="1"/>
  <c r="H18" i="18"/>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44" i="17"/>
  <c r="H45" i="17"/>
  <c r="K30" i="17" l="1"/>
  <c r="P20" i="17"/>
  <c r="H50" i="17"/>
  <c r="I30" i="17"/>
  <c r="H49" i="17"/>
  <c r="I33" i="17"/>
  <c r="H48" i="17"/>
  <c r="J33" i="17"/>
  <c r="K32" i="17" s="1"/>
  <c r="K34" i="17" s="1"/>
  <c r="I31" i="17"/>
  <c r="N18" i="17"/>
  <c r="I32" i="17"/>
  <c r="P21" i="17"/>
  <c r="I34" i="17" l="1"/>
  <c r="J34" i="17"/>
  <c r="P7" i="12" l="1"/>
  <c r="C33" i="13" l="1"/>
  <c r="C32" i="13"/>
  <c r="I21" i="12"/>
  <c r="C34" i="13" l="1"/>
  <c r="H25" i="12"/>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P8" i="13" l="1"/>
  <c r="P9" i="13"/>
  <c r="I60" i="13" s="1"/>
  <c r="F19" i="14" l="1"/>
  <c r="F13" i="6"/>
  <c r="I91" i="6"/>
  <c r="I90" i="6"/>
  <c r="D87" i="6"/>
  <c r="H90" i="6"/>
  <c r="G19" i="14" l="1"/>
  <c r="E47" i="6"/>
  <c r="F47" i="6" s="1"/>
  <c r="G47" i="6" s="1"/>
  <c r="B47" i="6" l="1"/>
  <c r="E43" i="6"/>
  <c r="I55" i="14" l="1"/>
  <c r="H55" i="14"/>
  <c r="D55" i="14"/>
  <c r="D54" i="14"/>
  <c r="D59" i="14" l="1"/>
  <c r="D61" i="13"/>
  <c r="D60" i="13"/>
  <c r="D59" i="13"/>
  <c r="I58" i="13"/>
  <c r="D58" i="13"/>
  <c r="D57" i="13"/>
  <c r="I56" i="13"/>
  <c r="H56" i="13"/>
  <c r="D56" i="13"/>
  <c r="D55" i="13"/>
  <c r="D54" i="13"/>
  <c r="I25" i="12"/>
  <c r="D25" i="12"/>
  <c r="I24" i="12"/>
  <c r="H24" i="12"/>
  <c r="D24" i="12"/>
  <c r="D21" i="12"/>
  <c r="H91" i="6"/>
  <c r="E10" i="12" l="1"/>
  <c r="E30" i="14" l="1"/>
  <c r="F21" i="14"/>
  <c r="F44" i="13"/>
  <c r="F42" i="13"/>
  <c r="F26" i="13"/>
  <c r="E22" i="13"/>
  <c r="F22" i="13" s="1"/>
  <c r="G22" i="13" s="1"/>
  <c r="F18" i="13"/>
  <c r="G18" i="13" s="1"/>
  <c r="F10" i="13"/>
  <c r="E6" i="13"/>
  <c r="F6" i="13" s="1"/>
  <c r="G6" i="13" s="1"/>
  <c r="C30" i="13"/>
  <c r="C68" i="6"/>
  <c r="C17" i="12"/>
  <c r="G21" i="14" l="1"/>
  <c r="B6" i="13"/>
  <c r="G10" i="13"/>
  <c r="B10" i="13"/>
  <c r="D42" i="13"/>
  <c r="G42" i="13" s="1"/>
  <c r="D44" i="13"/>
  <c r="F32" i="14"/>
  <c r="F30" i="14"/>
  <c r="G30" i="14" s="1"/>
  <c r="F27" i="14"/>
  <c r="G26" i="13"/>
  <c r="B26" i="13"/>
  <c r="E14" i="13"/>
  <c r="F14" i="13" s="1"/>
  <c r="B22" i="13"/>
  <c r="B18" i="13"/>
  <c r="G27" i="14" l="1"/>
  <c r="O27" i="14" s="1"/>
  <c r="B21" i="14"/>
  <c r="I41" i="14"/>
  <c r="H54" i="14"/>
  <c r="I54" i="14"/>
  <c r="G32" i="14"/>
  <c r="G14" i="13"/>
  <c r="B14" i="13"/>
  <c r="I48" i="14" l="1"/>
  <c r="I59" i="14" s="1"/>
  <c r="O21" i="14"/>
  <c r="P34" i="14"/>
  <c r="E7" i="12"/>
  <c r="F7" i="12" s="1"/>
  <c r="G7" i="12" s="1"/>
  <c r="P9" i="12" s="1"/>
  <c r="C13" i="12"/>
  <c r="F10" i="12"/>
  <c r="G10" i="12" s="1"/>
  <c r="J59" i="14" l="1"/>
  <c r="H48" i="14"/>
  <c r="H59" i="14" s="1"/>
  <c r="O34" i="14"/>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 r="E48" i="13" l="1"/>
  <c r="F6" i="14"/>
  <c r="B6" i="14" s="1"/>
  <c r="F34" i="14" l="1"/>
  <c r="F36" i="14" s="1"/>
  <c r="C36" i="14"/>
  <c r="E34" i="14"/>
  <c r="G3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3" authorId="0" shapeId="0" xr:uid="{00000000-0006-0000-0100-000001000000}">
      <text>
        <r>
          <rPr>
            <b/>
            <sz val="9"/>
            <color indexed="81"/>
            <rFont val="Tahoma"/>
            <family val="2"/>
            <charset val="186"/>
          </rPr>
          <t>Autorius:</t>
        </r>
        <r>
          <rPr>
            <sz val="9"/>
            <color indexed="81"/>
            <rFont val="Tahoma"/>
            <family val="2"/>
            <charset val="186"/>
          </rPr>
          <t xml:space="preserve">
išskirkit kiekvienam intervencijos kodui</t>
        </r>
      </text>
    </comment>
    <comment ref="C23" authorId="0" shapeId="0" xr:uid="{00000000-0006-0000-0100-000002000000}">
      <text>
        <r>
          <rPr>
            <b/>
            <sz val="9"/>
            <color indexed="81"/>
            <rFont val="Tahoma"/>
            <family val="2"/>
            <charset val="186"/>
          </rPr>
          <t>Autorius:</t>
        </r>
        <r>
          <rPr>
            <sz val="9"/>
            <color indexed="81"/>
            <rFont val="Tahoma"/>
            <family val="2"/>
            <charset val="186"/>
          </rPr>
          <t xml:space="preserve">
išskirkit kiekvienam intervencijos kodui</t>
        </r>
      </text>
    </comment>
    <comment ref="D23" authorId="0" shapeId="0" xr:uid="{00000000-0006-0000-0100-000003000000}">
      <text>
        <r>
          <rPr>
            <b/>
            <sz val="9"/>
            <color indexed="81"/>
            <rFont val="Tahoma"/>
            <family val="2"/>
            <charset val="186"/>
          </rPr>
          <t>Autorius:</t>
        </r>
        <r>
          <rPr>
            <sz val="9"/>
            <color indexed="81"/>
            <rFont val="Tahoma"/>
            <family val="2"/>
            <charset val="186"/>
          </rPr>
          <t xml:space="preserve">
EK siūlo tik 2.1 uždaviniui</t>
        </r>
      </text>
    </comment>
    <comment ref="C35" authorId="0" shapeId="0" xr:uid="{00000000-0006-0000-0100-000004000000}">
      <text>
        <r>
          <rPr>
            <b/>
            <sz val="9"/>
            <color indexed="81"/>
            <rFont val="Tahoma"/>
            <family val="2"/>
            <charset val="186"/>
          </rPr>
          <t>Autorius:</t>
        </r>
        <r>
          <rPr>
            <sz val="9"/>
            <color indexed="81"/>
            <rFont val="Tahoma"/>
            <family val="2"/>
            <charset val="186"/>
          </rPr>
          <t xml:space="preserve">
išskirkit kiekvienam intervencijos kodui</t>
        </r>
      </text>
    </comment>
    <comment ref="D41" authorId="0" shapeId="0" xr:uid="{00000000-0006-0000-0100-000005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shapeId="0" xr:uid="{00000000-0006-0000-0100-000006000000}">
      <text>
        <r>
          <rPr>
            <b/>
            <sz val="9"/>
            <color indexed="81"/>
            <rFont val="Tahoma"/>
            <family val="2"/>
            <charset val="186"/>
          </rPr>
          <t>Autorius:</t>
        </r>
        <r>
          <rPr>
            <sz val="9"/>
            <color indexed="81"/>
            <rFont val="Tahoma"/>
            <family val="2"/>
            <charset val="186"/>
          </rPr>
          <t xml:space="preserve">
n/a produkto rodikliams</t>
        </r>
      </text>
    </comment>
    <comment ref="I42" authorId="0" shapeId="0" xr:uid="{00000000-0006-0000-0100-000007000000}">
      <text>
        <r>
          <rPr>
            <b/>
            <sz val="9"/>
            <color indexed="81"/>
            <rFont val="Tahoma"/>
            <family val="2"/>
            <charset val="186"/>
          </rPr>
          <t>Autorius:</t>
        </r>
        <r>
          <rPr>
            <sz val="9"/>
            <color indexed="81"/>
            <rFont val="Tahoma"/>
            <family val="2"/>
            <charset val="186"/>
          </rPr>
          <t xml:space="preserve">
angliskai</t>
        </r>
      </text>
    </comment>
    <comment ref="J43" authorId="0" shapeId="0" xr:uid="{00000000-0006-0000-0100-000008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shapeId="0" xr:uid="{00000000-0006-0000-0100-000009000000}">
      <text>
        <r>
          <rPr>
            <b/>
            <sz val="9"/>
            <color indexed="81"/>
            <rFont val="Tahoma"/>
            <family val="2"/>
            <charset val="186"/>
          </rPr>
          <t>Autorius:</t>
        </r>
        <r>
          <rPr>
            <sz val="9"/>
            <color indexed="81"/>
            <rFont val="Tahoma"/>
            <family val="2"/>
            <charset val="186"/>
          </rPr>
          <t xml:space="preserve">
angliskai</t>
        </r>
      </text>
    </comment>
    <comment ref="D45" authorId="0" shapeId="0" xr:uid="{00000000-0006-0000-0100-00000A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shapeId="0" xr:uid="{00000000-0006-0000-0100-00000B000000}">
      <text>
        <r>
          <rPr>
            <b/>
            <sz val="9"/>
            <color indexed="81"/>
            <rFont val="Tahoma"/>
            <family val="2"/>
            <charset val="186"/>
          </rPr>
          <t>Autorius:</t>
        </r>
        <r>
          <rPr>
            <sz val="9"/>
            <color indexed="81"/>
            <rFont val="Tahoma"/>
            <family val="2"/>
            <charset val="186"/>
          </rPr>
          <t xml:space="preserve">
angliskai</t>
        </r>
      </text>
    </comment>
    <comment ref="K45" authorId="0" shapeId="0" xr:uid="{00000000-0006-0000-0100-00000C00000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shapeId="0" xr:uid="{00000000-0006-0000-0100-00000D000000}">
      <text>
        <r>
          <rPr>
            <b/>
            <sz val="9"/>
            <color indexed="81"/>
            <rFont val="Tahoma"/>
            <family val="2"/>
            <charset val="186"/>
          </rPr>
          <t>Autorius:</t>
        </r>
        <r>
          <rPr>
            <sz val="9"/>
            <color indexed="81"/>
            <rFont val="Tahoma"/>
            <family val="2"/>
            <charset val="186"/>
          </rPr>
          <t xml:space="preserve">
produkto?</t>
        </r>
      </text>
    </comment>
    <comment ref="I47" authorId="0" shapeId="0" xr:uid="{00000000-0006-0000-0100-00000E000000}">
      <text>
        <r>
          <rPr>
            <b/>
            <sz val="9"/>
            <color indexed="81"/>
            <rFont val="Tahoma"/>
            <family val="2"/>
            <charset val="186"/>
          </rPr>
          <t>Autorius:</t>
        </r>
        <r>
          <rPr>
            <sz val="9"/>
            <color indexed="81"/>
            <rFont val="Tahoma"/>
            <family val="2"/>
            <charset val="186"/>
          </rPr>
          <t xml:space="preserve">
angliskai</t>
        </r>
      </text>
    </comment>
    <comment ref="J47" authorId="0" shapeId="0" xr:uid="{00000000-0006-0000-0100-00000F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shapeId="0" xr:uid="{00000000-0006-0000-0100-000010000000}">
      <text>
        <r>
          <rPr>
            <b/>
            <sz val="9"/>
            <color indexed="81"/>
            <rFont val="Tahoma"/>
            <family val="2"/>
            <charset val="186"/>
          </rPr>
          <t>Autorius:</t>
        </r>
        <r>
          <rPr>
            <sz val="9"/>
            <color indexed="81"/>
            <rFont val="Tahoma"/>
            <family val="2"/>
            <charset val="186"/>
          </rPr>
          <t xml:space="preserve">
produkto?</t>
        </r>
      </text>
    </comment>
    <comment ref="C49" authorId="0" shapeId="0" xr:uid="{00000000-0006-0000-0100-000011000000}">
      <text>
        <r>
          <rPr>
            <b/>
            <sz val="9"/>
            <color indexed="81"/>
            <rFont val="Tahoma"/>
            <family val="2"/>
            <charset val="186"/>
          </rPr>
          <t>Autorius:</t>
        </r>
        <r>
          <rPr>
            <sz val="9"/>
            <color indexed="81"/>
            <rFont val="Tahoma"/>
            <family val="2"/>
            <charset val="186"/>
          </rPr>
          <t xml:space="preserve">
išskirkit kiekvienam intervencijos kodui</t>
        </r>
      </text>
    </comment>
    <comment ref="D61" authorId="0" shapeId="0" xr:uid="{00000000-0006-0000-0100-000012000000}">
      <text>
        <r>
          <rPr>
            <b/>
            <sz val="9"/>
            <color indexed="81"/>
            <rFont val="Tahoma"/>
            <family val="2"/>
            <charset val="186"/>
          </rPr>
          <t>Autorius:</t>
        </r>
        <r>
          <rPr>
            <sz val="9"/>
            <color indexed="81"/>
            <rFont val="Tahoma"/>
            <family val="2"/>
            <charset val="186"/>
          </rPr>
          <t xml:space="preserve">
EK siūlo naudoti 2.1 uzdavinyje</t>
        </r>
      </text>
    </comment>
    <comment ref="D65" authorId="0" shapeId="0" xr:uid="{00000000-0006-0000-0100-000013000000}">
      <text>
        <r>
          <rPr>
            <b/>
            <sz val="9"/>
            <color indexed="81"/>
            <rFont val="Tahoma"/>
            <family val="2"/>
            <charset val="186"/>
          </rPr>
          <t>Autorius:</t>
        </r>
        <r>
          <rPr>
            <sz val="9"/>
            <color indexed="81"/>
            <rFont val="Tahoma"/>
            <family val="2"/>
            <charset val="186"/>
          </rPr>
          <t xml:space="preserve">
EK siūlo nadoti 2.3 uždavinyje</t>
        </r>
      </text>
    </comment>
    <comment ref="H65" authorId="0" shapeId="0" xr:uid="{00000000-0006-0000-0100-000014000000}">
      <text>
        <r>
          <rPr>
            <b/>
            <sz val="9"/>
            <color indexed="81"/>
            <rFont val="Tahoma"/>
            <family val="2"/>
            <charset val="186"/>
          </rPr>
          <t>Autorius:</t>
        </r>
        <r>
          <rPr>
            <sz val="9"/>
            <color indexed="81"/>
            <rFont val="Tahoma"/>
            <family val="2"/>
            <charset val="186"/>
          </rPr>
          <t xml:space="preserve">
kuris produkto, kuris rezultato?</t>
        </r>
      </text>
    </comment>
    <comment ref="C67" authorId="0" shapeId="0" xr:uid="{00000000-0006-0000-0100-000015000000}">
      <text>
        <r>
          <rPr>
            <b/>
            <sz val="9"/>
            <color indexed="81"/>
            <rFont val="Tahoma"/>
            <family val="2"/>
            <charset val="186"/>
          </rPr>
          <t>Autorius:</t>
        </r>
        <r>
          <rPr>
            <sz val="9"/>
            <color indexed="81"/>
            <rFont val="Tahoma"/>
            <family val="2"/>
            <charset val="186"/>
          </rPr>
          <t xml:space="preserve">
SM</t>
        </r>
      </text>
    </comment>
    <comment ref="C68" authorId="0" shapeId="0" xr:uid="{00000000-0006-0000-0100-00001600000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2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200-000002000000}">
      <text>
        <r>
          <rPr>
            <b/>
            <sz val="9"/>
            <color indexed="81"/>
            <rFont val="Tahoma"/>
            <family val="2"/>
            <charset val="186"/>
          </rPr>
          <t>Autorius:</t>
        </r>
        <r>
          <rPr>
            <sz val="9"/>
            <color indexed="81"/>
            <rFont val="Tahoma"/>
            <family val="2"/>
            <charset val="186"/>
          </rPr>
          <t xml:space="preserve">
ES+LT</t>
        </r>
      </text>
    </comment>
    <comment ref="E7" authorId="0" shapeId="0" xr:uid="{00000000-0006-0000-0200-000003000000}">
      <text>
        <r>
          <rPr>
            <b/>
            <sz val="9"/>
            <color indexed="81"/>
            <rFont val="Tahoma"/>
            <family val="2"/>
            <charset val="186"/>
          </rPr>
          <t>Autorius:</t>
        </r>
        <r>
          <rPr>
            <sz val="9"/>
            <color indexed="81"/>
            <rFont val="Tahoma"/>
            <family val="2"/>
            <charset val="186"/>
          </rPr>
          <t xml:space="preserve">
Jus paskaiciavote 70, as randu, kad 85 proc.</t>
        </r>
      </text>
    </comment>
    <comment ref="I7" authorId="0" shapeId="0" xr:uid="{00000000-0006-0000-0200-000004000000}">
      <text>
        <r>
          <rPr>
            <b/>
            <sz val="9"/>
            <color indexed="81"/>
            <rFont val="Tahoma"/>
            <family val="2"/>
            <charset val="186"/>
          </rPr>
          <t>Autorius:</t>
        </r>
        <r>
          <rPr>
            <sz val="9"/>
            <color indexed="81"/>
            <rFont val="Tahoma"/>
            <family val="2"/>
            <charset val="186"/>
          </rPr>
          <t xml:space="preserve">
angliskai</t>
        </r>
      </text>
    </comment>
    <comment ref="L7" authorId="0" shapeId="0" xr:uid="{00000000-0006-0000-0200-000005000000}">
      <text>
        <r>
          <rPr>
            <b/>
            <sz val="9"/>
            <color indexed="81"/>
            <rFont val="Tahoma"/>
            <family val="2"/>
            <charset val="186"/>
          </rPr>
          <t>Autorius:</t>
        </r>
        <r>
          <rPr>
            <sz val="9"/>
            <color indexed="81"/>
            <rFont val="Tahoma"/>
            <family val="2"/>
            <charset val="186"/>
          </rPr>
          <t xml:space="preserve">
angliskai</t>
        </r>
      </text>
    </comment>
    <comment ref="O7" authorId="0" shapeId="0" xr:uid="{00000000-0006-0000-0200-000006000000}">
      <text>
        <r>
          <rPr>
            <b/>
            <sz val="9"/>
            <color indexed="81"/>
            <rFont val="Tahoma"/>
            <family val="2"/>
            <charset val="186"/>
          </rPr>
          <t>Autorius:</t>
        </r>
        <r>
          <rPr>
            <sz val="9"/>
            <color indexed="81"/>
            <rFont val="Tahoma"/>
            <family val="2"/>
            <charset val="186"/>
          </rPr>
          <t xml:space="preserve">
n/a rezultato rodikliui</t>
        </r>
      </text>
    </comment>
    <comment ref="H8" authorId="0" shapeId="0" xr:uid="{00000000-0006-0000-0200-000007000000}">
      <text>
        <r>
          <rPr>
            <b/>
            <sz val="9"/>
            <color indexed="81"/>
            <rFont val="Tahoma"/>
            <family val="2"/>
            <charset val="186"/>
          </rPr>
          <t>Autorius:</t>
        </r>
        <r>
          <rPr>
            <sz val="9"/>
            <color indexed="81"/>
            <rFont val="Tahoma"/>
            <family val="2"/>
            <charset val="186"/>
          </rPr>
          <t xml:space="preserve">
produkto?</t>
        </r>
      </text>
    </comment>
    <comment ref="N8" authorId="0" shapeId="0" xr:uid="{00000000-0006-0000-0200-000008000000}">
      <text>
        <r>
          <rPr>
            <b/>
            <sz val="9"/>
            <color indexed="81"/>
            <rFont val="Tahoma"/>
            <family val="2"/>
            <charset val="186"/>
          </rPr>
          <t>Autorius:</t>
        </r>
        <r>
          <rPr>
            <sz val="9"/>
            <color indexed="81"/>
            <rFont val="Tahoma"/>
            <family val="2"/>
            <charset val="186"/>
          </rPr>
          <t xml:space="preserve">
n/a produkto rodikliui</t>
        </r>
      </text>
    </comment>
    <comment ref="H9" authorId="0" shapeId="0" xr:uid="{00000000-0006-0000-0200-000009000000}">
      <text>
        <r>
          <rPr>
            <b/>
            <sz val="9"/>
            <color indexed="81"/>
            <rFont val="Tahoma"/>
            <family val="2"/>
            <charset val="186"/>
          </rPr>
          <t>Autorius:</t>
        </r>
        <r>
          <rPr>
            <sz val="9"/>
            <color indexed="81"/>
            <rFont val="Tahoma"/>
            <family val="2"/>
            <charset val="186"/>
          </rPr>
          <t xml:space="preserve">
produkto?</t>
        </r>
      </text>
    </comment>
    <comment ref="N9" authorId="0" shapeId="0" xr:uid="{00000000-0006-0000-0200-00000A000000}">
      <text>
        <r>
          <rPr>
            <b/>
            <sz val="9"/>
            <color indexed="81"/>
            <rFont val="Tahoma"/>
            <family val="2"/>
            <charset val="186"/>
          </rPr>
          <t>Autorius:</t>
        </r>
        <r>
          <rPr>
            <sz val="9"/>
            <color indexed="81"/>
            <rFont val="Tahoma"/>
            <family val="2"/>
            <charset val="186"/>
          </rPr>
          <t xml:space="preserve">
n/a produkto rodikliui</t>
        </r>
      </text>
    </comment>
    <comment ref="E10" authorId="0" shapeId="0" xr:uid="{00000000-0006-0000-0200-00000B000000}">
      <text>
        <r>
          <rPr>
            <b/>
            <sz val="9"/>
            <color indexed="81"/>
            <rFont val="Tahoma"/>
            <family val="2"/>
            <charset val="186"/>
          </rPr>
          <t>Autorius:</t>
        </r>
        <r>
          <rPr>
            <sz val="9"/>
            <color indexed="81"/>
            <rFont val="Tahoma"/>
            <family val="2"/>
            <charset val="186"/>
          </rPr>
          <t xml:space="preserve">
Jus paskaiciavote 70, as randu, kad 85 proc.</t>
        </r>
      </text>
    </comment>
    <comment ref="I10" authorId="0" shapeId="0" xr:uid="{00000000-0006-0000-0200-00000C000000}">
      <text>
        <r>
          <rPr>
            <b/>
            <sz val="9"/>
            <color indexed="81"/>
            <rFont val="Tahoma"/>
            <family val="2"/>
            <charset val="186"/>
          </rPr>
          <t>Autorius:</t>
        </r>
        <r>
          <rPr>
            <sz val="9"/>
            <color indexed="81"/>
            <rFont val="Tahoma"/>
            <family val="2"/>
            <charset val="186"/>
          </rPr>
          <t xml:space="preserve">
angliskai</t>
        </r>
      </text>
    </comment>
    <comment ref="L10" authorId="0" shapeId="0" xr:uid="{00000000-0006-0000-0200-00000D000000}">
      <text>
        <r>
          <rPr>
            <b/>
            <sz val="9"/>
            <color indexed="81"/>
            <rFont val="Tahoma"/>
            <family val="2"/>
            <charset val="186"/>
          </rPr>
          <t>Autorius:</t>
        </r>
        <r>
          <rPr>
            <sz val="9"/>
            <color indexed="81"/>
            <rFont val="Tahoma"/>
            <family val="2"/>
            <charset val="186"/>
          </rPr>
          <t xml:space="preserve">
a ngliskai</t>
        </r>
      </text>
    </comment>
    <comment ref="N10" authorId="0" shapeId="0" xr:uid="{00000000-0006-0000-0200-00000E000000}">
      <text>
        <r>
          <rPr>
            <b/>
            <sz val="9"/>
            <color indexed="81"/>
            <rFont val="Tahoma"/>
            <family val="2"/>
            <charset val="186"/>
          </rPr>
          <t>Autorius:</t>
        </r>
        <r>
          <rPr>
            <sz val="9"/>
            <color indexed="81"/>
            <rFont val="Tahoma"/>
            <family val="2"/>
            <charset val="186"/>
          </rPr>
          <t xml:space="preserve">
n/a produkto rodikliams</t>
        </r>
      </text>
    </comment>
    <comment ref="I11" authorId="0" shapeId="0" xr:uid="{00000000-0006-0000-0200-00000F000000}">
      <text>
        <r>
          <rPr>
            <b/>
            <sz val="9"/>
            <color indexed="81"/>
            <rFont val="Tahoma"/>
            <family val="2"/>
            <charset val="186"/>
          </rPr>
          <t>Autorius:</t>
        </r>
        <r>
          <rPr>
            <sz val="9"/>
            <color indexed="81"/>
            <rFont val="Tahoma"/>
            <family val="2"/>
            <charset val="186"/>
          </rPr>
          <t xml:space="preserve">
angliskai</t>
        </r>
      </text>
    </comment>
    <comment ref="L11" authorId="0" shapeId="0" xr:uid="{00000000-0006-0000-0200-000010000000}">
      <text>
        <r>
          <rPr>
            <b/>
            <sz val="9"/>
            <color indexed="81"/>
            <rFont val="Tahoma"/>
            <family val="2"/>
            <charset val="186"/>
          </rPr>
          <t>Autorius:</t>
        </r>
        <r>
          <rPr>
            <sz val="9"/>
            <color indexed="81"/>
            <rFont val="Tahoma"/>
            <family val="2"/>
            <charset val="186"/>
          </rPr>
          <t xml:space="preserve">
angliskai</t>
        </r>
      </text>
    </comment>
    <comment ref="I12" authorId="0" shapeId="0" xr:uid="{00000000-0006-0000-0200-000011000000}">
      <text>
        <r>
          <rPr>
            <b/>
            <sz val="9"/>
            <color indexed="81"/>
            <rFont val="Tahoma"/>
            <family val="2"/>
            <charset val="186"/>
          </rPr>
          <t>Autorius:</t>
        </r>
        <r>
          <rPr>
            <sz val="9"/>
            <color indexed="81"/>
            <rFont val="Tahoma"/>
            <family val="2"/>
            <charset val="186"/>
          </rPr>
          <t xml:space="preserve">
angliskai</t>
        </r>
      </text>
    </comment>
    <comment ref="L12" authorId="0" shapeId="0" xr:uid="{00000000-0006-0000-0200-000012000000}">
      <text>
        <r>
          <rPr>
            <b/>
            <sz val="9"/>
            <color indexed="81"/>
            <rFont val="Tahoma"/>
            <family val="2"/>
            <charset val="186"/>
          </rPr>
          <t>Autorius:</t>
        </r>
        <r>
          <rPr>
            <sz val="9"/>
            <color indexed="81"/>
            <rFont val="Tahoma"/>
            <family val="2"/>
            <charset val="186"/>
          </rPr>
          <t xml:space="preserve">
users</t>
        </r>
      </text>
    </comment>
    <comment ref="C13" authorId="0" shapeId="0" xr:uid="{00000000-0006-0000-0200-00001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shapeId="0" xr:uid="{00000000-0006-0000-0200-000014000000}">
      <text>
        <r>
          <rPr>
            <b/>
            <sz val="9"/>
            <color indexed="81"/>
            <rFont val="Tahoma"/>
            <family val="2"/>
            <charset val="186"/>
          </rPr>
          <t>Autorius:</t>
        </r>
        <r>
          <rPr>
            <sz val="9"/>
            <color indexed="81"/>
            <rFont val="Tahoma"/>
            <family val="2"/>
            <charset val="186"/>
          </rPr>
          <t xml:space="preserve">
VVL</t>
        </r>
      </text>
    </comment>
    <comment ref="C17" authorId="0" shapeId="0" xr:uid="{00000000-0006-0000-0200-00001500000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6" authorId="0" shapeId="0" xr:uid="{00000000-0006-0000-0300-00000100000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shapeId="0" xr:uid="{00000000-0006-0000-0300-000002000000}">
      <text>
        <r>
          <rPr>
            <b/>
            <sz val="9"/>
            <color indexed="81"/>
            <rFont val="Tahoma"/>
            <family val="2"/>
            <charset val="186"/>
          </rPr>
          <t>Autorius:</t>
        </r>
        <r>
          <rPr>
            <sz val="9"/>
            <color indexed="81"/>
            <rFont val="Tahoma"/>
            <family val="2"/>
            <charset val="186"/>
          </rPr>
          <t xml:space="preserve">
angliskai idekit</t>
        </r>
      </text>
    </comment>
    <comment ref="N6" authorId="0" shapeId="0" xr:uid="{00000000-0006-0000-0300-000003000000}">
      <text>
        <r>
          <rPr>
            <b/>
            <sz val="9"/>
            <color indexed="81"/>
            <rFont val="Tahoma"/>
            <family val="2"/>
            <charset val="186"/>
          </rPr>
          <t>Autorius:</t>
        </r>
        <r>
          <rPr>
            <sz val="9"/>
            <color indexed="81"/>
            <rFont val="Tahoma"/>
            <family val="2"/>
            <charset val="186"/>
          </rPr>
          <t xml:space="preserve">
produkto rodikliams n/a</t>
        </r>
      </text>
    </comment>
    <comment ref="I7" authorId="0" shapeId="0" xr:uid="{00000000-0006-0000-0300-000004000000}">
      <text>
        <r>
          <rPr>
            <b/>
            <sz val="9"/>
            <color indexed="81"/>
            <rFont val="Tahoma"/>
            <family val="2"/>
            <charset val="186"/>
          </rPr>
          <t>Autorius:</t>
        </r>
        <r>
          <rPr>
            <sz val="9"/>
            <color indexed="81"/>
            <rFont val="Tahoma"/>
            <family val="2"/>
            <charset val="186"/>
          </rPr>
          <t xml:space="preserve">
angliskai idekite</t>
        </r>
      </text>
    </comment>
    <comment ref="N7" authorId="0" shapeId="0" xr:uid="{00000000-0006-0000-0300-000005000000}">
      <text>
        <r>
          <rPr>
            <b/>
            <sz val="9"/>
            <color indexed="81"/>
            <rFont val="Tahoma"/>
            <family val="2"/>
            <charset val="186"/>
          </rPr>
          <t>Autorius:</t>
        </r>
        <r>
          <rPr>
            <sz val="9"/>
            <color indexed="81"/>
            <rFont val="Tahoma"/>
            <family val="2"/>
            <charset val="186"/>
          </rPr>
          <t xml:space="preserve">
n/a</t>
        </r>
      </text>
    </comment>
    <comment ref="I8" authorId="0" shapeId="0" xr:uid="{00000000-0006-0000-0300-000006000000}">
      <text>
        <r>
          <rPr>
            <b/>
            <sz val="9"/>
            <color indexed="81"/>
            <rFont val="Tahoma"/>
            <family val="2"/>
            <charset val="186"/>
          </rPr>
          <t>Autorius:</t>
        </r>
        <r>
          <rPr>
            <sz val="9"/>
            <color indexed="81"/>
            <rFont val="Tahoma"/>
            <family val="2"/>
            <charset val="186"/>
          </rPr>
          <t xml:space="preserve">
angliskai idekite</t>
        </r>
      </text>
    </comment>
    <comment ref="O8" authorId="0" shapeId="0" xr:uid="{00000000-0006-0000-0300-000007000000}">
      <text>
        <r>
          <rPr>
            <b/>
            <sz val="9"/>
            <color indexed="81"/>
            <rFont val="Tahoma"/>
            <family val="2"/>
            <charset val="186"/>
          </rPr>
          <t>Autorius:</t>
        </r>
        <r>
          <rPr>
            <sz val="9"/>
            <color indexed="81"/>
            <rFont val="Tahoma"/>
            <family val="2"/>
            <charset val="186"/>
          </rPr>
          <t xml:space="preserve">
rezultato rodikliams n/a (ziureti fishes)</t>
        </r>
      </text>
    </comment>
    <comment ref="P8" authorId="0" shapeId="0" xr:uid="{00000000-0006-0000-0300-00000800000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shapeId="0" xr:uid="{00000000-0006-0000-0300-000009000000}">
      <text>
        <r>
          <rPr>
            <b/>
            <sz val="9"/>
            <color indexed="81"/>
            <rFont val="Tahoma"/>
            <family val="2"/>
            <charset val="186"/>
          </rPr>
          <t>Autorius:</t>
        </r>
        <r>
          <rPr>
            <sz val="9"/>
            <color indexed="81"/>
            <rFont val="Tahoma"/>
            <family val="2"/>
            <charset val="186"/>
          </rPr>
          <t xml:space="preserve">
n/a</t>
        </r>
      </text>
    </comment>
    <comment ref="P9" authorId="0" shapeId="0" xr:uid="{00000000-0006-0000-0300-00000A00000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shapeId="0" xr:uid="{00000000-0006-0000-0300-00000B000000}">
      <text>
        <r>
          <rPr>
            <b/>
            <sz val="9"/>
            <color indexed="81"/>
            <rFont val="Tahoma"/>
            <family val="2"/>
            <charset val="186"/>
          </rPr>
          <t>Autorius:</t>
        </r>
        <r>
          <rPr>
            <sz val="9"/>
            <color indexed="81"/>
            <rFont val="Tahoma"/>
            <family val="2"/>
            <charset val="186"/>
          </rPr>
          <t xml:space="preserve">
angliskai idekite</t>
        </r>
      </text>
    </comment>
    <comment ref="I16" authorId="0" shapeId="0" xr:uid="{00000000-0006-0000-0300-00000C000000}">
      <text>
        <r>
          <rPr>
            <b/>
            <sz val="9"/>
            <color indexed="81"/>
            <rFont val="Tahoma"/>
            <family val="2"/>
            <charset val="186"/>
          </rPr>
          <t>Autorius:</t>
        </r>
        <r>
          <rPr>
            <sz val="9"/>
            <color indexed="81"/>
            <rFont val="Tahoma"/>
            <family val="2"/>
            <charset val="186"/>
          </rPr>
          <t xml:space="preserve">
angliskai idekite</t>
        </r>
      </text>
    </comment>
    <comment ref="I20" authorId="0" shapeId="0" xr:uid="{00000000-0006-0000-0300-00000D000000}">
      <text>
        <r>
          <rPr>
            <b/>
            <sz val="9"/>
            <color indexed="81"/>
            <rFont val="Tahoma"/>
            <family val="2"/>
            <charset val="186"/>
          </rPr>
          <t>Autorius:</t>
        </r>
        <r>
          <rPr>
            <sz val="9"/>
            <color indexed="81"/>
            <rFont val="Tahoma"/>
            <family val="2"/>
            <charset val="186"/>
          </rPr>
          <t xml:space="preserve">
angliskai idekite</t>
        </r>
      </text>
    </comment>
    <comment ref="I24" authorId="0" shapeId="0" xr:uid="{00000000-0006-0000-0300-00000E000000}">
      <text>
        <r>
          <rPr>
            <b/>
            <sz val="9"/>
            <color indexed="81"/>
            <rFont val="Tahoma"/>
            <family val="2"/>
            <charset val="186"/>
          </rPr>
          <t>Autorius:</t>
        </r>
        <r>
          <rPr>
            <sz val="9"/>
            <color indexed="81"/>
            <rFont val="Tahoma"/>
            <family val="2"/>
            <charset val="186"/>
          </rPr>
          <t xml:space="preserve">
angliskai idekite</t>
        </r>
      </text>
    </comment>
    <comment ref="I28" authorId="0" shapeId="0" xr:uid="{00000000-0006-0000-0300-00000F00000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P7" authorId="0" shapeId="0" xr:uid="{00000000-0006-0000-0400-000001000000}">
      <text>
        <r>
          <rPr>
            <b/>
            <sz val="9"/>
            <color indexed="81"/>
            <rFont val="Tahoma"/>
            <family val="2"/>
            <charset val="186"/>
          </rPr>
          <t>Autorius:</t>
        </r>
        <r>
          <rPr>
            <sz val="9"/>
            <color indexed="81"/>
            <rFont val="Tahoma"/>
            <family val="2"/>
            <charset val="186"/>
          </rPr>
          <t xml:space="preserve">
0,01</t>
        </r>
      </text>
    </comment>
    <comment ref="P11" authorId="0" shapeId="0" xr:uid="{00000000-0006-0000-0400-000002000000}">
      <text>
        <r>
          <rPr>
            <b/>
            <sz val="9"/>
            <color indexed="81"/>
            <rFont val="Tahoma"/>
            <family val="2"/>
            <charset val="186"/>
          </rPr>
          <t>Autorius:</t>
        </r>
        <r>
          <rPr>
            <sz val="9"/>
            <color indexed="81"/>
            <rFont val="Tahoma"/>
            <family val="2"/>
            <charset val="186"/>
          </rPr>
          <t xml:space="preserve">
0,01</t>
        </r>
      </text>
    </comment>
    <comment ref="P14" authorId="0" shapeId="0" xr:uid="{7F5617BA-E65D-4C36-BAE6-FB59D39EFEA9}">
      <text>
        <r>
          <rPr>
            <b/>
            <sz val="9"/>
            <color indexed="81"/>
            <rFont val="Tahoma"/>
            <family val="2"/>
            <charset val="186"/>
          </rPr>
          <t>Autorius:</t>
        </r>
        <r>
          <rPr>
            <sz val="9"/>
            <color indexed="81"/>
            <rFont val="Tahoma"/>
            <family val="2"/>
            <charset val="186"/>
          </rPr>
          <t xml:space="preserve">
0,01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5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5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5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500-00000400000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5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5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5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5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<sst xmlns="http://schemas.openxmlformats.org/spreadsheetml/2006/main" count="1840" uniqueCount="510">
  <si>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</si>
  <si>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</si>
  <si>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</si>
  <si>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</si>
  <si>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</si>
  <si>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</si>
  <si>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</si>
  <si>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</si>
  <si>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</si>
  <si>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</si>
  <si>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</si>
  <si>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2.2. Skatinti naudoti atsinaujinančiąją energiją</t>
  </si>
  <si>
    <t>Konkretus uždavinys – 2.8. Skatinti darnų įvairiarūšį judumą miestuose</t>
  </si>
  <si>
    <t>Konkretus uždavinys – 3.1. Gerinti skaitmeninį junglumą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</si>
  <si>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</si>
  <si>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</si>
  <si>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</si>
  <si>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</si>
  <si>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</si>
  <si>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</si>
  <si>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</si>
  <si>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</si>
  <si>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km</t>
  </si>
  <si>
    <t>SaF</t>
  </si>
  <si>
    <t>Action</t>
  </si>
  <si>
    <t>Amount (EU+ national)(Eur.)</t>
  </si>
  <si>
    <t>Baseline</t>
  </si>
  <si>
    <t>value</t>
  </si>
  <si>
    <t>year</t>
  </si>
  <si>
    <t xml:space="preserve">Milestone 2024 </t>
  </si>
  <si>
    <t>Target 2029</t>
  </si>
  <si>
    <t>Category of region</t>
  </si>
  <si>
    <t>M.U.</t>
  </si>
  <si>
    <t>Milestone 2024</t>
  </si>
  <si>
    <t>Supported projects</t>
  </si>
  <si>
    <t>SM</t>
  </si>
  <si>
    <t>enterprises</t>
  </si>
  <si>
    <t>Capital region</t>
  </si>
  <si>
    <t>Fund</t>
  </si>
  <si>
    <t>Data source</t>
  </si>
  <si>
    <t>Methodology for calculating the values for the indicator</t>
  </si>
  <si>
    <t>ERDF</t>
  </si>
  <si>
    <t>0</t>
  </si>
  <si>
    <t>Midle-West Lithuania region</t>
  </si>
  <si>
    <t>Code</t>
  </si>
  <si>
    <t>Midle- west Lithuania region</t>
  </si>
  <si>
    <t>2021</t>
  </si>
  <si>
    <t>Value</t>
  </si>
  <si>
    <t>Year</t>
  </si>
  <si>
    <t xml:space="preserve">Target 2029 </t>
  </si>
  <si>
    <t>Visa Lietuva</t>
  </si>
  <si>
    <t>Name</t>
  </si>
  <si>
    <t>Specialusis produkto</t>
  </si>
  <si>
    <t>Projektai</t>
  </si>
  <si>
    <t>Projects</t>
  </si>
  <si>
    <t>&gt; 0</t>
  </si>
  <si>
    <t>MWh/metus</t>
  </si>
  <si>
    <t>RCR 29</t>
  </si>
  <si>
    <t>Apskaičiuotas šiltnamio efektą sukeliančių dujų emisijos kiekis</t>
  </si>
  <si>
    <t>Vidurio ir Vakarų Lietuvos regionas</t>
  </si>
  <si>
    <t>034 - efektyvi kogeneracija, centrinis šildymas ir vėsinimas</t>
  </si>
  <si>
    <t>nac.</t>
  </si>
  <si>
    <r>
      <t>&gt;</t>
    </r>
    <r>
      <rPr>
        <sz val="11"/>
        <color rgb="FFFF0000"/>
        <rFont val="Calibri"/>
        <family val="2"/>
        <charset val="186"/>
      </rPr>
      <t>=</t>
    </r>
    <r>
      <rPr>
        <sz val="11"/>
        <color rgb="FFFF0000"/>
        <rFont val="Calibri"/>
        <family val="2"/>
        <charset val="186"/>
        <scheme val="minor"/>
      </rPr>
      <t>0</t>
    </r>
  </si>
  <si>
    <t>2.2.1. Skatinti elektros energijos gamybą iš AEI ir energijos kaupimo sprendimų diegimą namų ūkiuose, įmonėse bei AEI bendrijose</t>
  </si>
  <si>
    <t>RCR 32</t>
  </si>
  <si>
    <t>Papildomai veikiantys AEI gamybos pajėgumai</t>
  </si>
  <si>
    <t>MW</t>
  </si>
  <si>
    <t>RCR 31</t>
  </si>
  <si>
    <t>RCO 22</t>
  </si>
  <si>
    <t>RCO 97</t>
  </si>
  <si>
    <t>Paramą gavusių AEI bendrijų skaičius</t>
  </si>
  <si>
    <r>
      <t>&gt;</t>
    </r>
    <r>
      <rPr>
        <sz val="11"/>
        <color rgb="FFFF0000"/>
        <rFont val="Calibri"/>
        <family val="2"/>
      </rPr>
      <t>=</t>
    </r>
    <r>
      <rPr>
        <sz val="11"/>
        <color rgb="FFFF0000"/>
        <rFont val="Calibri"/>
        <family val="2"/>
        <scheme val="minor"/>
      </rPr>
      <t>0</t>
    </r>
  </si>
  <si>
    <t>RCR29</t>
  </si>
  <si>
    <t>2.2.2. Skatinti šilumos energijos gamybą iš AEI namų ūkiuose,įmonėse.</t>
  </si>
  <si>
    <t>Iš viso pagaminta atsinaujinančios energijos (tame tarpe: elektros, šilumos)</t>
  </si>
  <si>
    <t>Papildomi AEI pajėgumai</t>
  </si>
  <si>
    <t>033 - Pažangios elektros energijos sistemos (įskaitant išmaniuosius tinklus ir IT sistemas) ir susijęs kaupimas</t>
  </si>
  <si>
    <t>Naujai nutiesti elektros perdavimo tinklai</t>
  </si>
  <si>
    <t>Naujai pastatytų perdavimo tinklo elementų skaičius</t>
  </si>
  <si>
    <t>vnt</t>
  </si>
  <si>
    <t>Tonos CO2 ekvivalentu per metus</t>
  </si>
  <si>
    <t>dwellings</t>
  </si>
  <si>
    <t>Estimated greenhouse emissions</t>
  </si>
  <si>
    <t>tons of CO2eq/year</t>
  </si>
  <si>
    <t>Whole Lithuania</t>
  </si>
  <si>
    <r>
      <t xml:space="preserve">028 - Atsinaujinanti energija - vėjas. </t>
    </r>
    <r>
      <rPr>
        <b/>
        <sz val="11"/>
        <color theme="1"/>
        <rFont val="Calibri"/>
        <family val="2"/>
        <charset val="186"/>
        <scheme val="minor"/>
      </rPr>
      <t>Renewable energy: wind</t>
    </r>
  </si>
  <si>
    <r>
      <t xml:space="preserve">029 - Atsinaujinanti energija - saulė. </t>
    </r>
    <r>
      <rPr>
        <b/>
        <sz val="11"/>
        <color theme="1"/>
        <rFont val="Calibri"/>
        <family val="2"/>
        <charset val="186"/>
        <scheme val="minor"/>
      </rPr>
      <t>Renewable energy: solar</t>
    </r>
  </si>
  <si>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</si>
  <si>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</si>
  <si>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</si>
  <si>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</si>
  <si>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</si>
  <si>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RCR32</t>
  </si>
  <si>
    <t>RCR31</t>
  </si>
  <si>
    <t>RCO22</t>
  </si>
  <si>
    <t>RCO97</t>
  </si>
  <si>
    <t>Additional production capacity for renewable energy (of which: electricity, thermal)</t>
  </si>
  <si>
    <t>Renewable energy communities supported</t>
  </si>
  <si>
    <t>renewable energy communities</t>
  </si>
  <si>
    <t>Total renewable energy produced (of which: electricity, thermal)</t>
  </si>
  <si>
    <t>MWh/year</t>
  </si>
  <si>
    <t>Additional operational capacity installed for renewable energy</t>
  </si>
  <si>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</si>
  <si>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</si>
  <si>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t>2.2.6. Didinti AEI panaudojimą šilumos ir vėsumos gamybai CŠT</t>
  </si>
  <si>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</si>
  <si>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</si>
  <si>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3.1.1. Plėtoti itin didelio pralaidumo plačiajuosčio ryšio tinklus</t>
  </si>
  <si>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</si>
  <si>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</si>
  <si>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2.2.3.Diegti degalų iš AEI gamybos infrastruktūrą, mažinant neigiamą transporto sektoriaus poveikį aplinkai ir klimatui</t>
  </si>
  <si>
    <r>
      <t xml:space="preserve">2.2.3. Diegti degalų iš AEI gamybos infrastruktūrą, mažinant neigiamą transporto sektoriaus poveikį aplinkai ir klimatui </t>
    </r>
    <r>
      <rPr>
        <b/>
        <sz val="11"/>
        <rFont val="Calibri"/>
        <family val="2"/>
        <charset val="186"/>
        <scheme val="minor"/>
      </rPr>
      <t>EM</t>
    </r>
  </si>
  <si>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</si>
  <si>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</si>
  <si>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2.2.7. Pažangios elektros energijos perdavimo infrastruktūros AEI integracijai plėtra</t>
  </si>
  <si>
    <t>Km</t>
  </si>
  <si>
    <t>RCR55</t>
  </si>
  <si>
    <t>RCR56</t>
  </si>
  <si>
    <t>Dedicated cycling infrastructure supported</t>
  </si>
  <si>
    <t>Annual users of dedicated cycling infrastructure</t>
  </si>
  <si>
    <t>-</t>
  </si>
  <si>
    <t>RCO58</t>
  </si>
  <si>
    <t>RCR64</t>
  </si>
  <si>
    <t>2020</t>
  </si>
  <si>
    <t>Bendrai</t>
  </si>
  <si>
    <t>Sostonės</t>
  </si>
  <si>
    <t>VVL</t>
  </si>
  <si>
    <t>bendrai</t>
  </si>
  <si>
    <t>BJRS</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</si>
  <si>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</si>
  <si>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</si>
  <si>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</si>
  <si>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Total allocation at action level (indicative)</t>
  </si>
  <si>
    <t>EU Amount (EUR)</t>
  </si>
  <si>
    <t>Viso</t>
  </si>
  <si>
    <t>EM+SM+ EIM</t>
  </si>
  <si>
    <t>2.2.3. Skatinti AEI diegimą pramonės MVĮ EIM</t>
  </si>
  <si>
    <t>077 Alternative fuels infrastructure</t>
  </si>
  <si>
    <t>RCO 59</t>
  </si>
  <si>
    <t>Įsigytos, pritaitkytos ir (ar) pagamintos) AEI naudojančios transporto priemonės</t>
  </si>
  <si>
    <t>Skaičius</t>
  </si>
  <si>
    <t>RCO59</t>
  </si>
  <si>
    <t>Įgyvendintos darnaus judumo priemones</t>
  </si>
  <si>
    <t>Įdiegtos intelektinės transporto sistemos</t>
  </si>
  <si>
    <t xml:space="preserve">68             </t>
  </si>
  <si>
    <t>Rodiklis</t>
  </si>
  <si>
    <t xml:space="preserve">Rodiklio pradinė </t>
  </si>
  <si>
    <t>Duomenų šaltinis</t>
  </si>
  <si>
    <t>Rodiklio siektinų reikšmų apskaičiavimo metodika</t>
  </si>
  <si>
    <t>Finansinė proporcija (EU+ nacionalinis)(Eur.)</t>
  </si>
  <si>
    <t>reikšmė</t>
  </si>
  <si>
    <t>metai</t>
  </si>
  <si>
    <t>RCO57</t>
  </si>
  <si>
    <t>RCR62</t>
  </si>
  <si>
    <t>Users/Year</t>
  </si>
  <si>
    <t>1</t>
  </si>
  <si>
    <t>intermodal connections</t>
  </si>
  <si>
    <r>
      <rPr>
        <b/>
        <sz val="11"/>
        <color theme="1"/>
        <rFont val="Calibri"/>
        <family val="2"/>
        <charset val="186"/>
        <scheme val="minor"/>
      </rPr>
      <t xml:space="preserve">073 </t>
    </r>
    <r>
      <rPr>
        <sz val="11"/>
        <color theme="1"/>
        <rFont val="Calibri"/>
        <family val="2"/>
        <scheme val="minor"/>
      </rPr>
      <t>Clean urban transport infrastructure</t>
    </r>
  </si>
  <si>
    <r>
      <rPr>
        <b/>
        <sz val="11"/>
        <color theme="1"/>
        <rFont val="Calibri"/>
        <family val="2"/>
        <charset val="186"/>
        <scheme val="minor"/>
      </rPr>
      <t>074</t>
    </r>
    <r>
      <rPr>
        <sz val="11"/>
        <color theme="1"/>
        <rFont val="Calibri"/>
        <family val="2"/>
        <scheme val="minor"/>
      </rPr>
      <t xml:space="preserve"> Clean urban transport rolling stock</t>
    </r>
  </si>
  <si>
    <t>RCO41</t>
  </si>
  <si>
    <t>RCO42</t>
  </si>
  <si>
    <r>
      <rPr>
        <b/>
        <sz val="11"/>
        <color theme="1"/>
        <rFont val="Calibri"/>
        <family val="2"/>
        <scheme val="minor"/>
      </rPr>
      <t>051</t>
    </r>
    <r>
      <rPr>
        <sz val="11"/>
        <color theme="1"/>
        <rFont val="Calibri"/>
        <family val="2"/>
        <scheme val="minor"/>
      </rPr>
      <t xml:space="preserve"> ICT: Very High-Capacity broadband network (backbone/backhaul network)  </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</si>
  <si>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</si>
  <si>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</si>
  <si>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t>3.1</t>
  </si>
  <si>
    <t>3.2</t>
  </si>
  <si>
    <t>3.3</t>
  </si>
  <si>
    <t>RCR53</t>
  </si>
  <si>
    <t>RCR54</t>
  </si>
  <si>
    <t>RCO49</t>
  </si>
  <si>
    <t>RCO45</t>
  </si>
  <si>
    <t>RCO54</t>
  </si>
  <si>
    <t>road passenger-km/ year</t>
  </si>
  <si>
    <t>Additional dwellings with broadband access of very high capacity</t>
  </si>
  <si>
    <t>Additional enterprises with broadband access of very high capacity</t>
  </si>
  <si>
    <t>Dwellings with broadband subscriptions to a very high capacity network</t>
  </si>
  <si>
    <t>Enterprises with broadband subscriptions to a very high capacity network</t>
  </si>
  <si>
    <t>Capacity of environmentally friendly rolling stock for collective public transport</t>
  </si>
  <si>
    <t>Annual users of new or modernised public transport</t>
  </si>
  <si>
    <t>Users</t>
  </si>
  <si>
    <t>Passengers</t>
  </si>
  <si>
    <t>Tons of CO2eq/year</t>
  </si>
  <si>
    <t>9900</t>
  </si>
  <si>
    <t>Alternative fuels infrastructure (refuelling/ recharging points)</t>
  </si>
  <si>
    <t>refuelling/recharging points</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</si>
  <si>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</si>
  <si>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Data from railway service operators</t>
  </si>
  <si>
    <t>VVT</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</si>
  <si>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</si>
  <si>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</si>
  <si>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</si>
  <si>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</si>
  <si>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</si>
  <si>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</si>
  <si>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</si>
  <si>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</si>
  <si>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</si>
  <si>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</si>
  <si>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</si>
  <si>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</si>
  <si>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</si>
  <si>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</si>
  <si>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</si>
  <si>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</si>
  <si>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</si>
  <si>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</si>
  <si>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</si>
  <si>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</si>
  <si>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</si>
  <si>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</si>
  <si>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</si>
  <si>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</si>
  <si>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</si>
  <si>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</si>
  <si>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</si>
  <si>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</si>
  <si>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</si>
  <si>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</si>
  <si>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</si>
  <si>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</si>
  <si>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</si>
  <si>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</si>
  <si>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</si>
  <si>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</si>
  <si>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</si>
  <si>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</si>
  <si>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</si>
  <si>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</si>
  <si>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</si>
  <si>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</si>
  <si>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</si>
  <si>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</si>
  <si>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</si>
  <si>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</si>
  <si>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</si>
  <si>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</si>
  <si>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</si>
  <si>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</si>
  <si>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</si>
  <si>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</si>
  <si>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</si>
  <si>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</si>
  <si>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</si>
  <si>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</si>
  <si>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</si>
  <si>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</si>
  <si>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</si>
  <si>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</si>
  <si>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</si>
  <si>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</si>
  <si>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</si>
  <si>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</si>
  <si>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</si>
  <si>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</si>
  <si>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</si>
  <si>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</si>
  <si>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</si>
  <si>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</si>
  <si>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</si>
  <si>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</si>
  <si>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</si>
  <si>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</si>
  <si>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</si>
  <si>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</si>
  <si>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</si>
  <si>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</si>
  <si>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</si>
  <si>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</si>
  <si>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</si>
  <si>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</si>
  <si>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t>2019</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</si>
  <si>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</si>
  <si>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</si>
  <si>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</si>
  <si>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</si>
  <si>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</si>
  <si>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</si>
  <si>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</si>
  <si>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</si>
  <si>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</si>
  <si>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</si>
  <si>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</si>
  <si>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</si>
  <si>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</si>
  <si>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</si>
  <si>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</si>
  <si>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r>
      <t>Įgyvendintos darnaus judumo priemones/</t>
    </r>
    <r>
      <rPr>
        <sz val="11"/>
        <color rgb="FFFF0000"/>
        <rFont val="Calibri"/>
        <family val="2"/>
        <charset val="186"/>
        <scheme val="minor"/>
      </rPr>
      <t xml:space="preserve"> Sustainable mobility measures implemented</t>
    </r>
  </si>
  <si>
    <r>
      <t>Įdiegtos intelektinės transporto sistemos/</t>
    </r>
    <r>
      <rPr>
        <sz val="11"/>
        <color rgb="FFFF0000"/>
        <rFont val="Calibri"/>
        <family val="2"/>
        <charset val="186"/>
        <scheme val="minor"/>
      </rPr>
      <t>Intelligent transport systems introduced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</si>
  <si>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</si>
  <si>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</si>
  <si>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</si>
  <si>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</si>
  <si>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</si>
  <si>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</si>
  <si>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</si>
  <si>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5 prioritetas</t>
  </si>
  <si>
    <r>
      <t>Statistikos departamentas/</t>
    </r>
    <r>
      <rPr>
        <sz val="11"/>
        <color rgb="FFFF0000"/>
        <rFont val="Calibri"/>
        <family val="2"/>
        <charset val="186"/>
        <scheme val="minor"/>
      </rPr>
      <t>Department of Statistics</t>
    </r>
  </si>
  <si>
    <t>CF</t>
  </si>
  <si>
    <t>number</t>
  </si>
  <si>
    <t>Number</t>
  </si>
  <si>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</si>
  <si>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</si>
  <si>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</si>
  <si>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</si>
  <si>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</si>
  <si>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Persons per year</t>
  </si>
  <si>
    <t>Rodiklių siektinos reikšmės bus nustatytos atlikus  ex-ante vertinimą.</t>
  </si>
  <si>
    <t>The target values will be known after ex-ante evaluation.</t>
  </si>
  <si>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</si>
  <si>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</si>
  <si>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</si>
  <si>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Plėtoti dviračių ir pėsčiųjų infrastruktūrą miestuose ir priemiesčiose, kurie neįgyvendina Darnaus judumo mieste planų</t>
  </si>
  <si>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</si>
  <si>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</si>
  <si>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</si>
  <si>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</si>
  <si>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</si>
  <si>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</si>
  <si>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</si>
  <si>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</si>
  <si>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</si>
  <si>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Planuojama, kad prisijungusių bus apie 80% įmonių, turėjusių prisijungimo taškus. Todėl RCR54=2400*0,8=1920.</t>
  </si>
  <si>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</si>
  <si>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</si>
  <si>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</si>
  <si>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</si>
  <si>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</si>
  <si>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</si>
  <si>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</si>
  <si>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</si>
  <si>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</si>
  <si>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</si>
  <si>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</si>
  <si>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</si>
  <si>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\Planuojama, kad prisijungusių bus apie 80% namų ūkių, turėjusių prisijungimo taškus. Todėl RCR53=9500*0,8=7600.</t>
  </si>
  <si>
    <t xml:space="preserve"> Planuojama, kad prisijungusių bus apie 80% įmonių, turėjusių prisijungimo taškus. Todėl RCR54=4750*0,8=3800.</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</si>
  <si>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</si>
  <si>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</si>
  <si>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</si>
  <si>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A Planuojama, kad prisijungusių bus apie 80% namų ūkių, turėjusių prisijungimo taškus. Todėl RCR53=4700*0,8=3760.</t>
  </si>
  <si>
    <t xml:space="preserve"> Planuojama, kad prisijungusių bus apie 80% įmonių, turėjusių prisijungimo taškus. Todėl RCR54=2300*0,8=1840.</t>
  </si>
  <si>
    <t>percent</t>
  </si>
  <si>
    <t>Annual users of newly built, reconstructed, upgraded or modernised roads (naujai pastatytų, rekonstruotų, atnaujintų arba modernizuotų kelių naudotojų skaičius per metus)</t>
  </si>
  <si>
    <t>Time savings due to improved road infrastructures (dėl patobulintos kelių infrastruktūros sutaupytas laikas)</t>
  </si>
  <si>
    <t>New or modernised intermodal connections (naujos arba modernizuotos įvairiarūšės jungtys)</t>
  </si>
  <si>
    <t>3.1.3. Developing infrastructure for improving interoperability between different modes of transport (multimodal connections) (Plėtoti skirtingų transporto rūšių (daugiarūšio vežimo jungčių) sąveikos efektyvumą didinančią infrastruktūrą)</t>
  </si>
  <si>
    <t>Special result</t>
  </si>
  <si>
    <t>Length of roads reconstructed or modernised - TEN-T (rekonstruotų arba modernizuotų kelių ilgis – TEN-T)</t>
  </si>
  <si>
    <t>Estimated greenhouse emissions (numatomas išmetamas šiltnamio efektą sukeliančių dujų kiekis)</t>
  </si>
  <si>
    <t xml:space="preserve"> Implemented traffic safety improvement and environmental protection measures in railways (Įdiegtos saugų eismą gerinančios ir
aplinkosaugos priemonės
geležinkeliuose)</t>
  </si>
  <si>
    <t>Length of rail reconstructed or modernised - TENT-T (rekonstruotų arba modernizuotų geležinkelių ilgis – TEN-T)</t>
  </si>
  <si>
    <t>Annual users of newly built, reconstructed, upgraded or modernised roads ((naujai pastatytų, rekonstruotų, atnaujintų arba modernizuotų kelių naudotojų skaičius per metus)</t>
  </si>
  <si>
    <t>Indicator code</t>
  </si>
  <si>
    <t>Indicator name</t>
  </si>
  <si>
    <t>Indicator M.U.</t>
  </si>
  <si>
    <t>Indicator baseline value</t>
  </si>
  <si>
    <t>Indicator baseline year</t>
  </si>
  <si>
    <t xml:space="preserve">3.1.1. Improve and develop the rail infrastructure of the TEN-T network (Tobulinti ir plėtoti TEN-T tinklo geležinkelių infrastruktūrą) </t>
  </si>
  <si>
    <t>The target value of the result indicator is 69 percent. The value of the indicator is calculated assuming that the noise level will be reduced for all residents living and operating in the area exposed to railway noise, taking into account the possible change in the number of inhabitants (affected by railway noise) due to migration, deaths, births, etc. (~ 30%). The technical specifications of each technical project state: "In order to assess the quality and efficiency of the installation of noise abatement measures, the Contractor must carry out measurements of the noise level of railway transport. In accordance with construction technical regulation STR 1.05.01: 2017" Building permits. Elimination of Consequences of Unauthorized Construction: Elimination of Consequences of Construction According to an Illegally Issued Construction Permit ”(approved by Order No. D1-878 of the Minister of Environment of the Republic of Lithuania of 12 December 2016), a program of laboratory tests and noise measurements performed by certified or documents accredited for the relevant tests. Only then, the Construction Completion Commission, seeing that, according to the results specified in the protocol, the railway noise does not exceed the limit values ​​of HN 33: 2011, will allow the issuance of the construction completion act.</t>
  </si>
  <si>
    <t xml:space="preserve"> Number of TEN-T roads traffic fatalities (Žuvusiųjų  TEN-T tinklo keliuose skaičius)</t>
  </si>
  <si>
    <t>Number of fatalities and injuries at level crossings (Žuvusiųjų ir sužeistųjų geležinkelio pervažose skaičius)</t>
  </si>
  <si>
    <r>
      <t xml:space="preserve"> </t>
    </r>
    <r>
      <rPr>
        <b/>
        <sz val="11"/>
        <color theme="1"/>
        <rFont val="Calibri"/>
        <family val="2"/>
        <charset val="186"/>
        <scheme val="minor"/>
      </rPr>
      <t>094</t>
    </r>
    <r>
      <rPr>
        <sz val="11"/>
        <color theme="1"/>
        <rFont val="Calibri"/>
        <family val="2"/>
        <scheme val="minor"/>
      </rPr>
      <t xml:space="preserve"> Digitalisation of transport: road (Transporto skaitmeninimas: keliai)</t>
    </r>
  </si>
  <si>
    <t>Ministry of transport</t>
  </si>
  <si>
    <t>Risks to society posed by rail transport (Geležinkelių transporto keliamas pavojus visuomenei)</t>
  </si>
  <si>
    <t>Number of deaths and serious injuries / train-kilometers (km) (žūčių ir sunkių sužalojimų skaičiaus (vnt.)/ traukinių nuvažiuoti kilometrai (km))</t>
  </si>
  <si>
    <t>MWR</t>
  </si>
  <si>
    <t>Row ID</t>
  </si>
  <si>
    <t>Field</t>
  </si>
  <si>
    <t>Indicator metadata</t>
  </si>
  <si>
    <t>Fund relevance</t>
  </si>
  <si>
    <t xml:space="preserve">CF </t>
  </si>
  <si>
    <t>P.S.</t>
  </si>
  <si>
    <t>Measurement unit</t>
  </si>
  <si>
    <t>Type of indicator</t>
  </si>
  <si>
    <t>output</t>
  </si>
  <si>
    <t>&gt;=0</t>
  </si>
  <si>
    <t>&gt;0</t>
  </si>
  <si>
    <t>Policy objective</t>
  </si>
  <si>
    <t>PO3 Connected Europe</t>
  </si>
  <si>
    <t>Specific objective</t>
  </si>
  <si>
    <t>RSO3.1 Sustainable TEN-T</t>
  </si>
  <si>
    <t>Definition and concepts</t>
  </si>
  <si>
    <t>The total number of Implemented traffic safety improvement and environmental protection measures in railways financed through supported projects.</t>
  </si>
  <si>
    <t>Railway safety means a set of technical and organizational measures for railway transport, protection of vehicle passengers, passengers, other road users and other persons, as well as railway infrastructure, rolling stock and protection of freight and luggage against railway accidents, railway traffic events, railway transport incidents and their consequences (source: Law on Railway Traffic Safety of the Republic of Lithuania).</t>
  </si>
  <si>
    <t>Environmental protection - protection of the environment from physical, chemical, biological and other negative effects or consequences arising from implementation plans and programs in the course of economic activities or use of natural resources (source: Law on Environmental Protection of the Republic of Lithuania).</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</si>
  <si>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</si>
  <si>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</si>
  <si>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</si>
  <si>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</si>
  <si>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</si>
  <si>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</si>
  <si>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</si>
  <si>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</si>
  <si>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</si>
  <si>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</si>
  <si>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Implemented traffic safety improvement and environmental protection measures in railways (Įdiegtos saugų eismą gerinančios ir
aplinkosaugos priemonės
geležinkeliuose)</t>
  </si>
  <si>
    <t>R.S.</t>
  </si>
  <si>
    <t>result</t>
  </si>
  <si>
    <t>not required</t>
  </si>
  <si>
    <t>Deaths and injuries - people killed and injured in a traffic accident.</t>
  </si>
  <si>
    <t>"Level crossing accident" means a railway traffic accident at a level crossing where the collision of rolling stock with vehicles crossing the level crossing or objects at the level crossing kills or injures people, damages at least one vehicle, freight or any other property at the level crossing.</t>
  </si>
  <si>
    <t>Crossing - a place of intersection of a railway track with a motorway on one level (source: Railway Transport Code of the Republic of Lithuania).</t>
  </si>
  <si>
    <t>Safety report of AB LTG Infra</t>
  </si>
  <si>
    <t>One year after completion of output in the supported project.</t>
  </si>
  <si>
    <t>Forecast for selected projects and achieved values, both cumulative to date  (CPR Annex VII, Table 6).</t>
  </si>
  <si>
    <t>R.S</t>
  </si>
  <si>
    <t>Percent</t>
  </si>
  <si>
    <t>Noise - continuous or multiple repetitive noise incidents caused by vehicle (road, railway, aircraft) traffic (source: Order No. V-604 of the Minister of Health of the Republic of Lithuania of 13 June 2011 “On the Lithuanian Hygiene Standard HN 33: 2011 “Noise limit values ​​in residential and public buildings and their surroundings”).</t>
  </si>
  <si>
    <t>Noise prevention zone - an area of ​​residential areas where noise exceeds the limit values ​​and where it is necessary to implement noise prevention and reduction measures.</t>
  </si>
  <si>
    <t>Noise prevention - the implementation of measures to reduce the variety and / or number of noise sources, to prevent exceeding the noise limit values ​​and / or to reduce the sound pressure, power, intensity and energy levels of noise sources.</t>
  </si>
  <si>
    <t>Noise limit values ​​- maximum permissible noise limit values ​​according to the Lithuanian hygiene standard HN 33: 2011 “Noise limit values ​​in residential and public buildings and their surroundings” (source: Order No. V- of the Minister of Health of the Republic of Lithuania of 13 June 2011 604 “On the Approval of the Lithuanian Hygiene Standard HN 33: 2011“ Noise Limit Values ​​in Residential and Public Buildings and Their Environment ”).</t>
  </si>
  <si>
    <t>P.S</t>
  </si>
  <si>
    <t>Number of deaths and serious injuries / train-kilometers (km)</t>
  </si>
  <si>
    <t>The calculation of fatalities and weight-related injuries and the ratio of train-kilometres. Risks to society posed by rail transport is  a measure of the consequences of accidents, in which fatalities are counted together with serious injuries: one fatality is statistically equivalent to 1, one serious injury is statistically equivalent to 0.1 fatalities.</t>
  </si>
  <si>
    <t>Train-kilometer is a unit of measurement corresponding to one train-kilometer (taking into account only the distance traveled on the territory of the country).</t>
  </si>
  <si>
    <t>Serious injury is a long-term injury that requires inpatient treatment (but does not die during the period of death).</t>
  </si>
  <si>
    <t>A minor injury is an injury that does not necessarily require hospital treatment.</t>
  </si>
  <si>
    <t>The total number of traffic control systems installed in roads by supported projects.</t>
  </si>
  <si>
    <t>Traffic control system means systems installed on the roads of the TEN-T network, which will record the speed of car traffic, check violations - insurance, tech. inspection, road toll).</t>
  </si>
  <si>
    <t>Deceased is a person who died in a traffic accident.</t>
  </si>
  <si>
    <t>Traffic accident - an event on the road, in a public or private place, when the vehicle kills or injures people, damages or damages at least one vehicle, cargo, road, its structures or any other property on the scene (source: road law).</t>
  </si>
  <si>
    <t>Road - an engineering structure for the traffic of vehicles and pesticides. Road elements include: embankment, carriageway, curbs, dividing strip, ditches and other drainage systems, intersections, bus stops, rest areas, pedestrian and bicycle paths, road structures, technical traffic control measures, greenery, lane , road weather monitoring and traffic accounting, lighting and other equipment with land occupied by these elements (source: Law on Roads of the Republic of Lithuania).</t>
  </si>
  <si>
    <t>TEN-T network - the European Union's network of transport, energy and telecommunications systems connecting all regions of the European Union and contributing to the growth of the internal market and employment, pursuing the objectives of environmental protection and sustainable development (source: Regulation (EU) No 1315 / 2013).</t>
  </si>
  <si>
    <t>Number of fatalities is calculated on all roads of the Lithuania TEN-T network per calendar year.</t>
  </si>
  <si>
    <t>Double counting should be removed at the level of the specific objective</t>
  </si>
  <si>
    <r>
      <t>The value of the indicator is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The baseline of the indicator is estimated as the</t>
    </r>
    <r>
      <rPr>
        <sz val="11"/>
        <color theme="1"/>
        <rFont val="Calibri"/>
        <family val="2"/>
        <charset val="186"/>
        <scheme val="minor"/>
      </rPr>
      <t xml:space="preserve"> n</t>
    </r>
    <r>
      <rPr>
        <sz val="10"/>
        <color theme="1"/>
        <rFont val="Calibri"/>
        <family val="2"/>
        <charset val="186"/>
        <scheme val="minor"/>
      </rPr>
      <t>umber of deaths and injuries at level crossings in the year before the intervention starts. The achieved value is estimated ex post as the number of deaths and injuries at level crossings for the year after the physical completion of the intervention.</t>
    </r>
  </si>
  <si>
    <t>Mid-West Region</t>
  </si>
  <si>
    <t>Annual reporting by Infrastructure Manager/ operator</t>
  </si>
  <si>
    <r>
      <rPr>
        <b/>
        <sz val="11"/>
        <color theme="1"/>
        <rFont val="Calibri"/>
        <family val="2"/>
        <charset val="186"/>
        <scheme val="minor"/>
      </rPr>
      <t>091</t>
    </r>
    <r>
      <rPr>
        <sz val="11"/>
        <color theme="1"/>
        <rFont val="Calibri"/>
        <family val="2"/>
        <scheme val="minor"/>
      </rPr>
      <t xml:space="preserve"> Reconstructed or modernised motorways and roads - </t>
    </r>
    <r>
      <rPr>
        <b/>
        <sz val="11"/>
        <color theme="1"/>
        <rFont val="Calibri"/>
        <family val="2"/>
        <scheme val="minor"/>
      </rPr>
      <t>TEN-T core network</t>
    </r>
    <r>
      <rPr>
        <sz val="11"/>
        <color theme="1"/>
        <rFont val="Calibri"/>
        <family val="2"/>
        <scheme val="minor"/>
      </rPr>
      <t xml:space="preserve"> (Rekonstruoti ar modernizuoti greitkeliai ir keliai – TEN-T pagrindinis tinklas)</t>
    </r>
  </si>
  <si>
    <r>
      <rPr>
        <b/>
        <sz val="11"/>
        <color theme="1"/>
        <rFont val="Calibri"/>
        <family val="2"/>
        <charset val="186"/>
        <scheme val="minor"/>
      </rPr>
      <t>092</t>
    </r>
    <r>
      <rPr>
        <sz val="11"/>
        <color theme="1"/>
        <rFont val="Calibri"/>
        <family val="2"/>
        <scheme val="minor"/>
      </rPr>
      <t xml:space="preserve"> Reconstructed or modernised motorways and roads - </t>
    </r>
    <r>
      <rPr>
        <b/>
        <sz val="11"/>
        <color theme="1"/>
        <rFont val="Calibri"/>
        <family val="2"/>
        <scheme val="minor"/>
      </rPr>
      <t xml:space="preserve">TEN-T comprehensive network </t>
    </r>
    <r>
      <rPr>
        <sz val="11"/>
        <color theme="1"/>
        <rFont val="Calibri"/>
        <family val="2"/>
        <scheme val="minor"/>
      </rPr>
      <t>(Rekonstruoti ar modernizuoti greitkeliai ir keliai – TEN-T visuotinis tinklas)</t>
    </r>
  </si>
  <si>
    <t>Rail tonne-connection/year</t>
  </si>
  <si>
    <t>Proportion of the population living and operating in noise prevention areas with reduced railway noise (Gyventojų, gyvenančių ir veikiančių triukšmo prevencijos zonose, dalis, kuriai sumažintas geležinkelių keliamas triukšmas)</t>
  </si>
  <si>
    <t>54</t>
  </si>
  <si>
    <t xml:space="preserve">The target value of the indicator in 2029 is 29.35 km, calculated as the planned reconstruction of  sections:  the Via Baltica road A5 Kaunas – Marijampolė – Suvalkai from 56.83 to 85.00 km (sections I – III) and the section A1 Vilnius – Kaunas – Klaipėda from 99.29 to 100.47 km (A. Meškinis middle bridges over the Neris and viaducts over Jonava str.). Project activities will include reconstruction (15.67 + 6.50 + 6.00 + 1.18 = 29.35 km). The required investments for the  reconstruction (~252 165 000 Eur) of these sections are determined according to the tariff of 1 km  (~  7 476 659 Eur, in 2016  prices) set in technical project of "Reconstruction of the section of the state highway A5 Kaunas - Marijampolė - Suwalki from 45.15 to 56.83 km into the AM category road".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is ~ 8 591 652 Eur. The required  investments are calculated 8 591 652 *29.35≈252 165 000  Eur. 
 In order to ensure the construction and reconstruction of the integrated section, in addition to the planned investments of the program (~170 053 528 Eur),  is planned  additional national budget  funds contribution( ~82 111 472 Eur). 
The target value for 2029 of the indicator is determined taking into account all the investments necessary for the implementation of the projects (252165000 /8591652=29,35).  It is  planned to complete the construction works in 2024, therefore he milestone value in 2024 will be 100 percent.
</t>
  </si>
  <si>
    <t>26</t>
  </si>
  <si>
    <t xml:space="preserve">In the National Progress Plan it is planned that the number of road fatalities per 1 million inhabitants will be 30 in 2030. According to State Enterprise Lithuanian Road Administration 2016-20219  data, the number of road  fatalities are distributed to the TEN-T roads (34%) and no TEN-T roads (66 %). 
The target value for 2029 is calculated (30*2,575553)*0,34=26. Population data are taken from the forecasts of the Department of Statistics.  
The baseline value in 2019  is taken from State Enterprise Lithuanian Road Administration  report 2019 - 54.
It is planned to install 113 trafic control systems in  57 roads in TEN-T network. These investments will directly contribute to improving road safety on the TEN-T road network.  Other program investment related to TEN-T roads modernisation ( 091 ir 092 intervention) also will contribute to improving road safety on TEN-T roads network. </t>
  </si>
  <si>
    <t>man-days/year</t>
  </si>
  <si>
    <t>The target value is calculated using the methodology proposed by Jaspers on 16/10/2020: [Passenger-km] = Σ nj = 1 [AADTj] * [Lengthj] * Occupancy * 365. 
The baseline value for 2021 is calculated  was determined taking into account the existing section of the road A5 Kaunas – Marijampolė – Suvalkai from 56.83 to 85.00 km (sections I – III) and the section of the road Vilnius – Kaunas – Klaipėda from 99.29 to 100.47 km (A. Meškinis middle bridges over the Neris and viaducts over Jonava str.) passenger traffic growth (change) per year in the 29.35 km section:  (11380*15,67*1,85*365)+(10360*6,50*1,74*365)+(10360*6,00*1,74*365)+(23761*1,18*1,69*365)=219954364. 
The target value for 2029 of the indicator is determined taking into account the growth (change) of the road passenger traffic planned to be reconstructed per year in the section of 29.35 km: (11957 * 15.67 * 1.85 * 365) + (10884 * 6.50 * 1.74 * 365) + (10884 * 6.00 * 1.74 * 365) + (25069 * 1.18 * 1.69 * 365) = 231171674. The traffic flow forecast is based on forecasts prepared by the European Commission (source: https://ec.europa.eu/energy/sites/ener/files/documents/20160713%20draft_publication_REF2016_v13.pdf).</t>
  </si>
  <si>
    <t>The target value is calculated using the methodology proposed by Jaspers on 16/10/2020: [Passenger-km] = Σ nj = 1 [AADTj] * [Lengthj] * Occupancy * 365.
The baseline value of the indicator in 2021 was determined taking into account the current growth (change) of passenger traffic per year on the A5 Kaunas – Marijampolė – Suvalkai section from 85.00 to 97.06 km (Section IV) in the 12.06 km section: (8706 * 8.10 * 1.74 * 365) + (10228 * 3.96 * 1.75 * 365) = 70657577.
The target value of the indicator in 2029 was determined taking into account the growth (change) of the passenger traffic of the road to be reconstructed per year in the 12.06 km section: (9146 * 8.10 * 1.74 * 365) + (10744 * 3.96 * 1.75 * 365) = 74226270. 
The traffic flow forecast is based on forecasts prepared by the European Commission (source: https://ec.europa.eu/energy/sites/ener/files/documents/20160713%20draft_publication_REF2016_v13.pdf)</t>
  </si>
  <si>
    <t xml:space="preserve">
man-days/year</t>
  </si>
  <si>
    <t>The target value is calculated using the methodology proposed by Jaspers on 16/10/2020: [Passenger-km] = Σ nj = 1 [AADTj] * [Lengthj] * Occupancy * 365. 
The baseline value of the indicator in 2021 was determined taking into account the current growth (change) of passenger traffic on the A14 Vilnius – Utena section from 21.50 to 52.18 km (2 sections) per year in the 30.68 km section: (6481 * 17.70 * 1 , 69 * 365) + (5851 * 12.98 * 1.72 * 365) = 118440032. 
The target value of the indicator in 2029 has been determined taking into account the growth (change) of the passenger traffic of the road to be reconstructed per year in the 30.68 km section: (6843 * 17.70 * 1.69 * 365) + (6176 * 12.98 * 1.72 * 365) = 125040811. 
The traffic flow forecast is based on forecasts prepared by the European Commission (source: https://ec.europa.eu/energy/sites/ener/files/documents/20160713%20draft_publication_REF2016_v13.pdf).</t>
  </si>
  <si>
    <t>The target value is calculated using the methodology proposed by Jaspers on 16/10/2020: [Saved Passenger-hours / year] =Σ nj=1 ( [Lengthj b / Speedj b] – [Lengthj f/a / Speedj f/a)] )* Occupancy * AADTj f/a * DAYS. 
The baseline value of the indicator in 2021 was determined taking into account the current average speed of car traffic on the A14 Vilnius – Utena section from 21.50 to 52.18 km (2 sections) in the current situation, growth (change) of passenger traffic per year in the 30.68 km section: ((17.70 / 85.0) * 1.69 * 6481 * 365 + (12.98 / 85.0) * 1.72 * 5851 * 365) / 7.76 = 179563.
The target value of the indicator in 2029 has been determined taking into account the change in the average speed of the road traffic planned to be reconstructed in the current and planned situation, the growth (change) of passenger traffic per year in the 30.68 km section: ((17.70 / 85.0-17.70 / 90.0) * 1.69 * 6843 * 365 + (12.98 / 85.0-12.98 / 90.0) * 1.72 * 6176 * 365) / 7.76 = 10532.
 The calculations estimate 2019. average working week in Lithuania - 38.8 hours =&gt; Day 1: 7.76 hours (source: https://stats.oecd.org/Index.aspx?DataSetCode=AVE_HRS)</t>
  </si>
  <si>
    <t>The target value of the indicator in 2029 is 113 (7 + 94 + 12) traffic control systems, calculated as traffic control systems planned to be installed on the roads of the TEN-T network, which will record the speed of car traffic, check violations - insurance, techn. inspection, road toll). In the territory of settlements on 7 roads (7 systems - 7 roads with 1 device), price of 1 device - 43 000 Eur (a price is determinated according to the data of project implemented by measure no. 06.2.1-TID-V-507 "Improving regional accessibility " in Priority 6 "Development of Sustainable Transport and Core Network Infrastructure" of 20214-2020 period Program),  50 roads outside the settlement territory (94 systems - 47 roads with 2 devices and 12 systems - 3 roads (2 directions) with 4 devices) ,  price of 1 device - 22.000 Eur (the price is determined according to data of contract (2020) of project "Installation of medium speed measuring systems" (not financed by EU funds). Estimated total investments: 7 * 43.000 + (94 + 12) * 22.000 = 2.633.000 Eur.
The milestone for 2024 is not planned, because activities will begin after 2024.</t>
  </si>
  <si>
    <t xml:space="preserve"> Freight transport on intermodal connections (Krovinių vežimo intermodalinėmis jungtimis apimtys )</t>
  </si>
  <si>
    <t>According to  the assumptions of the modernized infrastructure  calculated in the LTG terminal development strategy 2019-2030,  freight transport will be 299 225  tonnes/year in 2029 after  modernization  of intermodal connection. The baseline value  in 2020 is determined from the annual reporting by infrastructure manager/operator  - 4802,25 tonnes / year.</t>
  </si>
  <si>
    <t>Traffic control systems installed on roads (Įdiegtos eismo kontrolės sistemos keliuose)</t>
  </si>
  <si>
    <t>Policy objective - 3. A more connected Europe by enhancing mobility</t>
  </si>
  <si>
    <t>Infrastructure manager’s report</t>
  </si>
  <si>
    <t xml:space="preserve">3.1.2. Improve and develop the TEN-T road network (Tobulinti ir plėtoti TEN-T kelių tinklą) </t>
  </si>
  <si>
    <t>Installed or modernised digital
systems in railways (Įdiegtos ar modernizuotos skaitmeninės sistemos geležinkeliuose)</t>
  </si>
  <si>
    <t>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29.35 km section: (15.67 / 82.91-15.67 / 106.04) * 1.85 * 11957 * 365 + (6.50 / 82.87-6.50 / 104.84) ​​* 1.74 * 10884 * 365 + (6.00 / 82.87-6, 00 / 104.84) ​​* 1.74 * 10884 * 365 + (1.18 / 86.0-1.18 / 108.0) * 1.69 * 25069 * 365) / 7.76 = 76620.
The calculations estimate the average working week in Lithuania in 2019 - 38.8 hours =&gt; 1 day: 7.76 hours (source: https://stats.oecd.org/Index.aspx?DataSetCode=AVE_HRS).</t>
  </si>
  <si>
    <t xml:space="preserve">
The value of the indicator has been determined taking into account the currently existing intermodal connection that would be upgraded during the project implementation. It is planned to modernize 1 intermodal connection in Kaunas terminal by installing the equipment and infrastructure required for combined cargo transportation. The required investments is 3 318 969,00  Eur - trailer park (~1 400 392 Eur,the price is determined in technical project prepared by "Kelprojektas" (2021)  equipment (loader - 500 000, saddle tractors 2*170 000 and crane 1 078 577) ~1 1 918 577 Eur. The equipment  investments (1 918 577 Eur) are determined after market survey  (2019) from comercial offers for purchase of terminal tractors, reach stackes and terminal cranes and indexed by estimating the price change until the planned purchase of equipment (in 2024). The change was based on the actual values ​​and forecasts of the harmonized price index published on the website of the Ministry of Finance (source: https://finmin.lrv.lt/lt/aktualus-valstybes-finansu-duomenys/ekonomines-raidos-scenarijus).
In order to ensure the implementation of whole project, in addition to the planned investments of the program (~2 733 268,24 Eur),  is planned  addition private contribution (~585 700,76 Eur).
The milestone for 2024 is not calculated because, the activities will be finished after 2024. </t>
  </si>
  <si>
    <t>Specific output</t>
  </si>
  <si>
    <t>Specific result</t>
  </si>
  <si>
    <t>The target value is calculated using the methodology proposed by Jaspers on 16/10/2020: [Saved Passenger-hours / year] =Σ nj=1 ( [Lengthj b / Speedj b] – [Lengthj f/a / Speedj f/a)] )* Occupancy * AADTj f/a * DAYS. 
The target value of the indicator  in 2029 is determined taking into account the change in the average speed of the road traffic planned for the newly built and partially reconstructed road in the current and planned situation, the growth (change) of passenger traffic per year in the 12.06 km section: ((8.10 / 76.60-8, 10 / 104.50) * 1.74 * 9146 * 365 + (3.96 / 75.83-3.96 / 84.53) * 1.75 * 10744 * 365) / 7.76 = 25886. The calculations estimate the average working week in Lithuania - 38.8 hours =&gt; 1 day: 7.76 hours (source: https://stats.oecd.org/Index.aspx?DataSetCode=AVE_HRS).</t>
  </si>
  <si>
    <t>Installed or modernised digital systems in railways (Įdiegtos ar modernizuotos skaitmeninės sistemos geležinkeliuose)</t>
  </si>
  <si>
    <t xml:space="preserve">Installed or modernised digital systems in railways means systems for monitoring equipment, controlling rolling stock, informing passengers, ensuring travel comfort, ensuring the safety of passengers and the needs of all target groups information to passengers, ensuring travel convenience, passenger safety and ensuring the needs of all target groups. </t>
  </si>
  <si>
    <t>Projects data</t>
  </si>
  <si>
    <t>A platform - a specially equipped area at a railway station next to a road for passengers to wait for an arriving train, to go to a wagon, to get in and out of a wagon.</t>
  </si>
  <si>
    <r>
      <t>The target value of the indicator in 2029 is 12.06 km, calculated as the length of the planned to reconstruct section of the Via Baltica road A5 Kaunas – Marijampolė – Suvalkai from 85.00 to 97.06 km (Section IV). Project activities will include new construction of infrastructure - 8.10 km and reconstruction of existing infrastructure - 3.96 km. The required investments for the construction and reconstruction (</t>
    </r>
    <r>
      <rPr>
        <sz val="11"/>
        <rFont val="Calibri"/>
        <family val="2"/>
      </rPr>
      <t>~</t>
    </r>
    <r>
      <rPr>
        <sz val="11"/>
        <rFont val="Calibri"/>
        <family val="2"/>
        <scheme val="minor"/>
      </rPr>
      <t xml:space="preserve">79 576 000 Eur) of this section  are determined according to the tariff of 1 km  (~ 5 512 301 Eur Eur, in 2015  prices) set in technical project ofReconstruction of the A5 Kaunas – Marijampolė – Suwałki section from 35.40 to 45.15 km into the AM road category.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of 1 km is  </t>
    </r>
    <r>
      <rPr>
        <sz val="11"/>
        <rFont val="Calibri"/>
        <family val="2"/>
      </rPr>
      <t>~</t>
    </r>
    <r>
      <rPr>
        <sz val="11"/>
        <rFont val="Calibri"/>
        <family val="2"/>
        <scheme val="minor"/>
      </rPr>
      <t xml:space="preserve">6 598 342 Eur.  The required  investments are calculated 6598342 *12,06≈79576000 Eur.
 In order to ensure the construction and reconstruction of the integrated section, in addition to the planned investments of the program (~48 053 340 Eur),  is planned  additional national budget  funds contribution (~31 522 660 Eur). 
The target value for 2029 of the indicator is determined taking into account all the investments necessary for the implementation of the projects (79576000/6598342=12,06).  It is  planned to complete the construction works in 2024, therefore he milestone value in 2024 will be 100 percent.
</t>
    </r>
  </si>
  <si>
    <r>
      <t xml:space="preserve">The target value of the indicator in 2029 is 30.68 km calculated as the length of the section of the road A14 Vilnius – Utena planned to be reconstructed from 21.50 to 52.18 km (2 sections). Project activities will include reconstruction (17.70 + 12.98 = 30.68 km). The required investments for the  reconstruction (~101 000 000 Eur) of this section are determined according to the tariff of 1 km  (~ 2 648 965 Eur, in 2014  prices) set in feasibility Study of  Development of the trans-European network road E67 (VIA BALTICA). This tariff is indexed by estimating the price change  (source: average annual changes in construction input prices for infrastructure structures https://osp.stat.gov.lt/statistiniu-rodikliu-analize?indicator=S7R234#/) before the start of the planned works (2023) (calculated by estimating price changes over the last 10 years),  therefore final tariff of 1 km - </t>
    </r>
    <r>
      <rPr>
        <sz val="11"/>
        <rFont val="Calibri"/>
        <family val="2"/>
      </rPr>
      <t>~</t>
    </r>
    <r>
      <rPr>
        <sz val="11"/>
        <rFont val="Calibri"/>
        <family val="2"/>
        <scheme val="minor"/>
      </rPr>
      <t xml:space="preserve">3 292 047 Eur. The required  investments are calculated 3292047 *30.68≈101000000 Eur.
 In order to ensure the reconstruction of the integrated sections, in addition to the planned investments of the program (~62 831 440 Eur),  is planned  additional national budget  funds contribution (~38 168 560 Eur). 
The target value for 2029 of the indicator is determined taking into account all the investments necessary for the implementation of the projects (101000000/3292047=30.68). The milestone value for  2024 will be 100 percent.
 </t>
    </r>
  </si>
  <si>
    <r>
      <t xml:space="preserve">
</t>
    </r>
    <r>
      <rPr>
        <sz val="11"/>
        <rFont val="Calibri"/>
        <family val="2"/>
        <scheme val="minor"/>
      </rPr>
      <t>man-days/year</t>
    </r>
  </si>
  <si>
    <t xml:space="preserve">
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</si>
  <si>
    <t xml:space="preserve">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
</t>
  </si>
  <si>
    <t>Specific objective- 3.1 Developing a climate resilient, intelligent, secure, sustainable and intermodal TEN-T (Plėtoti klimato kaitai atsparų, pažangų, saugų, tvarų ir įvairiarūšį TEN-T)</t>
  </si>
  <si>
    <t>3 installed or modernized digital systems wil ensure safety of the trafic, efective avaoidance of railway incidents and preventative control. The risk to society from rail transport is calculated as the number of deaths and serious injuries (4 deaths and 2 serious injuries in 2020 (estimated at 0.1)) and the number of kilometers traveled by trains (15.8176 million km in 2020). ratio, the estimate of which is compiled annually by AB LTG Infra.
Due to technical limitations, the target value  is 0,01 in system SFC2021. ​​</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</si>
  <si>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The walue of emissions is valued at 0 for tracks, that wil be modernized, considering, that al the traction power, curently in use, comes from renevable energy sources.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fully electric LTG Cargo and LTG LINK trains will run on the electrified section. From year 2020 AB „LTG Infra“ is purchasing electric energy for al company uses on the open market according to laws and regulation of Republic of Lithuania. During purchase procedure for electrical energy, conditions of tender stated, that no less than 10 percent of electrical energy should be produced from renewable sources.  In winning proposition 93 890 845 kWh of electrical energy, comprising al the electrical energy needs of AB “LTG Infra” and including electrical energy for all electrified rail traction is produced from renewable energy sources.
AB “LTG Infra” main priority is greening of transport system by promoting use of train transport as low emissions alternative and purchase of electrical energy, produced from renewable sources, is a way to achieve long term goals of green transport.
Considering these factors, after modernization greenhouse emisions wil be at 0. 
Due to technical limitations, the target value  is 0,01 in system SFC2021. ​​</t>
  </si>
  <si>
    <t xml:space="preserve">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</si>
  <si>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Justification for the proposed change 2024-04</t>
  </si>
  <si>
    <t>Alternative fuels infrastructure (refuelling/recharging points) (Alternatyviųjų degalų infrastruktūra (degalų papildymo / įkrovimo punktai)</t>
  </si>
  <si>
    <t xml:space="preserve">allocation 2021- 2027 used for calculation of 2029 target </t>
  </si>
  <si>
    <t>2 900 000 Eur of intervension investments is allocated to this indicator. During the implementation of the project, it is planned to install a 25 AC battery charging station in Varėna, making it possible to operate BEMU rolling stock on one of the most popular railway routes in Lithuania Vilnius -Varėna . Price is set by analysing the costs of installing corresponding charging stations in other railway stations in European Union  and consulting potential suppliers.
The milestone value is not calculated because the project is planned to start after 2024.</t>
  </si>
  <si>
    <t>Comments</t>
  </si>
  <si>
    <t xml:space="preserve"> 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</si>
  <si>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103 Other reconstructed or modernised railways – electric/zero emission (Kiti rekonstruoti arba modernizuoti
geležinkeliai – elektrifikuoti / netaršūs)</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</si>
  <si>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https://ltsa.lrv.lt/lt/naudinga-informacija/gelezinkeliu-transportas-9/ltsa-saugos-ataskaitos and submitted to the European Railway Agency (ERA). It should be noted that the company aims for "0 deaths "by implementing various safety measures on the railway infrastructure.
Due to technical limitations, the target value  is 0,01 in system SFC2021. ​​</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</si>
  <si>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the BEMU trains will be charged with energy, produced from renewable sources. This will reduce the amount of CO2 emissions into the environment by 1,333 t. per year. Until the end of 2021-2027 financing period during the period of 45 months the total amount of CO2 emissions into the environment will be reduced by 45 x (1,333/12)= ~5010 tons. Baseline value 11 910 tons of CO2eq/year (the value was calculated by summing the CO2 emissions from all operational diesel trains in 2019), the target 2029 will be 11 910 - 5010 = 6900 tons of CO2eq/year.
Considering these factors, after modernization greenhouse emisions wil be at 0. 
(The target value  shows  CO2 emissions only from passenger trains)</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</si>
  <si>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It should be noted that the company aims for "0 deaths "by implementing various safety measures on the railway infrastructure.
Due to technical limitations, the target value  is 0,01 in system SFC2021. ​​</t>
  </si>
  <si>
    <r>
      <rPr>
        <b/>
        <sz val="13"/>
        <color theme="1"/>
        <rFont val="Calibri"/>
        <family val="2"/>
        <scheme val="minor"/>
      </rPr>
      <t>100</t>
    </r>
    <r>
      <rPr>
        <b/>
        <sz val="13"/>
        <color rgb="FFFF0000"/>
        <rFont val="Calibri"/>
        <family val="2"/>
        <scheme val="minor"/>
      </rPr>
      <t xml:space="preserve"> </t>
    </r>
    <r>
      <rPr>
        <sz val="13"/>
        <color theme="1"/>
        <rFont val="Calibri"/>
        <family val="2"/>
        <scheme val="minor"/>
      </rPr>
      <t>Reconstructed or modernised railways - TEN-T core network (Rekonstruoti ar modernizuoti geležinkeliai – TEN-T pagrindinis tinklas)</t>
    </r>
  </si>
  <si>
    <r>
      <rPr>
        <strike/>
        <sz val="13"/>
        <rFont val="Calibri"/>
        <family val="2"/>
        <scheme val="minor"/>
      </rPr>
      <t>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t>
    </r>
    <r>
      <rPr>
        <b/>
        <sz val="13"/>
        <rFont val="Calibri"/>
        <family val="2"/>
        <scheme val="minor"/>
      </rPr>
      <t xml:space="preserve">
On 13 March 2024, the European Commission approved a phased project entitled "Electrification of the section Kaišiadorys–Klaipėda (Draugystės st.)". Phase I of the project has already been completed and has been financed by the EU funds and national funds for 2014-2020 financial period, and phase II of the project is planned to be financed by the EU funds and national funds for the 2021-2027 financial period. In the EC project approval notification the following costs of the above-mentioned project were indicated: 
1. Other sources:
50 000 000,00 (Loans, LTG Infra) and EC grant under 2021-2027 (82 470 796,10 EUR).
2. Information about the total eligible costs of phase II and the CF amount for phase II to be
financed from 2021-2027 Programme:
Total eligible costs of Phase II – 97 024 466,00 EUR (EU contribution from 2021-2027 IP -
82 470 796,10 EUR).                                                                                                                                                                                                    
Railway section Kaišiadorys–Klaipėda (Draugystės station) (321 km) (hereinafter – the Section) belongs to the 423.9 km Country border–Kena–Klaipėda (Draugystės station) railway line. The aim of the Project is to modernize the infrastructure of the railway section Kaišiadorys-Klaipėda (Draugystės st.), which is a part of transport corridor IXB and belongs to the TEN-T network, and to reduce the consumption of fossil fuels in the railway transport sector, thus increasing the efficiency of the railway transport operations and reducing the environmental pollution. Electrification of the Section, which length of railway lines is around 321 km. The whole scope is divided into two stages. Phase I is finished in year 2024 and consists of completed technical design for whole line and 122 km of installed catenary network; phase II - all 321 km are electrified and completely operable in 2025 QIV. Within the scope of the Project  II phase it is planned to: 1) construct catenary  (199 km) and power supply equipment (foundations, poles, wires, feeders, etc.); 2) construct (reconstruct) traction substations and autotransformers (5 TPS + 8 ATS); 3) install power networks and connections of  high voltage lines from the traction substations to national grid controlled by JSC Litgrid; 4) implement other activities directly related with electrification of the Section (EIA screenings, spatial planning, land acquisition, etc.). Within the scope of the Project the infrastructure of the railway section Kaišiadorys–Klaipėda (Draugystės station) will be modernised by electrifying 1520 mm gauge 321 km length railway lines. Hence, after the implementation of the Project, the indicators of the OP will be achieved to the full extent. </t>
    </r>
  </si>
  <si>
    <r>
      <t xml:space="preserve">20,14 percent (~24 742 692 Eur) of intervension investments is allocated to this indicator. It is planned  to reconstruct platforms in 44 TEN-T ( </t>
    </r>
    <r>
      <rPr>
        <u/>
        <sz val="13"/>
        <rFont val="Calibri"/>
        <family val="2"/>
        <scheme val="minor"/>
      </rPr>
      <t>26- in TEN-T core network</t>
    </r>
    <r>
      <rPr>
        <sz val="13"/>
        <rFont val="Calibri"/>
        <family val="2"/>
        <scheme val="minor"/>
      </rPr>
      <t>, 18 - in TEN-T comprehensive network) Lithuanian railway stations serving the largest passenger flows according to the principles of universal design. The required investments for the reconstruction of platforms ( 43 000 000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26*977 272≈25 410 000 Eur. In order to ensure the of reconstruction paltforms in railway stations serving the largest passenger flows, in addition to the planned investments of the program (~24 742 692 Eur), it is planned  addition private contribution (~667 308 Eur). The milestone value is not calculated because the project is planned to start after 2024.</t>
    </r>
  </si>
  <si>
    <r>
      <rPr>
        <strike/>
        <sz val="13"/>
        <rFont val="Calibri"/>
        <family val="2"/>
        <scheme val="minor"/>
      </rPr>
      <t>20,14 percent (~24 742 692 Eur)</t>
    </r>
    <r>
      <rPr>
        <sz val="13"/>
        <rFont val="Calibri"/>
        <family val="2"/>
        <scheme val="minor"/>
      </rPr>
      <t xml:space="preserve"> </t>
    </r>
    <r>
      <rPr>
        <b/>
        <sz val="13"/>
        <rFont val="Calibri"/>
        <family val="2"/>
        <scheme val="minor"/>
      </rPr>
      <t>44 999 895 Eur</t>
    </r>
    <r>
      <rPr>
        <sz val="13"/>
        <rFont val="Calibri"/>
        <family val="2"/>
        <scheme val="minor"/>
      </rPr>
      <t xml:space="preserve"> of intervension investments is allocated to this indicator. It is planned  to reconstruct platforms in </t>
    </r>
    <r>
      <rPr>
        <b/>
        <sz val="13"/>
        <rFont val="Calibri"/>
        <family val="2"/>
        <scheme val="minor"/>
      </rPr>
      <t>approximately</t>
    </r>
    <r>
      <rPr>
        <sz val="13"/>
        <rFont val="Calibri"/>
        <family val="2"/>
        <scheme val="minor"/>
      </rPr>
      <t xml:space="preserve"> 44 TEN-T (</t>
    </r>
    <r>
      <rPr>
        <strike/>
        <u/>
        <sz val="13"/>
        <rFont val="Calibri"/>
        <family val="2"/>
        <scheme val="minor"/>
      </rPr>
      <t>26</t>
    </r>
    <r>
      <rPr>
        <u/>
        <sz val="13"/>
        <rFont val="Calibri"/>
        <family val="2"/>
        <scheme val="minor"/>
      </rPr>
      <t xml:space="preserve"> </t>
    </r>
    <r>
      <rPr>
        <b/>
        <u/>
        <sz val="13"/>
        <rFont val="Calibri"/>
        <family val="2"/>
        <scheme val="minor"/>
      </rPr>
      <t>approximately</t>
    </r>
    <r>
      <rPr>
        <u/>
        <sz val="13"/>
        <rFont val="Calibri"/>
        <family val="2"/>
        <scheme val="minor"/>
      </rPr>
      <t xml:space="preserve"> </t>
    </r>
    <r>
      <rPr>
        <b/>
        <u/>
        <sz val="13"/>
        <rFont val="Calibri"/>
        <family val="2"/>
        <scheme val="minor"/>
      </rPr>
      <t>28</t>
    </r>
    <r>
      <rPr>
        <u/>
        <sz val="13"/>
        <rFont val="Calibri"/>
        <family val="2"/>
        <scheme val="minor"/>
      </rPr>
      <t>- in TEN-T core network</t>
    </r>
    <r>
      <rPr>
        <sz val="13"/>
        <rFont val="Calibri"/>
        <family val="2"/>
        <scheme val="minor"/>
      </rPr>
      <t xml:space="preserve">, </t>
    </r>
    <r>
      <rPr>
        <strike/>
        <sz val="13"/>
        <rFont val="Calibri"/>
        <family val="2"/>
        <scheme val="minor"/>
      </rPr>
      <t>18</t>
    </r>
    <r>
      <rPr>
        <sz val="13"/>
        <rFont val="Calibri"/>
        <family val="2"/>
        <scheme val="minor"/>
      </rPr>
      <t xml:space="preserve"> </t>
    </r>
    <r>
      <rPr>
        <b/>
        <sz val="13"/>
        <rFont val="Calibri"/>
        <family val="2"/>
        <scheme val="minor"/>
      </rPr>
      <t>approximately</t>
    </r>
    <r>
      <rPr>
        <sz val="13"/>
        <rFont val="Calibri"/>
        <family val="2"/>
        <scheme val="minor"/>
      </rPr>
      <t xml:space="preserve"> </t>
    </r>
    <r>
      <rPr>
        <b/>
        <sz val="13"/>
        <rFont val="Calibri"/>
        <family val="2"/>
        <scheme val="minor"/>
      </rPr>
      <t>16</t>
    </r>
    <r>
      <rPr>
        <sz val="13"/>
        <rFont val="Calibri"/>
        <family val="2"/>
        <scheme val="minor"/>
      </rPr>
      <t xml:space="preserve"> - in TEN-T comprehensive network) Lithuanian railway stations serving the largest passenger flows according to the principles of universal design. The required investments for the reconstruction of platforms (</t>
    </r>
    <r>
      <rPr>
        <strike/>
        <sz val="13"/>
        <rFont val="Calibri"/>
        <family val="2"/>
        <scheme val="minor"/>
      </rPr>
      <t>43 000 000</t>
    </r>
    <r>
      <rPr>
        <sz val="13"/>
        <rFont val="Calibri"/>
        <family val="2"/>
        <scheme val="minor"/>
      </rPr>
      <t xml:space="preserve"> </t>
    </r>
    <r>
      <rPr>
        <b/>
        <sz val="13"/>
        <rFont val="Calibri"/>
        <family val="2"/>
        <scheme val="minor"/>
      </rPr>
      <t>38 249 911</t>
    </r>
    <r>
      <rPr>
        <sz val="13"/>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3"/>
        <rFont val="Calibri"/>
        <family val="2"/>
        <scheme val="minor"/>
      </rPr>
      <t>2022</t>
    </r>
    <r>
      <rPr>
        <sz val="13"/>
        <rFont val="Calibri"/>
        <family val="2"/>
        <scheme val="minor"/>
      </rPr>
      <t xml:space="preserve"> </t>
    </r>
    <r>
      <rPr>
        <b/>
        <sz val="13"/>
        <rFont val="Calibri"/>
        <family val="2"/>
        <scheme val="minor"/>
      </rPr>
      <t>2024</t>
    </r>
    <r>
      <rPr>
        <sz val="13"/>
        <rFont val="Calibri"/>
        <family val="2"/>
        <scheme val="minor"/>
      </rPr>
      <t xml:space="preserve"> and also for scope of the project average are </t>
    </r>
    <r>
      <rPr>
        <strike/>
        <sz val="13"/>
        <rFont val="Calibri"/>
        <family val="2"/>
        <scheme val="minor"/>
      </rPr>
      <t>~ 977 272</t>
    </r>
    <r>
      <rPr>
        <sz val="13"/>
        <rFont val="Calibri"/>
        <family val="2"/>
        <scheme val="minor"/>
      </rPr>
      <t xml:space="preserve"> </t>
    </r>
    <r>
      <rPr>
        <b/>
        <sz val="13"/>
        <rFont val="Calibri"/>
        <family val="2"/>
        <scheme val="minor"/>
      </rPr>
      <t>~ 1 022 725</t>
    </r>
    <r>
      <rPr>
        <sz val="13"/>
        <rFont val="Calibri"/>
        <family val="2"/>
        <scheme val="minor"/>
      </rPr>
      <t xml:space="preserve"> per one station, where platforms are reconstructed. 
The required investments are calculeted </t>
    </r>
    <r>
      <rPr>
        <strike/>
        <sz val="13"/>
        <rFont val="Calibri"/>
        <family val="2"/>
        <scheme val="minor"/>
      </rPr>
      <t>26*977 272≈25 410 000 Eur</t>
    </r>
    <r>
      <rPr>
        <sz val="13"/>
        <rFont val="Calibri"/>
        <family val="2"/>
        <scheme val="minor"/>
      </rPr>
      <t xml:space="preserve"> </t>
    </r>
    <r>
      <rPr>
        <b/>
        <sz val="13"/>
        <rFont val="Calibri"/>
        <family val="2"/>
        <scheme val="minor"/>
      </rPr>
      <t>28*1 022 725 ≈28 636 292 Eur</t>
    </r>
    <r>
      <rPr>
        <sz val="13"/>
        <rFont val="Calibri"/>
        <family val="2"/>
        <scheme val="minor"/>
      </rPr>
      <t>. In order to ensure the of reconstruction paltforms in railway stations serving the largest passenger flows, in addition to the planned investments of the program (</t>
    </r>
    <r>
      <rPr>
        <strike/>
        <sz val="13"/>
        <rFont val="Calibri"/>
        <family val="2"/>
        <scheme val="minor"/>
      </rPr>
      <t xml:space="preserve">~24 742 692 Eur </t>
    </r>
    <r>
      <rPr>
        <b/>
        <sz val="13"/>
        <rFont val="Calibri"/>
        <family val="2"/>
        <scheme val="minor"/>
      </rPr>
      <t>~24 340 848 Eur</t>
    </r>
    <r>
      <rPr>
        <sz val="13"/>
        <rFont val="Calibri"/>
        <family val="2"/>
        <scheme val="minor"/>
      </rPr>
      <t>), it is planned addition private contribution (</t>
    </r>
    <r>
      <rPr>
        <strike/>
        <sz val="13"/>
        <rFont val="Calibri"/>
        <family val="2"/>
        <scheme val="minor"/>
      </rPr>
      <t>~667 308 Eu</t>
    </r>
    <r>
      <rPr>
        <sz val="13"/>
        <rFont val="Calibri"/>
        <family val="2"/>
        <scheme val="minor"/>
      </rPr>
      <t xml:space="preserve">r </t>
    </r>
    <r>
      <rPr>
        <b/>
        <sz val="13"/>
        <rFont val="Calibri"/>
        <family val="2"/>
        <scheme val="minor"/>
      </rPr>
      <t>~4 295 444 Eur</t>
    </r>
    <r>
      <rPr>
        <sz val="13"/>
        <rFont val="Calibri"/>
        <family val="2"/>
        <scheme val="minor"/>
      </rPr>
      <t>). The milestone value is not calculated because the project is planned to start after 2024.</t>
    </r>
  </si>
  <si>
    <r>
      <t>Currently AB "LTG Infra" have 134  stations on the rail network (55 - in TEN-T core network, 79 - in TEN-T comprehensive network) of Republic of Lithuania. According to evaluation of 2020, 17 (</t>
    </r>
    <r>
      <rPr>
        <u/>
        <sz val="13"/>
        <rFont val="Calibri"/>
        <family val="2"/>
        <scheme val="minor"/>
      </rPr>
      <t>10 - in TEN-T core network</t>
    </r>
    <r>
      <rPr>
        <sz val="13"/>
        <rFont val="Calibri"/>
        <family val="2"/>
        <scheme val="minor"/>
      </rPr>
      <t>, 7 - in TEN-T comprehensive network) stations of these stations have the access to the platforms and trains for people with special needs and disabilities. During implementation of  projects, additional in 2</t>
    </r>
    <r>
      <rPr>
        <u/>
        <sz val="13"/>
        <rFont val="Calibri"/>
        <family val="2"/>
        <scheme val="minor"/>
      </rPr>
      <t>6  stations (in TEN-T core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(10+26)*100/134≈26,9. The baseline value in 2020 is calculated 10*100/134≈7,5.</t>
    </r>
  </si>
  <si>
    <r>
      <t>Currently AB "LTG Infra" have 134  stations on the rail network (55 - in TEN-T core network, 79 - in TEN-T comprehensive network) of Republic of Lithuania. According to evaluation of 2020, 17 (</t>
    </r>
    <r>
      <rPr>
        <u/>
        <sz val="13"/>
        <rFont val="Calibri"/>
        <family val="2"/>
        <scheme val="minor"/>
      </rPr>
      <t>10 - in TEN-T core network</t>
    </r>
    <r>
      <rPr>
        <sz val="13"/>
        <rFont val="Calibri"/>
        <family val="2"/>
        <scheme val="minor"/>
      </rPr>
      <t xml:space="preserve">, 7 - in TEN-T comprehensive network) stations of these stations have the access to the platforms and trains for people with special needs and disabilities. During implementation of  projects, additional in </t>
    </r>
    <r>
      <rPr>
        <strike/>
        <sz val="13"/>
        <rFont val="Calibri"/>
        <family val="2"/>
        <scheme val="minor"/>
      </rPr>
      <t>26</t>
    </r>
    <r>
      <rPr>
        <sz val="13"/>
        <rFont val="Calibri"/>
        <family val="2"/>
        <scheme val="minor"/>
      </rPr>
      <t xml:space="preserve"> </t>
    </r>
    <r>
      <rPr>
        <b/>
        <sz val="13"/>
        <rFont val="Calibri"/>
        <family val="2"/>
        <scheme val="minor"/>
      </rPr>
      <t>28</t>
    </r>
    <r>
      <rPr>
        <u/>
        <sz val="13"/>
        <rFont val="Calibri"/>
        <family val="2"/>
        <scheme val="minor"/>
      </rPr>
      <t xml:space="preserve">  stations (in TEN-T core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t>
    </r>
    <r>
      <rPr>
        <strike/>
        <sz val="13"/>
        <rFont val="Calibri"/>
        <family val="2"/>
        <scheme val="minor"/>
      </rPr>
      <t>26</t>
    </r>
    <r>
      <rPr>
        <b/>
        <sz val="13"/>
        <rFont val="Calibri"/>
        <family val="2"/>
        <scheme val="minor"/>
      </rPr>
      <t xml:space="preserve"> 28</t>
    </r>
    <r>
      <rPr>
        <sz val="13"/>
        <rFont val="Calibri"/>
        <family val="2"/>
        <scheme val="minor"/>
      </rPr>
      <t>)*100/134≈</t>
    </r>
    <r>
      <rPr>
        <strike/>
        <sz val="13"/>
        <rFont val="Calibri"/>
        <family val="2"/>
        <scheme val="minor"/>
      </rPr>
      <t>26,9</t>
    </r>
    <r>
      <rPr>
        <sz val="13"/>
        <rFont val="Calibri"/>
        <family val="2"/>
        <scheme val="minor"/>
      </rPr>
      <t xml:space="preserve"> </t>
    </r>
    <r>
      <rPr>
        <b/>
        <sz val="13"/>
        <rFont val="Calibri"/>
        <family val="2"/>
        <scheme val="minor"/>
      </rPr>
      <t>28,4</t>
    </r>
    <r>
      <rPr>
        <sz val="13"/>
        <rFont val="Calibri"/>
        <family val="2"/>
        <scheme val="minor"/>
      </rPr>
      <t>. The baseline value in 2020 is calculated 10*100/134≈7,5.</t>
    </r>
  </si>
  <si>
    <r>
      <t xml:space="preserve">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t>
    </r>
    <r>
      <rPr>
        <strike/>
        <sz val="13"/>
        <rFont val="Calibri"/>
        <family val="2"/>
        <scheme val="minor"/>
      </rPr>
      <t>https://ltsa.lrv.lt/lt/naudinga-informacija/gelezinkeliu-transporto-eismo-saug-ir-saveika/saugos-ataskaita</t>
    </r>
    <r>
      <rPr>
        <sz val="13"/>
        <rFont val="Calibri"/>
        <family val="2"/>
        <scheme val="minor"/>
      </rPr>
      <t xml:space="preserve"> </t>
    </r>
    <r>
      <rPr>
        <b/>
        <sz val="13"/>
        <rFont val="Calibri"/>
        <family val="2"/>
        <scheme val="minor"/>
      </rPr>
      <t>https://ltsa.lrv.lt/lt/naudinga-informacija/gelezinkeliu-transportas-9/ltsa-saugos-ataskaitos</t>
    </r>
    <r>
      <rPr>
        <sz val="13"/>
        <rFont val="Calibri"/>
        <family val="2"/>
        <scheme val="minor"/>
      </rPr>
      <t xml:space="preserve"> and submitted to the European Railway Agency (ERA). It should be noted that the company aims for "0 deaths "by implementing various safety measures on the railway infrastructure.
Due to technical limitations, the target value  is 0,01 in system SFC2021. ​​</t>
    </r>
  </si>
  <si>
    <r>
      <rPr>
        <b/>
        <sz val="13"/>
        <rFont val="Calibri"/>
        <family val="2"/>
        <scheme val="minor"/>
      </rPr>
      <t xml:space="preserve">101 </t>
    </r>
    <r>
      <rPr>
        <sz val="13"/>
        <rFont val="Calibri"/>
        <family val="2"/>
        <scheme val="minor"/>
      </rPr>
      <t>Reconstructed or modernised railways - TEN-T comprehensive network (Rekonstruoti ar modernizuoti geležinkeliai – TEN-T visuotinis tinklas)</t>
    </r>
  </si>
  <si>
    <r>
      <t xml:space="preserve"> It is planned  to reconstruct platforms in 44 TEN-T ( 26- in TEN-T core network, </t>
    </r>
    <r>
      <rPr>
        <u/>
        <sz val="13"/>
        <rFont val="Calibri"/>
        <family val="2"/>
        <scheme val="minor"/>
      </rPr>
      <t>18 - in TEN-T comprehensive network</t>
    </r>
    <r>
      <rPr>
        <sz val="13"/>
        <rFont val="Calibri"/>
        <family val="2"/>
        <scheme val="minor"/>
      </rPr>
      <t xml:space="preserve">) Lithuanian railway stations serving the largest passenger flows according to the principles of universal design. The required investments for the reconstruction of platforms ( </t>
    </r>
    <r>
      <rPr>
        <sz val="13"/>
        <rFont val="Calibri"/>
        <family val="2"/>
      </rPr>
      <t>17 590 000</t>
    </r>
    <r>
      <rPr>
        <sz val="13"/>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18*977272≈17 590 000 Eur. In order to ensure the of reconstruction paltforms in railway stations serving the largest passenger flows, in addition to the planned investments of the program (~17 194 073  Eur), it is planned  addition private contribution (~395 927 Eur). The milestone value is not calculated because the project is planned to start after 2024.</t>
    </r>
  </si>
  <si>
    <r>
      <rPr>
        <b/>
        <sz val="13"/>
        <rFont val="Calibri"/>
        <family val="2"/>
        <scheme val="minor"/>
      </rPr>
      <t xml:space="preserve">44 999 895 Eur of intervension investments is allocated to this indicator. 
</t>
    </r>
    <r>
      <rPr>
        <sz val="13"/>
        <rFont val="Calibri"/>
        <family val="2"/>
        <scheme val="minor"/>
      </rPr>
      <t xml:space="preserve">It is planned  to reconstruct platforms in </t>
    </r>
    <r>
      <rPr>
        <b/>
        <sz val="13"/>
        <rFont val="Calibri"/>
        <family val="2"/>
        <scheme val="minor"/>
      </rPr>
      <t>approximately</t>
    </r>
    <r>
      <rPr>
        <sz val="13"/>
        <rFont val="Calibri"/>
        <family val="2"/>
        <scheme val="minor"/>
      </rPr>
      <t xml:space="preserve"> 44 TEN-T (</t>
    </r>
    <r>
      <rPr>
        <strike/>
        <sz val="13"/>
        <rFont val="Calibri"/>
        <family val="2"/>
        <scheme val="minor"/>
      </rPr>
      <t>26</t>
    </r>
    <r>
      <rPr>
        <sz val="13"/>
        <rFont val="Calibri"/>
        <family val="2"/>
        <scheme val="minor"/>
      </rPr>
      <t xml:space="preserve"> </t>
    </r>
    <r>
      <rPr>
        <b/>
        <sz val="13"/>
        <rFont val="Calibri"/>
        <family val="2"/>
        <scheme val="minor"/>
      </rPr>
      <t>approximately</t>
    </r>
    <r>
      <rPr>
        <sz val="13"/>
        <rFont val="Calibri"/>
        <family val="2"/>
        <scheme val="minor"/>
      </rPr>
      <t xml:space="preserve"> </t>
    </r>
    <r>
      <rPr>
        <b/>
        <sz val="13"/>
        <rFont val="Calibri"/>
        <family val="2"/>
        <scheme val="minor"/>
      </rPr>
      <t>28</t>
    </r>
    <r>
      <rPr>
        <sz val="13"/>
        <rFont val="Calibri"/>
        <family val="2"/>
        <scheme val="minor"/>
      </rPr>
      <t xml:space="preserve">- in TEN-T core network, </t>
    </r>
    <r>
      <rPr>
        <strike/>
        <u/>
        <sz val="13"/>
        <rFont val="Calibri"/>
        <family val="2"/>
        <scheme val="minor"/>
      </rPr>
      <t>18</t>
    </r>
    <r>
      <rPr>
        <u/>
        <sz val="13"/>
        <rFont val="Calibri"/>
        <family val="2"/>
        <scheme val="minor"/>
      </rPr>
      <t xml:space="preserve"> </t>
    </r>
    <r>
      <rPr>
        <b/>
        <u/>
        <sz val="13"/>
        <rFont val="Calibri"/>
        <family val="2"/>
        <scheme val="minor"/>
      </rPr>
      <t>approximately 16</t>
    </r>
    <r>
      <rPr>
        <u/>
        <sz val="13"/>
        <rFont val="Calibri"/>
        <family val="2"/>
        <scheme val="minor"/>
      </rPr>
      <t xml:space="preserve"> - in TEN-T comprehensive network</t>
    </r>
    <r>
      <rPr>
        <sz val="13"/>
        <rFont val="Calibri"/>
        <family val="2"/>
        <scheme val="minor"/>
      </rPr>
      <t>) Lithuanian railway stations serving the largest passenger flows according to the principles of universal design. The required investments for the reconstruction of platforms (</t>
    </r>
    <r>
      <rPr>
        <strike/>
        <sz val="13"/>
        <rFont val="Calibri"/>
        <family val="2"/>
        <scheme val="minor"/>
      </rPr>
      <t>17 590 000 Eur</t>
    </r>
    <r>
      <rPr>
        <sz val="13"/>
        <rFont val="Calibri"/>
        <family val="2"/>
        <scheme val="minor"/>
      </rPr>
      <t xml:space="preserve"> </t>
    </r>
    <r>
      <rPr>
        <b/>
        <sz val="13"/>
        <rFont val="Calibri"/>
        <family val="2"/>
        <scheme val="minor"/>
      </rPr>
      <t>38 249 911 Eur</t>
    </r>
    <r>
      <rPr>
        <sz val="13"/>
        <rFont val="Calibri"/>
        <family val="2"/>
        <scheme val="minor"/>
      </rPr>
      <t xml:space="preserve">)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3"/>
        <rFont val="Calibri"/>
        <family val="2"/>
        <scheme val="minor"/>
      </rPr>
      <t>2022</t>
    </r>
    <r>
      <rPr>
        <sz val="13"/>
        <rFont val="Calibri"/>
        <family val="2"/>
        <scheme val="minor"/>
      </rPr>
      <t xml:space="preserve"> </t>
    </r>
    <r>
      <rPr>
        <b/>
        <sz val="13"/>
        <rFont val="Calibri"/>
        <family val="2"/>
        <scheme val="minor"/>
      </rPr>
      <t>2024</t>
    </r>
    <r>
      <rPr>
        <sz val="13"/>
        <rFont val="Calibri"/>
        <family val="2"/>
        <scheme val="minor"/>
      </rPr>
      <t xml:space="preserve"> and also for scope of the project average are </t>
    </r>
    <r>
      <rPr>
        <strike/>
        <sz val="13"/>
        <rFont val="Calibri"/>
        <family val="2"/>
        <scheme val="minor"/>
      </rPr>
      <t>~ 977 272</t>
    </r>
    <r>
      <rPr>
        <sz val="13"/>
        <rFont val="Calibri"/>
        <family val="2"/>
        <scheme val="minor"/>
      </rPr>
      <t xml:space="preserve"> </t>
    </r>
    <r>
      <rPr>
        <b/>
        <sz val="13"/>
        <rFont val="Calibri"/>
        <family val="2"/>
        <scheme val="minor"/>
      </rPr>
      <t>~ 1 022 725</t>
    </r>
    <r>
      <rPr>
        <sz val="13"/>
        <rFont val="Calibri"/>
        <family val="2"/>
        <scheme val="minor"/>
      </rPr>
      <t xml:space="preserve"> per one station, where platforms are reconstructed. 
The required investments are calculeted </t>
    </r>
    <r>
      <rPr>
        <strike/>
        <sz val="13"/>
        <rFont val="Calibri"/>
        <family val="2"/>
        <scheme val="minor"/>
      </rPr>
      <t>18*977272≈17 590 000 Eur</t>
    </r>
    <r>
      <rPr>
        <sz val="13"/>
        <rFont val="Calibri"/>
        <family val="2"/>
        <scheme val="minor"/>
      </rPr>
      <t xml:space="preserve"> </t>
    </r>
    <r>
      <rPr>
        <b/>
        <sz val="13"/>
        <rFont val="Calibri"/>
        <family val="2"/>
        <scheme val="minor"/>
      </rPr>
      <t>16*1 022 725 ≈16 363 604 Eur</t>
    </r>
    <r>
      <rPr>
        <sz val="13"/>
        <rFont val="Calibri"/>
        <family val="2"/>
        <scheme val="minor"/>
      </rPr>
      <t>. In order to ensure the of reconstruction paltforms in railway stations serving the largest passenger flows, in addition to the planned investments of the program (</t>
    </r>
    <r>
      <rPr>
        <strike/>
        <sz val="13"/>
        <rFont val="Calibri"/>
        <family val="2"/>
        <scheme val="minor"/>
      </rPr>
      <t>~17 194 073  Eur</t>
    </r>
    <r>
      <rPr>
        <sz val="13"/>
        <rFont val="Calibri"/>
        <family val="2"/>
        <scheme val="minor"/>
      </rPr>
      <t xml:space="preserve"> </t>
    </r>
    <r>
      <rPr>
        <b/>
        <sz val="13"/>
        <rFont val="Calibri"/>
        <family val="2"/>
        <scheme val="minor"/>
      </rPr>
      <t>~13 909 063 Eur</t>
    </r>
    <r>
      <rPr>
        <sz val="13"/>
        <rFont val="Calibri"/>
        <family val="2"/>
        <scheme val="minor"/>
      </rPr>
      <t>), it is planned  addition private contribution (</t>
    </r>
    <r>
      <rPr>
        <strike/>
        <sz val="13"/>
        <rFont val="Calibri"/>
        <family val="2"/>
        <scheme val="minor"/>
      </rPr>
      <t>~395 927 Eur</t>
    </r>
    <r>
      <rPr>
        <sz val="13"/>
        <rFont val="Calibri"/>
        <family val="2"/>
        <scheme val="minor"/>
      </rPr>
      <t xml:space="preserve"> </t>
    </r>
    <r>
      <rPr>
        <b/>
        <sz val="13"/>
        <rFont val="Calibri"/>
        <family val="2"/>
        <scheme val="minor"/>
      </rPr>
      <t>~2 454 541 Eur</t>
    </r>
    <r>
      <rPr>
        <sz val="13"/>
        <rFont val="Calibri"/>
        <family val="2"/>
        <scheme val="minor"/>
      </rPr>
      <t>). The milestone value is not calculated because the project is planned to start after 2024.</t>
    </r>
  </si>
  <si>
    <r>
      <t xml:space="preserve">Currently AB "LTG Infra" have 134  stations on the rail network (55 - in TEN-T core network, 79 - in TEN-T comprehensive network) of Republic of Lithuania. According to evaluation of 2020, 17 (10 - in TEN-T core network, </t>
    </r>
    <r>
      <rPr>
        <u/>
        <sz val="13"/>
        <rFont val="Calibri"/>
        <family val="2"/>
        <scheme val="minor"/>
      </rPr>
      <t>7 - in TEN-T comprehensive network</t>
    </r>
    <r>
      <rPr>
        <b/>
        <sz val="13"/>
        <rFont val="Calibri"/>
        <family val="2"/>
        <scheme val="minor"/>
      </rPr>
      <t>)</t>
    </r>
    <r>
      <rPr>
        <sz val="13"/>
        <rFont val="Calibri"/>
        <family val="2"/>
        <scheme val="minor"/>
      </rPr>
      <t xml:space="preserve"> stations of these stations have the access to the platforms and trains for people with special needs and disabilities. During implementation of  projects, additional in </t>
    </r>
    <r>
      <rPr>
        <u/>
        <sz val="13"/>
        <rFont val="Calibri"/>
        <family val="2"/>
        <scheme val="minor"/>
      </rPr>
      <t>18  stations (in TEN-T comprehensive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(7+18)*100/134≈18,7. The baseline value in 2020 is calculated 7*100/134≈5,2.</t>
    </r>
  </si>
  <si>
    <r>
      <t xml:space="preserve">Currently AB "LTG Infra" have 134  stations on the rail network (55 - in TEN-T core network, 79 - in TEN-T comprehensive network) of Republic of Lithuania. According to evaluation of 2020, 17 (10 - in TEN-T core network, </t>
    </r>
    <r>
      <rPr>
        <u/>
        <sz val="13"/>
        <rFont val="Calibri"/>
        <family val="2"/>
        <scheme val="minor"/>
      </rPr>
      <t>7 - in TEN-T comprehensive network</t>
    </r>
    <r>
      <rPr>
        <b/>
        <sz val="13"/>
        <rFont val="Calibri"/>
        <family val="2"/>
        <scheme val="minor"/>
      </rPr>
      <t>)</t>
    </r>
    <r>
      <rPr>
        <sz val="13"/>
        <rFont val="Calibri"/>
        <family val="2"/>
        <scheme val="minor"/>
      </rPr>
      <t xml:space="preserve"> stations of these stations have the access to the platforms and trains for people with special needs and disabilities. During implementation of  projects, additional in </t>
    </r>
    <r>
      <rPr>
        <strike/>
        <sz val="13"/>
        <rFont val="Calibri"/>
        <family val="2"/>
        <scheme val="minor"/>
      </rPr>
      <t>18</t>
    </r>
    <r>
      <rPr>
        <sz val="13"/>
        <rFont val="Calibri"/>
        <family val="2"/>
        <scheme val="minor"/>
      </rPr>
      <t xml:space="preserve"> </t>
    </r>
    <r>
      <rPr>
        <b/>
        <u/>
        <sz val="13"/>
        <rFont val="Calibri"/>
        <family val="2"/>
        <scheme val="minor"/>
      </rPr>
      <t>16</t>
    </r>
    <r>
      <rPr>
        <u/>
        <sz val="13"/>
        <rFont val="Calibri"/>
        <family val="2"/>
        <scheme val="minor"/>
      </rPr>
      <t xml:space="preserve"> stations (in TEN-T comprehensive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t>
    </r>
    <r>
      <rPr>
        <strike/>
        <sz val="13"/>
        <rFont val="Calibri"/>
        <family val="2"/>
        <scheme val="minor"/>
      </rPr>
      <t>18</t>
    </r>
    <r>
      <rPr>
        <sz val="13"/>
        <rFont val="Calibri"/>
        <family val="2"/>
        <scheme val="minor"/>
      </rPr>
      <t xml:space="preserve"> </t>
    </r>
    <r>
      <rPr>
        <b/>
        <sz val="13"/>
        <rFont val="Calibri"/>
        <family val="2"/>
        <scheme val="minor"/>
      </rPr>
      <t>16</t>
    </r>
    <r>
      <rPr>
        <sz val="13"/>
        <rFont val="Calibri"/>
        <family val="2"/>
        <scheme val="minor"/>
      </rPr>
      <t xml:space="preserve">)*100/134≈ </t>
    </r>
    <r>
      <rPr>
        <strike/>
        <sz val="13"/>
        <rFont val="Calibri"/>
        <family val="2"/>
        <scheme val="minor"/>
      </rPr>
      <t>18,7</t>
    </r>
    <r>
      <rPr>
        <sz val="13"/>
        <rFont val="Calibri"/>
        <family val="2"/>
        <scheme val="minor"/>
      </rPr>
      <t xml:space="preserve"> </t>
    </r>
    <r>
      <rPr>
        <b/>
        <sz val="13"/>
        <rFont val="Calibri"/>
        <family val="2"/>
        <scheme val="minor"/>
      </rPr>
      <t>17,2</t>
    </r>
    <r>
      <rPr>
        <sz val="13"/>
        <rFont val="Calibri"/>
        <family val="2"/>
        <scheme val="minor"/>
      </rPr>
      <t>. The baseline value in 2020 is calculated 7*100/134≈5,2.</t>
    </r>
  </si>
  <si>
    <r>
      <rPr>
        <b/>
        <strike/>
        <sz val="13"/>
        <rFont val="Calibri"/>
        <family val="2"/>
        <scheme val="minor"/>
      </rPr>
      <t>104</t>
    </r>
    <r>
      <rPr>
        <strike/>
        <sz val="13"/>
        <rFont val="Calibri"/>
        <family val="2"/>
        <scheme val="minor"/>
      </rPr>
      <t xml:space="preserve"> Digitalisation of transport: rail (Transporto skaitmeninimas: geležinkeliai)</t>
    </r>
  </si>
  <si>
    <r>
      <rPr>
        <strike/>
        <sz val="13"/>
        <rFont val="Calibri"/>
        <family val="2"/>
        <scheme val="minor"/>
      </rPr>
      <t xml:space="preserve">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r>
    <r>
      <rPr>
        <b/>
        <sz val="13"/>
        <rFont val="Calibri"/>
        <family val="2"/>
        <scheme val="minor"/>
      </rPr>
      <t xml:space="preserve">
8 136 439 Eur (EU funds) of intervension investments is allocated to the installation of noise reduction measures on railway sections in Klaipeda and Kretinga (Total: 9 624 890=8 136 439 (EU) + 1 488 451(private)). Total 2 projects.
2 904 294 Eur (EU funds) of intervension investments is allocated to the Project "Modernization of priority crossings of the Vilnius–Klaipėda railway line" . (Total: 4 204 573=2 904 294 (EU) + 1 300 279 (private)). Total 10 projects.
824 354 Eur (EU funds) of intervension investments is allocated to 2 new priority crossings in TEN-T core network. The private funds 145 475 Eur. The public tendering for the reconstruction of crossings has not been finished. The necessary amount of funds was calculated taking into account the winning proposal. The price of one crossing ~484 915 Eur. The total amount 484 915 X 2 = ~ 969 829 Eur. Total 2 projects.
Approximately 10 mln (EU funds). Eur of intervension investments is allocated to construct a pedestrian crossings over railway tracks in Kretinga (Palangos St. and/or Šventosios St.) and Klaipėda (Pušyno Street)
Total value of the projects is 11,7 mln. Eur. Approximately 6 mln Eur. for  1 measure. The value is calculated on the basis of the design and construction contracts for the Kaišiadorys and Vilnius pedeestrian crosings. The activities will be completed until 2027, therefore it is planned, that the milestone value will be 100 percent. Total 2 projects.
The rest of intervension investments is allocated to construct pedestrian railway viaducts in 7 railway stations:
Stage I - Viaduct 1 - Gaižiūnai station. Design -  140.0 t.Eur; Construction - EUR 1 265 000 Eur;
Stage II - 3 viaducts - Radviliškis, Paneriai, Kybartai stations. Design - 375,0 t.Eur; Construction - 3 381 000 Eur;
Stage III - 3 viaducts - Kenos, Panevėžio, N.Vilnios stations. Design - 300.0 t.Eur; Construction - 2 500 000 Eur.
~6 766 850 Eur (EU funds) from the intervention and ~1 194 150 private contribution. (Total 7 961 000 Eur).
Total planned investments 34 460 292 Eur: calculated intervention investments - 33 684 632 (EU funds approximately - 28 631 937 Eur, Private contribution - approximately 5 052 695 Eur), other contribution - approximately 775 660 Eur. Total completed projects with planned investments - 23. </t>
    </r>
    <r>
      <rPr>
        <b/>
        <sz val="13"/>
        <rFont val="Calibri"/>
        <family val="2"/>
        <charset val="186"/>
        <scheme val="minor"/>
      </rPr>
      <t>13 projects are planned to be implemented until the end of 2024. So the milestone value for 2024 is 13.</t>
    </r>
  </si>
  <si>
    <t>4 946 128 Eur of intervension investments is allocated to 12 new priority crossings in TEN-T comprehensive network. The private funds 872 846 Eur. The public tendering for the reconstruction of crossings has not been finished. The necessary amount of funds was calculated taking into account the winning proposal. The price of one crossing ~484 915 Eur. The total amount 484 915 X 12 = ~ 5 818 968 Eur.
Total completed projects with planned investments - 12. The milestone value for 2024 is not calculated because the projects are planned to start after 2024.</t>
  </si>
  <si>
    <t>Taking into account the priorities set by the Ministry of Transport for the development of railway infrastructure, the modernization activities of the Kaunas Intermodal Terminal have been abandoned. It is planned to finance these activities using private funding sources of JSC LTG Infra. Accordingly, the product and result monitoring indicators intended to be achieved through this modernization activity have also been abandoned.</t>
  </si>
  <si>
    <r>
      <rPr>
        <b/>
        <strike/>
        <sz val="11"/>
        <color theme="1"/>
        <rFont val="Calibri"/>
        <family val="2"/>
        <scheme val="minor"/>
      </rPr>
      <t>108</t>
    </r>
    <r>
      <rPr>
        <strike/>
        <sz val="11"/>
        <color theme="1"/>
        <rFont val="Calibri"/>
        <family val="2"/>
        <scheme val="minor"/>
      </rPr>
      <t xml:space="preserve"> Multimodal transport (TEN-T)(Daugiarūšis transportas (TEN-T)</t>
    </r>
  </si>
  <si>
    <t>Platforms at railway stations reconstructed to ensure level access (Geležinkelių stotyse esantys peronai, rekonstruoti juos pritaikant vienalygei prieigai)</t>
  </si>
  <si>
    <t>Part of platforms adapted for level access (Peronų, pritaikytų  vienalygei prieigai, dalis )</t>
  </si>
  <si>
    <t>2024</t>
  </si>
  <si>
    <r>
      <rPr>
        <strike/>
        <sz val="13"/>
        <rFont val="Calibri"/>
        <family val="2"/>
        <scheme val="minor"/>
      </rPr>
      <t xml:space="preserve"> </t>
    </r>
    <r>
      <rPr>
        <b/>
        <strike/>
        <sz val="13"/>
        <rFont val="Calibri"/>
        <family val="2"/>
        <scheme val="minor"/>
      </rPr>
      <t xml:space="preserve">44 999 895 </t>
    </r>
    <r>
      <rPr>
        <b/>
        <sz val="13"/>
        <rFont val="Calibri"/>
        <family val="2"/>
        <scheme val="minor"/>
      </rPr>
      <t>46 739 122 Eur</t>
    </r>
    <r>
      <rPr>
        <sz val="13"/>
        <rFont val="Calibri"/>
        <family val="2"/>
        <scheme val="minor"/>
      </rPr>
      <t xml:space="preserve"> of intervension investments is allocated to this indicator. It is planned  to reconstruct 52 platforms</t>
    </r>
    <r>
      <rPr>
        <b/>
        <sz val="13"/>
        <rFont val="Calibri"/>
        <family val="2"/>
        <scheme val="minor"/>
      </rPr>
      <t xml:space="preserve">, by adapting them to level access, </t>
    </r>
    <r>
      <rPr>
        <sz val="13"/>
        <rFont val="Calibri"/>
        <family val="2"/>
        <scheme val="minor"/>
      </rPr>
      <t xml:space="preserve"> </t>
    </r>
    <r>
      <rPr>
        <strike/>
        <sz val="13"/>
        <rFont val="Calibri"/>
        <family val="2"/>
        <scheme val="minor"/>
      </rPr>
      <t xml:space="preserve">in </t>
    </r>
    <r>
      <rPr>
        <b/>
        <strike/>
        <sz val="13"/>
        <rFont val="Calibri"/>
        <family val="2"/>
        <scheme val="minor"/>
      </rPr>
      <t>approximately</t>
    </r>
    <r>
      <rPr>
        <strike/>
        <sz val="13"/>
        <rFont val="Calibri"/>
        <family val="2"/>
        <scheme val="minor"/>
      </rPr>
      <t xml:space="preserve"> 44 TEN-T </t>
    </r>
    <r>
      <rPr>
        <sz val="13"/>
        <rFont val="Calibri"/>
        <family val="2"/>
        <scheme val="minor"/>
      </rPr>
      <t>(</t>
    </r>
    <r>
      <rPr>
        <strike/>
        <u/>
        <sz val="13"/>
        <rFont val="Calibri"/>
        <family val="2"/>
        <scheme val="minor"/>
      </rPr>
      <t xml:space="preserve">26 </t>
    </r>
    <r>
      <rPr>
        <b/>
        <strike/>
        <u/>
        <sz val="13"/>
        <rFont val="Calibri"/>
        <family val="2"/>
        <scheme val="minor"/>
      </rPr>
      <t>approximately</t>
    </r>
    <r>
      <rPr>
        <strike/>
        <u/>
        <sz val="13"/>
        <rFont val="Calibri"/>
        <family val="2"/>
        <scheme val="minor"/>
      </rPr>
      <t xml:space="preserve"> </t>
    </r>
    <r>
      <rPr>
        <b/>
        <strike/>
        <u/>
        <sz val="13"/>
        <rFont val="Calibri"/>
        <family val="2"/>
        <scheme val="minor"/>
      </rPr>
      <t>28</t>
    </r>
    <r>
      <rPr>
        <b/>
        <u/>
        <sz val="13"/>
        <rFont val="Calibri"/>
        <family val="2"/>
        <scheme val="minor"/>
      </rPr>
      <t xml:space="preserve"> 32 </t>
    </r>
    <r>
      <rPr>
        <u/>
        <sz val="13"/>
        <rFont val="Calibri"/>
        <family val="2"/>
        <scheme val="minor"/>
      </rPr>
      <t>- in TEN-T core network</t>
    </r>
    <r>
      <rPr>
        <sz val="13"/>
        <rFont val="Calibri"/>
        <family val="2"/>
        <scheme val="minor"/>
      </rPr>
      <t xml:space="preserve">, </t>
    </r>
    <r>
      <rPr>
        <strike/>
        <sz val="13"/>
        <rFont val="Calibri"/>
        <family val="2"/>
        <scheme val="minor"/>
      </rPr>
      <t xml:space="preserve">18 </t>
    </r>
    <r>
      <rPr>
        <b/>
        <strike/>
        <sz val="13"/>
        <rFont val="Calibri"/>
        <family val="2"/>
        <scheme val="minor"/>
      </rPr>
      <t>approximately</t>
    </r>
    <r>
      <rPr>
        <strike/>
        <sz val="13"/>
        <rFont val="Calibri"/>
        <family val="2"/>
        <scheme val="minor"/>
      </rPr>
      <t xml:space="preserve"> </t>
    </r>
    <r>
      <rPr>
        <b/>
        <strike/>
        <sz val="13"/>
        <rFont val="Calibri"/>
        <family val="2"/>
        <scheme val="minor"/>
      </rPr>
      <t>16</t>
    </r>
    <r>
      <rPr>
        <sz val="13"/>
        <rFont val="Calibri"/>
        <family val="2"/>
        <scheme val="minor"/>
      </rPr>
      <t xml:space="preserve"> 20 - in TEN-T comprehensive network) in Lithuanian railway stations serving the largest passenger flows  </t>
    </r>
    <r>
      <rPr>
        <b/>
        <sz val="13"/>
        <rFont val="Calibri"/>
        <family val="2"/>
        <scheme val="minor"/>
      </rPr>
      <t>(Vilnius-Klaipėda, Vilnius-Kaunas, Vilnius-Turmantas, Klaipėda-Pagėgiai)</t>
    </r>
    <r>
      <rPr>
        <sz val="13"/>
        <rFont val="Calibri"/>
        <family val="2"/>
        <scheme val="minor"/>
      </rPr>
      <t xml:space="preserve">. </t>
    </r>
    <r>
      <rPr>
        <b/>
        <sz val="13"/>
        <rFont val="Calibri"/>
        <family val="2"/>
        <scheme val="minor"/>
      </rPr>
      <t>After assessing the technical condition of the platforms planned for reconstruction and the corresponding nature of the required construction works, the platforms have been divided into three groups:
•	Group 1: Platforms at railway stations in good technical condition where partial platform reconstruction is planned (smaller-scale construction works).
•	Group 2: Platforms at railway stations in poor technical condition where full platform reconstruction is planned (large-scale construction works and individual solutions for the platforms).
•	Group 3: Platforms at railway stops, where standard solution platforms made of prefabricated structures will be installed, including mandatory platform elements such as ramps, lighting, shelters, benches, and level crossings between platforms.
The cost of works includes: design, obtaining construction permits, project expertise, PRM TSI (Persons with Reduced Mobility Technical Specifications for Interoperability) evaluation, project supervision, construction, technical supervision of construction, and PRM TSI certification.
The final cost of the necessary works was calculated by determining the cost of reconstructing one platform assigned to a specific group and multiplying it by the number of platforms planned for reconstruction at a particular railway station or stop.
Calculations considered the estimated costs from 2021 for the reconstruction of four railway stops (one platform each) on the Šilutė-Klaipėda section, the costs for reconstructing a platform in the middle track at Plungė railway station during the construction of the second Plungė-Šateikiai railway track in 2020, the PRM TSI certification costs for platforms constructed on the Rail Baltica 1 railway line, the construction costs of the ongoing project “Implementation of Barrier-Free Solutions in Station Territories,” as well as the current increase in material and labor prices.
•	It is preliminarily estimated that the cost of reconstructing one platform (standard solution) at a railway stop is approximately €469 000. 
•	•	The cost of reconstructing one platform at a railway station depends on its current technical condition and ranges from €1 million to €1.6 million per platform. Accordingly, it is preliminarily estimated that the average cost of reconstructing one platform at a railway station is approximately €1 440 800 (smaller-scale and large-scale construction works).
The  total cost of reconstructing 32 platforms in TEN-T core network is (22 * €1 440 800)+ (10 * €469 000) ≈ €36 387 600.
In order to ensure the of reconstruction platforms in railway stations serving the largest passenger flows, in addition to the planned preliminary investments of the program (~30 929 518 Eur), it is planned addition private contribution (~5 458 151 Eur). The milestone value is not calculated because the project is planned to start after 2024</t>
    </r>
  </si>
  <si>
    <t>Within the scope of the project, the platforms at Lithuanian railway stations serving the largest passenger flows (Vilnius-Klaipėda, Vilnius-Kaunas, Vilnius-Turmantas, Klaipėda-Pagėgiai) are currently not reconstructed to provide level access.
During the implementation of the projects, 32 platforms will be reconstructed to ensure level access. This will make boarding and alighting from train carriages more convenient for persons with mobility impairments and other train passengers.
As a result, the target value for the indicator in 2029 is calculated as 32*100/52≈61,5. The baseline value in 2024 is calculated as 0*100/52≈0.</t>
  </si>
  <si>
    <t>8 136 439 Eur (EU funds) of intervension investments is allocated to the installation of noise reduction measures on railway sections in Klaipeda and Kretinga (Total: 9 624 890=8 136 439 (EU) + 1 488 451(private)). Total 2 3 measures.
2 904 294 Eur (EU funds) of intervension investments is allocated to the Project "Modernization of priority crossings of the Vilnius–Klaipėda railway line" . (Total: 4 204 573=2 904 294 (EU) + 1 300 279 (private)). Total 10 measures.
874 137 Eur (EU funds) of intervension investments is allocated to the Project "Modernization of priority crossings of the Vilnius–Klaipėda railway line" as additional financing.
824 354 Eur (EU funds) of intervension investments is allocated to 2 new priority crossings in TEN-T core network. The private funds 145 475 Eur. The public tendering for the reconstruction of crossings has not been finished. The necessary amount of funds was calculated taking into account the winning proposal. The price of one crossing ~484 915 Eur. The total amount 484 915 X 2 = ~ 969 829 Eur. Total 2 measures.
552 996 Eur (EU funds) of intervension investments is allocated to the modernization of the level crossing in the project “Level Crossing Safety Improvement Program. Phase V (Kretinga, Šventosios St.).” Private funds amount to €145,475. The cost of the Kretinga level crossing was assessed considering the key works carried out for 14 level crossings included in the project “Level Crossing Safety Improvement Program. Phase III. Modernization of 14 Priority Level Crossings” and 10 level crossings included in the project “Modernization of Priority Level Crossings on the Vilnius–Klaipėda Railway Line,” as well as the automation proposals for level crossings in the mentioned projects and additional works required to address the specific needs of Kretinga level crossing. Total 1 measure.
It became possible to allocate these funds for the modernization of the level crossing by revising the price of the projects “Construction of a grade-separated pedestrian crossing at 375+117 km on the Vilnius–Klaipėda line” (Klaipėda, Pušyno St.) and “Construction of a grade-separated pedestrian crossing at 353+595 km on the Vilnius–Klaipėda line” (Kretinga, Palangos St.). The planned Investment Program funds for these projects are now set at €4,723,500 each, instead of the previously planned preliminary allocation of €5,000,000 each.
9 447 004 Eur (EU funds) of intervension investments is allocated to construct a pedestrian crossings over railway tracks in Kretinga (Palangos St.) and Klaipėda (Pušyno Street).  4 723 502 Eur for  1 measure. 
Total value of the projects is 11,1 mln. Eur. The value is calculated on the basis of the design and construction contracts for the Kaišiadorys and Vilnius pedestrian crossings. The activities will be completed until 2027, therefore it is planned, that the milestone value for 2024 will be 0 percent. Total 2 measures.
The rest of intervension investments is allocated to construct pedestrian railway viaducts in 7 railway stations:
Stage I - Viaduct 1 - Gaižiūnai station. Design -  140.0 t.Eur; Construction - EUR 1 265 000 Eur;
Stage II - 3 viaducts - Radviliškis, Paneriai, Kybartai stations. Design - 375,0 t.Eur; Construction - 3 381 000 Eur;
Stage III - 3 viaducts - Kenos, Panevėžio, N.Vilnios stations. Design - 300.0 t.Eur; Construction - 2 500 000 Eur.
~6 766 850 Eur (EU funds) from the intervention and ~1 194 150 private contribution. (Total 7 961 000 Eur). Total 7 measures.
Total calculated intervention investments – 34 713 030 Eur, out of which EU funds - 29 506 076 Eur. Total completed measures with planned investments - 25.                                                                                                                            
As regards milestones for 2024, it is assumed that 13 projects are planned to be implemented until the end of 2024. So the milestone value for 2024 is 13.</t>
  </si>
  <si>
    <t>Within the scope of the project, the platforms at Lithuanian railway stations serving the largest passenger flows (Vilnius-Klaipėda, Vilnius-Kaunas, Vilnius-Turmantas, Klaipėda-Pagėgiai) are currently not reconstructed to provide level access.
During the implementation of the projects, 20 platforms will be reconstructed to ensure level access. This will make boarding and alighting from train carriages more convenient for persons with mobility impairments and other train passengers.
As a result, the target value for the indicator in 2029 is calculated as 20*100/52≈38,5. The baseline value in 2024 is calculated as 0*100/52≈0.</t>
  </si>
  <si>
    <r>
      <rPr>
        <strike/>
        <sz val="13"/>
        <rFont val="Calibri"/>
        <family val="2"/>
        <scheme val="minor"/>
      </rPr>
      <t>44 999 895</t>
    </r>
    <r>
      <rPr>
        <sz val="13"/>
        <rFont val="Calibri"/>
        <family val="2"/>
        <scheme val="minor"/>
      </rPr>
      <t xml:space="preserve"> </t>
    </r>
    <r>
      <rPr>
        <b/>
        <sz val="13"/>
        <rFont val="Calibri"/>
        <family val="2"/>
        <charset val="186"/>
        <scheme val="minor"/>
      </rPr>
      <t>46 739 122</t>
    </r>
    <r>
      <rPr>
        <b/>
        <sz val="13"/>
        <color rgb="FFFF0000"/>
        <rFont val="Calibri"/>
        <family val="2"/>
        <scheme val="minor"/>
      </rPr>
      <t xml:space="preserve"> </t>
    </r>
    <r>
      <rPr>
        <sz val="13"/>
        <rFont val="Calibri"/>
        <family val="2"/>
        <scheme val="minor"/>
      </rPr>
      <t xml:space="preserve">Eur of intervension investments is allocated to this indicator. It is planned  to reconstruct 52 platforms </t>
    </r>
    <r>
      <rPr>
        <b/>
        <sz val="13"/>
        <rFont val="Calibri"/>
        <family val="2"/>
        <scheme val="minor"/>
      </rPr>
      <t>, by adapting them to level access,</t>
    </r>
    <r>
      <rPr>
        <sz val="13"/>
        <rFont val="Calibri"/>
        <family val="2"/>
        <scheme val="minor"/>
      </rPr>
      <t xml:space="preserve">  </t>
    </r>
    <r>
      <rPr>
        <strike/>
        <sz val="13"/>
        <rFont val="Calibri"/>
        <family val="2"/>
        <scheme val="minor"/>
      </rPr>
      <t xml:space="preserve">in approximately 44 TEN-T </t>
    </r>
    <r>
      <rPr>
        <sz val="13"/>
        <rFont val="Calibri"/>
        <family val="2"/>
        <scheme val="minor"/>
      </rPr>
      <t>(</t>
    </r>
    <r>
      <rPr>
        <strike/>
        <sz val="13"/>
        <rFont val="Calibri"/>
        <family val="2"/>
        <scheme val="minor"/>
      </rPr>
      <t xml:space="preserve">26 approximately 28 </t>
    </r>
    <r>
      <rPr>
        <sz val="13"/>
        <rFont val="Calibri"/>
        <family val="2"/>
        <scheme val="minor"/>
      </rPr>
      <t xml:space="preserve">32 - in TEN-T core network, </t>
    </r>
    <r>
      <rPr>
        <strike/>
        <sz val="13"/>
        <rFont val="Calibri"/>
        <family val="2"/>
        <scheme val="minor"/>
      </rPr>
      <t>18 approximately 16</t>
    </r>
    <r>
      <rPr>
        <sz val="13"/>
        <rFont val="Calibri"/>
        <family val="2"/>
        <scheme val="minor"/>
      </rPr>
      <t xml:space="preserve"> 20 - in TEN-T comprehensive network) in Lithuanian railway stations serving the largest passenger flows  </t>
    </r>
    <r>
      <rPr>
        <b/>
        <sz val="13"/>
        <rFont val="Calibri"/>
        <family val="2"/>
        <scheme val="minor"/>
      </rPr>
      <t>(Vilnius-Klaipėda, Vilnius-Kaunas, Vilnius-Turmantas, Klaipėda-Pagėgiai). After assessing the technical condition of the platforms planned for reconstruction and the corresponding nature of the required construction works, the platforms have been divided into three groups:
•	Group 1: Platforms at railway stations in good technical condition where partial platform reconstruction is planned (smaller-scale construction works).
•	Group 2: Platforms at railway stations in poor technical condition where full platform reconstruction is planned (large-scale construction works and individual solutions for the platforms).
•	Group 3: Platforms at railway stops, where standard solution platforms made of prefabricated structures will be installed, including mandatory platform elements such as ramps, lighting, shelters, benches, and level crossings between platforms.
The cost of works includes: design, obtaining construction permits, project expertise, PRM TSI (Persons with Reduced Mobility Technical Specifications for Interoperability) evaluation, project supervision, construction, technical supervision of construction, and PRM TSI certification.
The final cost of the necessary works was calculated by determining the cost of reconstructing one platform assigned to a specific group and multiplying it by the number of platforms planned for reconstruction at a particular railway station or stop.
Calculations considered the estimated costs from 2021 for the reconstruction of four railway stops (one platform each) on the Šilutė-Klaipėda section, the costs for reconstructing a platform in the middle track at Plungė railway station during the construction of the second Plungė-Šateikiai railway track in 2020, the PRM TSI certification costs for platforms constructed on the Rail Baltica 1 railway line, the construction costs of the ongoing project “Implementation of Barrier-Free Solutions in Station Territories,” as well as the current increase in material and labor prices.
•	It is preliminarily estimated that the cost of reconstructing one platform (standard solution) at a railway stop is approximately €469 000. 
•	The cost of reconstructing one platform at a railway station depends on its current technical condition and ranges from €1 million to €1.6 million per platform. Accordingly, it is preliminarily estimated that the average cost of reconstructing one platform at a railway station is approximately €1 440 788 (smaller-scale and large-scale construction works).
The  total cost of reconstructing 20 platforms in TEN-T comprehensive network is (1 * €1 440 788)+ (19 * €469 000) ≈ €10 351 454.
In order to ensure the of reconstruction paltforms in railway stations serving the largest passenger flows, in addition to the planned preliminary investments of the program (~8 798 736 Eur), it is planned addition private contribution (~1 552 718 Eur). The milestone value is not calculated because the project is planned to start after 2024.</t>
    </r>
  </si>
  <si>
    <t xml:space="preserve">Platforms at railway stations reconstructed to ensure level access (Geležinkelių stotyse esantys peronai, rekonstruoti juos pritaikant vienalygei prieigai) </t>
  </si>
  <si>
    <t>Railway station - a complex of railway tracks, buildings, structures and equipment occupying a certain plot of land and intended for receiving, distributing, forming, passing and releasing trains, serving passengers, senders (recipients) of luggage and / or cargo.
A platform - a specially equipped area at a railway station next to a road for passengers to wait for an arriving train, to go to a wagon, to get in and out of a wagon.
A level access - an access from a platform to the doorway of a rolling stock for which it can be demonstrated that:
—	The gap between the door sill of that doorway (or of the extended bridging plate of that doorway) and the platform does not exceed 75 mm measured horizontally and 50 mm measured vertically and
—	The rolling stock has no internal step between the door sill and the vestibule.</t>
  </si>
  <si>
    <t xml:space="preserve">Part of platforms adapted for level access (Peronų, pritaikytų  vienalygei prieigai, dalis ) </t>
  </si>
  <si>
    <t>A level access - an access from a platform to the doorway of a rolling stock for which it can be demonstrated that:
—	The gap between the door sill of that doorway (or of the extended bridging plate of that doorway) and the platform does not exceed 75 mm measured horizontally and 50 mm measured vertically and
—	The rolling stock has no internal step between the door sill and the vestibule.</t>
  </si>
  <si>
    <t xml:space="preserve">This indicator measures the proportion of platforms which have been reconstructed (modernized) and adapted for level access from the total number of platforms planned to be reconstructed (modernized) in the projects. The achieved value is to be estimated upon after the completion of the intervention. The baseline value is determined from the annual reporting by infrastructure manager/operator. </t>
  </si>
  <si>
    <t>Report of AB LTG Infra</t>
  </si>
  <si>
    <t>Justification for the proposed change 2025-03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</si>
</sst>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00"/>
    <numFmt numFmtId="166" formatCode="#,##0.0000"/>
    <numFmt numFmtId="167" formatCode="#,##0.0000000"/>
    <numFmt numFmtId="168" formatCode="#,##0.00000"/>
    <numFmt numFmtId="169" formatCode="#,##0.000"/>
    <numFmt numFmtId="170" formatCode="0.0"/>
  </numFmts>
  <fonts count="92">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b/>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0"/>
      <color rgb="FF000000"/>
      <name val="Calibri"/>
      <family val="2"/>
      <charset val="186"/>
      <scheme val="minor"/>
    </font>
    <font>
      <sz val="10"/>
      <color rgb="FF000000"/>
      <name val="Calibri"/>
      <family val="2"/>
      <charset val="186"/>
      <scheme val="minor"/>
    </font>
    <font>
      <sz val="10"/>
      <color theme="1"/>
      <name val="Calibri"/>
      <family val="2"/>
      <charset val="186"/>
      <scheme val="minor"/>
    </font>
    <font>
      <b/>
      <sz val="10"/>
      <color theme="1"/>
      <name val="Calibri"/>
      <family val="2"/>
      <charset val="186"/>
      <scheme val="minor"/>
    </font>
    <font>
      <strike/>
      <sz val="11"/>
      <name val="Calibri"/>
      <family val="2"/>
      <scheme val="minor"/>
    </font>
    <font>
      <sz val="14"/>
      <name val="Calibri"/>
      <family val="2"/>
      <scheme val="minor"/>
    </font>
    <font>
      <strike/>
      <sz val="11"/>
      <color theme="1"/>
      <name val="Calibri"/>
      <family val="2"/>
      <scheme val="minor"/>
    </font>
    <font>
      <sz val="13"/>
      <name val="Calibri"/>
      <family val="2"/>
      <scheme val="minor"/>
    </font>
    <font>
      <sz val="13"/>
      <color theme="1"/>
      <name val="Calibri"/>
      <family val="2"/>
      <scheme val="minor"/>
    </font>
    <font>
      <b/>
      <sz val="13"/>
      <color theme="1"/>
      <name val="Calibri"/>
      <family val="2"/>
      <scheme val="minor"/>
    </font>
    <font>
      <b/>
      <sz val="13"/>
      <color rgb="FFFF0000"/>
      <name val="Calibri"/>
      <family val="2"/>
      <scheme val="minor"/>
    </font>
    <font>
      <b/>
      <sz val="13"/>
      <name val="Calibri"/>
      <family val="2"/>
      <scheme val="minor"/>
    </font>
    <font>
      <strike/>
      <sz val="13"/>
      <name val="Calibri"/>
      <family val="2"/>
      <scheme val="minor"/>
    </font>
    <font>
      <u/>
      <sz val="13"/>
      <name val="Calibri"/>
      <family val="2"/>
      <scheme val="minor"/>
    </font>
    <font>
      <strike/>
      <u/>
      <sz val="13"/>
      <name val="Calibri"/>
      <family val="2"/>
      <scheme val="minor"/>
    </font>
    <font>
      <b/>
      <u/>
      <sz val="13"/>
      <name val="Calibri"/>
      <family val="2"/>
      <scheme val="minor"/>
    </font>
    <font>
      <sz val="13"/>
      <name val="Calibri"/>
      <family val="2"/>
    </font>
    <font>
      <b/>
      <strike/>
      <sz val="13"/>
      <name val="Calibri"/>
      <family val="2"/>
      <scheme val="minor"/>
    </font>
    <font>
      <b/>
      <sz val="13"/>
      <name val="Calibri"/>
      <family val="2"/>
      <charset val="186"/>
      <scheme val="minor"/>
    </font>
    <font>
      <b/>
      <strike/>
      <sz val="11"/>
      <color theme="1"/>
      <name val="Calibri"/>
      <family val="2"/>
      <scheme val="minor"/>
    </font>
    <font>
      <b/>
      <strike/>
      <u/>
      <sz val="13"/>
      <name val="Calibri"/>
      <family val="2"/>
      <scheme val="minor"/>
    </font>
    <font>
      <sz val="13"/>
      <name val="Calibri"/>
      <family val="2"/>
      <charset val="186"/>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121">
    <xf numFmtId="0" fontId="0" fillId="0" borderId="0" xfId="0"/>
    <xf numFmtId="0" fontId="17" fillId="0" borderId="2" xfId="0" applyFont="1" applyBorder="1" applyAlignment="1">
      <alignment vertical="top" wrapText="1"/>
    </xf>
    <xf numFmtId="0" fontId="17" fillId="0" borderId="2" xfId="0" applyFont="1" applyBorder="1" applyAlignment="1">
      <alignment vertical="top"/>
    </xf>
    <xf numFmtId="0" fontId="0" fillId="0" borderId="1" xfId="0" applyBorder="1"/>
    <xf numFmtId="4" fontId="0" fillId="0" borderId="1" xfId="0" applyNumberFormat="1" applyBorder="1"/>
    <xf numFmtId="0" fontId="18" fillId="0" borderId="14" xfId="0" applyFont="1" applyBorder="1" applyAlignment="1">
      <alignment vertical="top" wrapText="1"/>
    </xf>
    <xf numFmtId="0" fontId="17" fillId="0" borderId="14" xfId="0" applyFont="1" applyBorder="1" applyAlignment="1">
      <alignment vertical="top" wrapText="1"/>
    </xf>
    <xf numFmtId="0" fontId="17" fillId="0" borderId="2" xfId="0" applyFont="1" applyBorder="1" applyAlignment="1">
      <alignment horizontal="center" vertical="center"/>
    </xf>
    <xf numFmtId="0" fontId="20" fillId="0" borderId="1" xfId="0" applyFont="1" applyBorder="1" applyAlignment="1">
      <alignment horizontal="center" vertical="center"/>
    </xf>
    <xf numFmtId="0" fontId="24" fillId="0" borderId="1" xfId="0" applyFont="1" applyBorder="1" applyAlignment="1">
      <alignment horizontal="center" vertical="center" wrapText="1"/>
    </xf>
    <xf numFmtId="0" fontId="17" fillId="0" borderId="0" xfId="0" applyFont="1"/>
    <xf numFmtId="49" fontId="0" fillId="0" borderId="0" xfId="0" applyNumberFormat="1"/>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17" fillId="0" borderId="2" xfId="0" applyFont="1" applyBorder="1" applyAlignment="1">
      <alignment horizontal="center" vertical="center" wrapText="1"/>
    </xf>
    <xf numFmtId="0" fontId="0" fillId="0" borderId="2" xfId="0" applyBorder="1" applyAlignment="1">
      <alignment horizontal="center" vertical="center"/>
    </xf>
    <xf numFmtId="0" fontId="20" fillId="0" borderId="2" xfId="0" applyFont="1" applyBorder="1" applyAlignment="1">
      <alignment horizontal="center" vertical="center" wrapText="1"/>
    </xf>
    <xf numFmtId="0" fontId="20" fillId="0" borderId="13" xfId="0" applyFont="1" applyBorder="1" applyAlignment="1">
      <alignment horizontal="center" vertical="center"/>
    </xf>
    <xf numFmtId="0" fontId="0" fillId="0" borderId="13" xfId="0" applyBorder="1" applyAlignment="1">
      <alignment horizontal="center" vertical="center"/>
    </xf>
    <xf numFmtId="4" fontId="0" fillId="0" borderId="13" xfId="0" applyNumberFormat="1" applyBorder="1" applyAlignment="1">
      <alignment horizontal="center" vertical="center" wrapText="1"/>
    </xf>
    <xf numFmtId="0" fontId="0" fillId="0" borderId="9" xfId="0" applyBorder="1" applyAlignment="1">
      <alignment horizontal="center" vertical="center"/>
    </xf>
    <xf numFmtId="0" fontId="16"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164" fontId="17" fillId="0" borderId="2" xfId="0" applyNumberFormat="1" applyFont="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31"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20" fillId="0" borderId="13" xfId="0" applyFont="1" applyBorder="1" applyAlignment="1">
      <alignment horizontal="center" vertical="center" wrapText="1"/>
    </xf>
    <xf numFmtId="0" fontId="25" fillId="0" borderId="2" xfId="0" applyFont="1" applyBorder="1" applyAlignment="1">
      <alignment horizontal="center" vertical="center" wrapText="1"/>
    </xf>
    <xf numFmtId="0" fontId="33" fillId="0" borderId="7" xfId="0" applyFont="1" applyBorder="1" applyAlignment="1">
      <alignment horizontal="center" vertical="center"/>
    </xf>
    <xf numFmtId="0" fontId="34" fillId="0" borderId="1" xfId="0" applyFont="1" applyBorder="1" applyAlignment="1">
      <alignment horizontal="center" vertical="center"/>
    </xf>
    <xf numFmtId="0" fontId="29"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7" xfId="0" applyFont="1" applyBorder="1" applyAlignment="1">
      <alignment horizontal="center" vertical="center"/>
    </xf>
    <xf numFmtId="0" fontId="29" fillId="0" borderId="2" xfId="0" applyFont="1" applyBorder="1" applyAlignment="1">
      <alignment horizontal="center" vertical="center"/>
    </xf>
    <xf numFmtId="0" fontId="29" fillId="0" borderId="17" xfId="0" applyFont="1" applyBorder="1"/>
    <xf numFmtId="0" fontId="24" fillId="0" borderId="1" xfId="0" applyFont="1" applyBorder="1" applyAlignment="1">
      <alignment horizontal="center" vertical="center"/>
    </xf>
    <xf numFmtId="0" fontId="36" fillId="0" borderId="1" xfId="0" applyFont="1" applyBorder="1" applyAlignment="1">
      <alignment horizontal="center" vertical="center" wrapText="1"/>
    </xf>
    <xf numFmtId="0" fontId="24" fillId="0" borderId="12" xfId="0" applyFont="1" applyBorder="1" applyAlignment="1">
      <alignment horizontal="center" vertical="center"/>
    </xf>
    <xf numFmtId="0" fontId="27"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24" fillId="0" borderId="18" xfId="0" applyFont="1" applyBorder="1"/>
    <xf numFmtId="0" fontId="31" fillId="0" borderId="0" xfId="0" applyFont="1" applyAlignment="1">
      <alignment horizontal="center" vertical="center" wrapText="1"/>
    </xf>
    <xf numFmtId="0" fontId="31" fillId="0" borderId="0" xfId="0" applyFont="1" applyAlignment="1">
      <alignment wrapText="1"/>
    </xf>
    <xf numFmtId="0" fontId="38" fillId="3" borderId="1" xfId="0" applyFont="1" applyFill="1" applyBorder="1" applyAlignment="1">
      <alignment horizontal="center" vertical="center" wrapText="1"/>
    </xf>
    <xf numFmtId="0" fontId="38"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0" fontId="38"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164"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1" xfId="0" applyFont="1" applyBorder="1" applyAlignment="1">
      <alignment wrapText="1"/>
    </xf>
    <xf numFmtId="0" fontId="0" fillId="0" borderId="0" xfId="0" applyAlignment="1">
      <alignment horizontal="center" vertical="center"/>
    </xf>
    <xf numFmtId="164" fontId="0" fillId="0" borderId="0" xfId="0" applyNumberFormat="1"/>
    <xf numFmtId="0" fontId="0" fillId="0" borderId="16" xfId="0" applyBorder="1"/>
    <xf numFmtId="0" fontId="0" fillId="0" borderId="17" xfId="0" applyBorder="1"/>
    <xf numFmtId="4" fontId="0" fillId="0" borderId="2" xfId="0" applyNumberFormat="1" applyBorder="1" applyAlignment="1">
      <alignment horizontal="center" vertical="center" wrapText="1"/>
    </xf>
    <xf numFmtId="0" fontId="0" fillId="0" borderId="7" xfId="0" applyBorder="1" applyAlignment="1">
      <alignment horizontal="center" vertical="center"/>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2" xfId="0" applyBorder="1" applyAlignment="1">
      <alignment horizontal="center" vertical="center"/>
    </xf>
    <xf numFmtId="0" fontId="0" fillId="0" borderId="18" xfId="0" applyBorder="1"/>
    <xf numFmtId="0" fontId="0" fillId="0" borderId="32" xfId="0" applyBorder="1"/>
    <xf numFmtId="4" fontId="0" fillId="0" borderId="12" xfId="0" applyNumberFormat="1" applyBorder="1" applyAlignment="1">
      <alignment horizontal="center" vertical="center" wrapText="1"/>
    </xf>
    <xf numFmtId="0" fontId="0" fillId="0" borderId="20" xfId="0" applyBorder="1"/>
    <xf numFmtId="0" fontId="0" fillId="3" borderId="0" xfId="0" applyFill="1" applyAlignment="1">
      <alignment horizontal="center" vertical="center" wrapText="1"/>
    </xf>
    <xf numFmtId="0" fontId="0" fillId="0" borderId="0" xfId="0" applyAlignment="1">
      <alignment horizontal="center" vertical="top" wrapText="1"/>
    </xf>
    <xf numFmtId="4" fontId="0" fillId="0" borderId="0" xfId="0" applyNumberFormat="1" applyAlignment="1">
      <alignment horizontal="center" vertical="center"/>
    </xf>
    <xf numFmtId="0" fontId="0" fillId="0" borderId="10" xfId="0" applyBorder="1"/>
    <xf numFmtId="0" fontId="0" fillId="0" borderId="0" xfId="0" applyAlignment="1">
      <alignment horizontal="left" vertic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wrapText="1"/>
    </xf>
    <xf numFmtId="0" fontId="19" fillId="0" borderId="7" xfId="0" applyFont="1" applyBorder="1" applyAlignment="1">
      <alignment horizontal="center" vertical="center"/>
    </xf>
    <xf numFmtId="0" fontId="16"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33" fillId="0" borderId="1" xfId="0" applyFont="1" applyBorder="1" applyAlignment="1">
      <alignment horizontal="center" vertical="center"/>
    </xf>
    <xf numFmtId="0" fontId="20" fillId="0" borderId="7" xfId="0" applyFont="1" applyBorder="1" applyAlignment="1">
      <alignment horizontal="center" vertical="center" wrapText="1"/>
    </xf>
    <xf numFmtId="0" fontId="20" fillId="0" borderId="12" xfId="0" applyFont="1" applyBorder="1" applyAlignment="1">
      <alignment horizontal="center" vertical="center" wrapText="1"/>
    </xf>
    <xf numFmtId="0" fontId="0" fillId="0" borderId="6" xfId="0" applyBorder="1" applyAlignment="1">
      <alignment horizontal="center" vertical="center"/>
    </xf>
    <xf numFmtId="0" fontId="16" fillId="0" borderId="11" xfId="0" applyFont="1" applyBorder="1" applyAlignment="1">
      <alignment horizontal="center" vertical="center" wrapText="1"/>
    </xf>
    <xf numFmtId="0" fontId="29" fillId="0" borderId="9" xfId="0" applyFont="1" applyBorder="1" applyAlignment="1">
      <alignment horizontal="center" vertical="center"/>
    </xf>
    <xf numFmtId="0" fontId="29" fillId="0" borderId="15" xfId="0" applyFont="1" applyBorder="1" applyAlignment="1">
      <alignment horizontal="center" vertical="center"/>
    </xf>
    <xf numFmtId="0" fontId="29" fillId="0" borderId="6" xfId="0" applyFont="1" applyBorder="1" applyAlignment="1">
      <alignment horizontal="center" vertical="center"/>
    </xf>
    <xf numFmtId="0" fontId="34" fillId="0" borderId="7" xfId="0" applyFont="1" applyBorder="1" applyAlignment="1">
      <alignment horizontal="center" vertical="center" wrapText="1"/>
    </xf>
    <xf numFmtId="0" fontId="24" fillId="0" borderId="17" xfId="0" applyFont="1" applyBorder="1"/>
    <xf numFmtId="0" fontId="29" fillId="0" borderId="20" xfId="0" applyFont="1" applyBorder="1"/>
    <xf numFmtId="0" fontId="24" fillId="0" borderId="6" xfId="0" applyFont="1" applyBorder="1" applyAlignment="1">
      <alignment horizontal="center" vertical="center"/>
    </xf>
    <xf numFmtId="0" fontId="27" fillId="0" borderId="7" xfId="0" applyFont="1" applyBorder="1" applyAlignment="1">
      <alignment horizontal="center" vertical="center" wrapText="1"/>
    </xf>
    <xf numFmtId="0" fontId="36" fillId="0" borderId="7" xfId="0" applyFont="1" applyBorder="1" applyAlignment="1">
      <alignment horizontal="center" vertical="center" wrapText="1"/>
    </xf>
    <xf numFmtId="0" fontId="24" fillId="0" borderId="7" xfId="0" applyFont="1" applyBorder="1" applyAlignment="1">
      <alignment horizontal="center" vertical="center"/>
    </xf>
    <xf numFmtId="0" fontId="24" fillId="0" borderId="16" xfId="0" applyFont="1" applyBorder="1"/>
    <xf numFmtId="0" fontId="24" fillId="0" borderId="11" xfId="0" applyFont="1"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29" fillId="0" borderId="4" xfId="0" applyFont="1" applyBorder="1" applyAlignment="1">
      <alignment horizontal="center" vertical="center"/>
    </xf>
    <xf numFmtId="0" fontId="29" fillId="0" borderId="34" xfId="0" applyFont="1" applyBorder="1" applyAlignment="1">
      <alignment horizontal="center" vertical="center"/>
    </xf>
    <xf numFmtId="0" fontId="29" fillId="0" borderId="29" xfId="0" applyFont="1" applyBorder="1" applyAlignment="1">
      <alignment horizontal="center" vertical="center"/>
    </xf>
    <xf numFmtId="0" fontId="0" fillId="0" borderId="1" xfId="0" applyBorder="1" applyAlignment="1">
      <alignment horizontal="center" vertical="top" wrapText="1"/>
    </xf>
    <xf numFmtId="0" fontId="26" fillId="0" borderId="0" xfId="0" applyFont="1"/>
    <xf numFmtId="0" fontId="26" fillId="0" borderId="0" xfId="0" applyFont="1" applyAlignment="1">
      <alignment horizontal="center" vertical="center"/>
    </xf>
    <xf numFmtId="3" fontId="29" fillId="0" borderId="1" xfId="0" applyNumberFormat="1" applyFont="1" applyBorder="1" applyAlignment="1">
      <alignment horizontal="center" vertical="center" wrapText="1"/>
    </xf>
    <xf numFmtId="0" fontId="20" fillId="2" borderId="8"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7" xfId="0" applyFont="1" applyFill="1" applyBorder="1" applyAlignment="1">
      <alignment horizontal="center" vertical="center" wrapText="1"/>
    </xf>
    <xf numFmtId="4" fontId="0" fillId="0" borderId="0" xfId="0" applyNumberFormat="1"/>
    <xf numFmtId="49" fontId="41" fillId="0" borderId="0" xfId="0" applyNumberFormat="1" applyFont="1" applyAlignment="1">
      <alignment wrapText="1"/>
    </xf>
    <xf numFmtId="49" fontId="41" fillId="0" borderId="0" xfId="0" applyNumberFormat="1" applyFont="1"/>
    <xf numFmtId="0" fontId="41" fillId="0" borderId="0" xfId="0" applyFont="1"/>
    <xf numFmtId="49" fontId="0" fillId="0" borderId="1"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xf>
    <xf numFmtId="49" fontId="29" fillId="0" borderId="7" xfId="0" applyNumberFormat="1" applyFont="1" applyBorder="1" applyAlignment="1">
      <alignment horizontal="center" vertical="center" wrapText="1"/>
    </xf>
    <xf numFmtId="4" fontId="25" fillId="0" borderId="0" xfId="0" applyNumberFormat="1" applyFont="1" applyAlignment="1">
      <alignment horizontal="right" vertical="center" readingOrder="1"/>
    </xf>
    <xf numFmtId="0" fontId="13" fillId="0" borderId="1" xfId="0" applyFont="1" applyBorder="1"/>
    <xf numFmtId="4" fontId="17" fillId="0" borderId="1" xfId="0" applyNumberFormat="1" applyFont="1" applyBorder="1"/>
    <xf numFmtId="4" fontId="13" fillId="0" borderId="1" xfId="0" applyNumberFormat="1" applyFont="1" applyBorder="1"/>
    <xf numFmtId="4" fontId="26" fillId="0" borderId="0" xfId="0" applyNumberFormat="1" applyFont="1"/>
    <xf numFmtId="4" fontId="13" fillId="5" borderId="1" xfId="0" applyNumberFormat="1" applyFont="1" applyFill="1" applyBorder="1"/>
    <xf numFmtId="4" fontId="25" fillId="0" borderId="0" xfId="0" applyNumberFormat="1" applyFont="1" applyAlignment="1">
      <alignment horizontal="right" vertical="center" wrapText="1" readingOrder="1"/>
    </xf>
    <xf numFmtId="0" fontId="44" fillId="0" borderId="0" xfId="0" applyFont="1"/>
    <xf numFmtId="0" fontId="44" fillId="0" borderId="0" xfId="0" applyFont="1" applyAlignment="1">
      <alignment vertical="center"/>
    </xf>
    <xf numFmtId="0" fontId="25" fillId="0" borderId="1" xfId="0" applyFont="1" applyBorder="1" applyAlignment="1">
      <alignment horizontal="center" vertical="center" wrapText="1"/>
    </xf>
    <xf numFmtId="0" fontId="0" fillId="0" borderId="0" xfId="0" applyAlignment="1">
      <alignment horizontal="center" vertical="center" wrapText="1"/>
    </xf>
    <xf numFmtId="3" fontId="0" fillId="0" borderId="1" xfId="0" applyNumberFormat="1" applyBorder="1" applyAlignment="1">
      <alignment horizontal="center" vertical="center"/>
    </xf>
    <xf numFmtId="4" fontId="45" fillId="0" borderId="0" xfId="0" applyNumberFormat="1" applyFont="1"/>
    <xf numFmtId="0" fontId="0" fillId="0" borderId="34" xfId="0" applyBorder="1" applyAlignment="1">
      <alignment horizontal="center" vertical="center" wrapText="1"/>
    </xf>
    <xf numFmtId="0" fontId="14" fillId="0" borderId="35"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42" xfId="0" applyFont="1" applyBorder="1" applyAlignment="1">
      <alignment horizontal="center" vertical="center" wrapText="1"/>
    </xf>
    <xf numFmtId="49" fontId="20"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0" fillId="0" borderId="38" xfId="0" applyBorder="1" applyAlignment="1">
      <alignment horizontal="center" vertical="center" wrapText="1"/>
    </xf>
    <xf numFmtId="165" fontId="0" fillId="0" borderId="1"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6" xfId="0" applyNumberFormat="1" applyBorder="1" applyAlignment="1">
      <alignment vertical="center" wrapText="1"/>
    </xf>
    <xf numFmtId="167" fontId="0" fillId="0" borderId="0" xfId="0" applyNumberFormat="1" applyAlignment="1">
      <alignment wrapText="1"/>
    </xf>
    <xf numFmtId="49" fontId="17" fillId="0" borderId="12" xfId="0" applyNumberFormat="1" applyFont="1" applyBorder="1" applyAlignment="1">
      <alignment horizontal="center" vertical="center" wrapText="1"/>
    </xf>
    <xf numFmtId="4" fontId="17" fillId="0" borderId="12" xfId="0" applyNumberFormat="1" applyFont="1" applyBorder="1" applyAlignment="1">
      <alignment horizontal="center" vertical="center" wrapText="1"/>
    </xf>
    <xf numFmtId="49" fontId="18" fillId="0" borderId="12"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3" xfId="0" applyNumberFormat="1" applyBorder="1" applyAlignment="1">
      <alignment horizontal="center" vertical="center" wrapText="1"/>
    </xf>
    <xf numFmtId="168" fontId="0" fillId="0" borderId="13" xfId="0" applyNumberFormat="1" applyBorder="1" applyAlignment="1">
      <alignment horizontal="center" vertical="center" wrapText="1"/>
    </xf>
    <xf numFmtId="49" fontId="0" fillId="0" borderId="20" xfId="0" applyNumberFormat="1" applyBorder="1" applyAlignment="1">
      <alignment wrapText="1"/>
    </xf>
    <xf numFmtId="4" fontId="0" fillId="9" borderId="2" xfId="0" applyNumberFormat="1" applyFill="1" applyBorder="1" applyAlignment="1">
      <alignment horizontal="center" vertical="center"/>
    </xf>
    <xf numFmtId="49" fontId="0" fillId="9" borderId="2" xfId="0" applyNumberFormat="1" applyFill="1" applyBorder="1" applyAlignment="1">
      <alignment horizontal="center" vertical="center" wrapText="1"/>
    </xf>
    <xf numFmtId="0" fontId="0" fillId="9" borderId="10" xfId="0"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12" xfId="0" applyNumberFormat="1" applyFill="1" applyBorder="1" applyAlignment="1">
      <alignment horizontal="center" vertical="center"/>
    </xf>
    <xf numFmtId="49" fontId="0" fillId="9" borderId="12" xfId="0" applyNumberFormat="1" applyFill="1" applyBorder="1" applyAlignment="1">
      <alignment horizontal="center" vertical="center" wrapText="1"/>
    </xf>
    <xf numFmtId="4" fontId="0" fillId="9" borderId="12" xfId="0" applyNumberFormat="1" applyFill="1" applyBorder="1" applyAlignment="1">
      <alignment horizontal="center" vertical="center" wrapText="1"/>
    </xf>
    <xf numFmtId="49" fontId="0" fillId="0" borderId="18" xfId="0" applyNumberFormat="1" applyBorder="1" applyAlignment="1">
      <alignment wrapText="1"/>
    </xf>
    <xf numFmtId="3" fontId="29"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8" xfId="0" applyNumberFormat="1" applyBorder="1" applyAlignment="1">
      <alignment horizontal="center" vertical="center"/>
    </xf>
    <xf numFmtId="49" fontId="0" fillId="0" borderId="17" xfId="0" applyNumberFormat="1" applyBorder="1" applyAlignment="1">
      <alignment horizontal="left" vertical="center" wrapText="1"/>
    </xf>
    <xf numFmtId="4" fontId="0" fillId="3" borderId="0" xfId="0" applyNumberFormat="1" applyFill="1" applyAlignment="1">
      <alignment horizontal="center" vertical="center" wrapText="1"/>
    </xf>
    <xf numFmtId="49" fontId="41" fillId="0" borderId="0" xfId="0" applyNumberFormat="1" applyFont="1" applyAlignment="1">
      <alignment horizontal="center" vertical="center"/>
    </xf>
    <xf numFmtId="4" fontId="20" fillId="0" borderId="0" xfId="0" applyNumberFormat="1" applyFont="1" applyAlignment="1">
      <alignment horizontal="center" vertical="center" wrapText="1"/>
    </xf>
    <xf numFmtId="4" fontId="20" fillId="0" borderId="0" xfId="0" applyNumberFormat="1" applyFont="1" applyAlignment="1">
      <alignment horizontal="center" vertical="center"/>
    </xf>
    <xf numFmtId="4" fontId="47" fillId="0" borderId="0" xfId="0" applyNumberFormat="1" applyFont="1" applyAlignment="1">
      <alignment horizontal="center" vertical="center"/>
    </xf>
    <xf numFmtId="49" fontId="41" fillId="0" borderId="0" xfId="0" applyNumberFormat="1" applyFont="1" applyAlignment="1">
      <alignment horizontal="center" vertical="center" wrapText="1"/>
    </xf>
    <xf numFmtId="49" fontId="42" fillId="0" borderId="0" xfId="0" applyNumberFormat="1" applyFont="1" applyAlignment="1">
      <alignment horizontal="center" vertical="center" wrapText="1"/>
    </xf>
    <xf numFmtId="3" fontId="41" fillId="0" borderId="0" xfId="0" applyNumberFormat="1" applyFont="1" applyAlignment="1">
      <alignment horizontal="center" vertical="center" wrapText="1"/>
    </xf>
    <xf numFmtId="0" fontId="13" fillId="0" borderId="13" xfId="0" applyFont="1" applyBorder="1"/>
    <xf numFmtId="49" fontId="46" fillId="0" borderId="0" xfId="0" applyNumberFormat="1" applyFont="1" applyAlignment="1">
      <alignment horizontal="center" vertical="center" wrapText="1"/>
    </xf>
    <xf numFmtId="49" fontId="0" fillId="0" borderId="8" xfId="0" applyNumberFormat="1" applyBorder="1" applyAlignment="1">
      <alignment horizontal="center" vertical="center"/>
    </xf>
    <xf numFmtId="49" fontId="0" fillId="0" borderId="13" xfId="0" applyNumberFormat="1" applyBorder="1" applyAlignment="1">
      <alignment horizontal="center" vertical="center"/>
    </xf>
    <xf numFmtId="0" fontId="12" fillId="0" borderId="10" xfId="0" applyFont="1" applyBorder="1"/>
    <xf numFmtId="49" fontId="48" fillId="0" borderId="0" xfId="0" applyNumberFormat="1" applyFont="1"/>
    <xf numFmtId="0" fontId="48" fillId="0" borderId="0" xfId="0" applyFont="1"/>
    <xf numFmtId="4" fontId="0" fillId="0" borderId="1" xfId="0" applyNumberFormat="1" applyBorder="1" applyAlignment="1">
      <alignment horizontal="center" vertical="center"/>
    </xf>
    <xf numFmtId="49" fontId="29"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4" fontId="41" fillId="0" borderId="0" xfId="0" applyNumberFormat="1" applyFont="1" applyAlignment="1">
      <alignment wrapText="1"/>
    </xf>
    <xf numFmtId="4" fontId="0" fillId="0" borderId="0" xfId="0" applyNumberFormat="1" applyAlignment="1">
      <alignment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164" fontId="0" fillId="0" borderId="1" xfId="0" applyNumberFormat="1" applyBorder="1"/>
    <xf numFmtId="0" fontId="0" fillId="0" borderId="1" xfId="0" applyBorder="1" applyAlignment="1">
      <alignment vertical="center"/>
    </xf>
    <xf numFmtId="3" fontId="0" fillId="0" borderId="1" xfId="0" applyNumberFormat="1" applyBorder="1" applyAlignment="1">
      <alignment horizontal="center" vertical="center" wrapText="1"/>
    </xf>
    <xf numFmtId="16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7" fillId="0" borderId="2" xfId="0" applyNumberFormat="1" applyFont="1" applyBorder="1" applyAlignment="1">
      <alignment horizontal="center" vertical="center" wrapText="1"/>
    </xf>
    <xf numFmtId="0" fontId="31" fillId="0" borderId="13" xfId="0" applyFont="1" applyBorder="1" applyAlignment="1">
      <alignment horizontal="center" vertical="center" wrapText="1"/>
    </xf>
    <xf numFmtId="0" fontId="0" fillId="0" borderId="28" xfId="0" applyBorder="1" applyAlignment="1">
      <alignment horizontal="center" vertical="center"/>
    </xf>
    <xf numFmtId="0" fontId="33" fillId="0" borderId="13" xfId="0" applyFont="1" applyBorder="1" applyAlignment="1">
      <alignment horizontal="center" vertical="center"/>
    </xf>
    <xf numFmtId="4" fontId="38" fillId="0" borderId="1" xfId="0" applyNumberFormat="1" applyFont="1" applyBorder="1" applyAlignment="1">
      <alignment horizontal="center" vertical="center" wrapText="1"/>
    </xf>
    <xf numFmtId="4" fontId="0" fillId="0" borderId="1" xfId="0" applyNumberFormat="1" applyBorder="1" applyAlignment="1">
      <alignment vertical="top" wrapText="1"/>
    </xf>
    <xf numFmtId="4" fontId="0" fillId="0" borderId="1" xfId="0" applyNumberFormat="1" applyBorder="1" applyAlignment="1">
      <alignment vertical="center"/>
    </xf>
    <xf numFmtId="4" fontId="0" fillId="0" borderId="1" xfId="0" applyNumberFormat="1" applyBorder="1" applyAlignment="1">
      <alignment wrapText="1"/>
    </xf>
    <xf numFmtId="168" fontId="0" fillId="0" borderId="1" xfId="0" applyNumberFormat="1" applyBorder="1" applyAlignment="1">
      <alignment horizontal="center" vertical="center"/>
    </xf>
    <xf numFmtId="2" fontId="41" fillId="0" borderId="0" xfId="0" applyNumberFormat="1" applyFont="1" applyAlignment="1">
      <alignment wrapText="1"/>
    </xf>
    <xf numFmtId="49" fontId="29" fillId="0" borderId="5" xfId="0" applyNumberFormat="1" applyFont="1" applyBorder="1" applyAlignment="1">
      <alignment horizontal="center" vertical="center" wrapText="1"/>
    </xf>
    <xf numFmtId="166" fontId="29" fillId="0" borderId="7" xfId="0" applyNumberFormat="1" applyFont="1" applyBorder="1" applyAlignment="1">
      <alignment horizontal="center" vertical="center" wrapText="1"/>
    </xf>
    <xf numFmtId="49" fontId="29" fillId="4" borderId="1" xfId="0" applyNumberFormat="1" applyFont="1" applyFill="1" applyBorder="1" applyAlignment="1">
      <alignment horizontal="center" vertical="center" wrapText="1"/>
    </xf>
    <xf numFmtId="49" fontId="29" fillId="8" borderId="10" xfId="0" applyNumberFormat="1" applyFont="1" applyFill="1" applyBorder="1" applyAlignment="1">
      <alignment horizontal="center" vertical="center" wrapText="1"/>
    </xf>
    <xf numFmtId="49" fontId="29" fillId="8" borderId="13" xfId="0" applyNumberFormat="1" applyFont="1" applyFill="1" applyBorder="1" applyAlignment="1">
      <alignment horizontal="center" vertical="center" wrapText="1"/>
    </xf>
    <xf numFmtId="49" fontId="29" fillId="4" borderId="10" xfId="0" applyNumberFormat="1" applyFon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3" fontId="0" fillId="0" borderId="0" xfId="0" applyNumberFormat="1"/>
    <xf numFmtId="49" fontId="0" fillId="8"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wrapText="1"/>
    </xf>
    <xf numFmtId="49" fontId="0" fillId="8" borderId="12" xfId="0" applyNumberFormat="1" applyFill="1" applyBorder="1" applyAlignment="1">
      <alignment horizontal="center" vertical="center" wrapText="1"/>
    </xf>
    <xf numFmtId="49" fontId="29" fillId="8" borderId="1" xfId="0" applyNumberFormat="1" applyFont="1" applyFill="1" applyBorder="1" applyAlignment="1">
      <alignment horizontal="center" vertical="center" wrapText="1"/>
    </xf>
    <xf numFmtId="3"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xf>
    <xf numFmtId="49" fontId="0" fillId="8" borderId="17" xfId="0" applyNumberFormat="1" applyFill="1" applyBorder="1" applyAlignment="1">
      <alignment vertical="center" wrapText="1"/>
    </xf>
    <xf numFmtId="49" fontId="0" fillId="8" borderId="20" xfId="0" applyNumberFormat="1" applyFill="1" applyBorder="1" applyAlignment="1">
      <alignment vertical="center" wrapText="1"/>
    </xf>
    <xf numFmtId="49" fontId="29" fillId="0" borderId="1" xfId="0" applyNumberFormat="1" applyFont="1" applyBorder="1" applyAlignment="1">
      <alignment horizontal="center" vertical="center"/>
    </xf>
    <xf numFmtId="49" fontId="0" fillId="8" borderId="10"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0" fillId="4" borderId="13"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9" fontId="0" fillId="4" borderId="17" xfId="0" applyNumberFormat="1" applyFill="1" applyBorder="1" applyAlignment="1">
      <alignment vertical="center" wrapText="1"/>
    </xf>
    <xf numFmtId="49" fontId="0" fillId="4" borderId="8" xfId="0" applyNumberFormat="1" applyFill="1" applyBorder="1" applyAlignment="1">
      <alignment horizontal="center" vertical="center"/>
    </xf>
    <xf numFmtId="49" fontId="0" fillId="4" borderId="13" xfId="0" applyNumberFormat="1" applyFill="1" applyBorder="1" applyAlignment="1">
      <alignment horizontal="center" vertical="center"/>
    </xf>
    <xf numFmtId="49" fontId="29" fillId="4" borderId="7" xfId="0" applyNumberFormat="1" applyFont="1" applyFill="1" applyBorder="1" applyAlignment="1">
      <alignment horizontal="center" vertical="center" wrapText="1"/>
    </xf>
    <xf numFmtId="3" fontId="0" fillId="4" borderId="7" xfId="0" applyNumberFormat="1" applyFill="1" applyBorder="1" applyAlignment="1">
      <alignment horizontal="center" vertical="center" wrapText="1"/>
    </xf>
    <xf numFmtId="49" fontId="29" fillId="4" borderId="13" xfId="0" applyNumberFormat="1" applyFont="1" applyFill="1" applyBorder="1" applyAlignment="1">
      <alignment horizontal="center" vertical="center" wrapText="1"/>
    </xf>
    <xf numFmtId="3" fontId="0" fillId="4" borderId="13" xfId="0" applyNumberFormat="1" applyFill="1" applyBorder="1" applyAlignment="1">
      <alignment horizontal="center" vertical="center" wrapText="1"/>
    </xf>
    <xf numFmtId="3" fontId="29" fillId="4" borderId="13" xfId="0" applyNumberFormat="1" applyFont="1" applyFill="1" applyBorder="1" applyAlignment="1">
      <alignment horizontal="center" vertical="center" wrapText="1"/>
    </xf>
    <xf numFmtId="49" fontId="0" fillId="4" borderId="10" xfId="0" applyNumberFormat="1" applyFill="1" applyBorder="1" applyAlignment="1">
      <alignment horizontal="center" vertical="center" wrapText="1"/>
    </xf>
    <xf numFmtId="3" fontId="29" fillId="4" borderId="10"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49" fontId="0" fillId="8" borderId="12" xfId="0" applyNumberFormat="1" applyFill="1" applyBorder="1" applyAlignment="1">
      <alignment horizontal="center" vertical="center"/>
    </xf>
    <xf numFmtId="49" fontId="29" fillId="8" borderId="12" xfId="0" applyNumberFormat="1" applyFont="1" applyFill="1" applyBorder="1" applyAlignment="1">
      <alignment horizontal="center" vertical="center" wrapText="1"/>
    </xf>
    <xf numFmtId="3" fontId="0" fillId="8" borderId="12" xfId="0" applyNumberFormat="1" applyFill="1" applyBorder="1" applyAlignment="1">
      <alignment horizontal="center" vertical="center" wrapText="1"/>
    </xf>
    <xf numFmtId="4" fontId="53" fillId="0" borderId="0" xfId="0" applyNumberFormat="1" applyFont="1" applyAlignment="1">
      <alignment horizontal="center" vertical="center" wrapText="1"/>
    </xf>
    <xf numFmtId="49" fontId="0" fillId="8" borderId="18" xfId="0" applyNumberFormat="1" applyFill="1" applyBorder="1" applyAlignment="1">
      <alignment vertical="center" wrapText="1"/>
    </xf>
    <xf numFmtId="3" fontId="0" fillId="0" borderId="2" xfId="0" applyNumberFormat="1" applyBorder="1" applyAlignment="1">
      <alignment horizontal="center" vertical="center" wrapText="1"/>
    </xf>
    <xf numFmtId="49" fontId="26" fillId="0" borderId="20" xfId="0" applyNumberFormat="1" applyFont="1" applyBorder="1" applyAlignment="1">
      <alignment vertical="center" wrapText="1"/>
    </xf>
    <xf numFmtId="168" fontId="0" fillId="0" borderId="7" xfId="0" applyNumberFormat="1" applyBorder="1" applyAlignment="1">
      <alignment horizontal="center" vertical="center" wrapText="1"/>
    </xf>
    <xf numFmtId="0" fontId="25" fillId="0" borderId="7" xfId="0" applyFont="1" applyBorder="1" applyAlignment="1">
      <alignment horizontal="center" vertical="center" wrapText="1"/>
    </xf>
    <xf numFmtId="166" fontId="0" fillId="0" borderId="12" xfId="0" applyNumberFormat="1" applyBorder="1" applyAlignment="1">
      <alignment horizontal="center" vertical="center" wrapText="1"/>
    </xf>
    <xf numFmtId="169" fontId="0" fillId="0" borderId="0" xfId="0" applyNumberFormat="1" applyAlignment="1">
      <alignment wrapText="1"/>
    </xf>
    <xf numFmtId="168" fontId="0" fillId="0" borderId="1" xfId="0" applyNumberFormat="1" applyBorder="1" applyAlignment="1">
      <alignment horizontal="center" vertical="center" wrapText="1"/>
    </xf>
    <xf numFmtId="4" fontId="46" fillId="0" borderId="0" xfId="0" applyNumberFormat="1" applyFont="1" applyAlignment="1">
      <alignment horizontal="center" vertical="center" wrapText="1"/>
    </xf>
    <xf numFmtId="3" fontId="20" fillId="0" borderId="12"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54" fillId="0" borderId="0" xfId="0" applyFont="1" applyAlignment="1">
      <alignment wrapText="1"/>
    </xf>
    <xf numFmtId="0" fontId="55" fillId="0" borderId="0" xfId="0" applyFont="1" applyAlignment="1">
      <alignment horizontal="center" vertical="center"/>
    </xf>
    <xf numFmtId="49" fontId="55" fillId="0" borderId="0" xfId="0" applyNumberFormat="1" applyFont="1" applyAlignment="1">
      <alignment horizontal="center" vertical="center"/>
    </xf>
    <xf numFmtId="0" fontId="55" fillId="0" borderId="0" xfId="0" applyFont="1" applyAlignment="1">
      <alignment horizontal="center" vertical="center" wrapText="1"/>
    </xf>
    <xf numFmtId="0" fontId="55" fillId="0" borderId="1" xfId="0" applyFont="1" applyBorder="1" applyAlignment="1">
      <alignment horizontal="center" vertical="center"/>
    </xf>
    <xf numFmtId="49" fontId="55" fillId="0" borderId="1" xfId="0" applyNumberFormat="1" applyFont="1" applyBorder="1" applyAlignment="1">
      <alignment horizontal="center" vertical="center"/>
    </xf>
    <xf numFmtId="0" fontId="55" fillId="0" borderId="1" xfId="0" applyFont="1" applyBorder="1" applyAlignment="1">
      <alignment horizontal="center" vertical="center" wrapText="1"/>
    </xf>
    <xf numFmtId="0" fontId="56" fillId="0" borderId="0" xfId="0" applyFont="1" applyAlignment="1">
      <alignment horizontal="center" vertical="center" wrapText="1"/>
    </xf>
    <xf numFmtId="0" fontId="56" fillId="0" borderId="1" xfId="0" applyFont="1" applyBorder="1" applyAlignment="1">
      <alignment horizontal="center" vertical="center" wrapText="1"/>
    </xf>
    <xf numFmtId="49" fontId="56" fillId="0" borderId="1" xfId="0" applyNumberFormat="1" applyFont="1" applyBorder="1" applyAlignment="1">
      <alignment horizontal="center" vertical="center" wrapText="1"/>
    </xf>
    <xf numFmtId="4" fontId="57" fillId="0" borderId="0" xfId="0" applyNumberFormat="1" applyFont="1" applyAlignment="1">
      <alignment wrapText="1"/>
    </xf>
    <xf numFmtId="0" fontId="0" fillId="0" borderId="0" xfId="0" applyAlignment="1">
      <alignment horizontal="left" vertical="center"/>
    </xf>
    <xf numFmtId="3" fontId="58" fillId="0" borderId="0" xfId="0" applyNumberFormat="1" applyFont="1" applyAlignment="1">
      <alignment horizontal="center" vertical="center"/>
    </xf>
    <xf numFmtId="3" fontId="58" fillId="0" borderId="18" xfId="0" applyNumberFormat="1" applyFont="1" applyBorder="1" applyAlignment="1">
      <alignment horizontal="center" vertical="center"/>
    </xf>
    <xf numFmtId="49" fontId="55" fillId="0" borderId="11" xfId="0" applyNumberFormat="1" applyFont="1" applyBorder="1" applyAlignment="1">
      <alignment horizontal="center" vertical="center"/>
    </xf>
    <xf numFmtId="3" fontId="58" fillId="0" borderId="17" xfId="0" applyNumberFormat="1" applyFont="1" applyBorder="1" applyAlignment="1">
      <alignment horizontal="center" vertical="center"/>
    </xf>
    <xf numFmtId="49" fontId="55" fillId="0" borderId="9" xfId="0" applyNumberFormat="1" applyFont="1" applyBorder="1" applyAlignment="1">
      <alignment horizontal="center" vertical="center"/>
    </xf>
    <xf numFmtId="3" fontId="58" fillId="0" borderId="16" xfId="0" applyNumberFormat="1" applyFont="1" applyBorder="1" applyAlignment="1">
      <alignment horizontal="center" vertical="center"/>
    </xf>
    <xf numFmtId="49" fontId="55" fillId="0" borderId="6" xfId="0" applyNumberFormat="1" applyFont="1" applyBorder="1" applyAlignment="1">
      <alignment horizontal="center" vertical="center"/>
    </xf>
    <xf numFmtId="4" fontId="59" fillId="0" borderId="0" xfId="0" applyNumberFormat="1" applyFont="1" applyAlignment="1">
      <alignment horizontal="left" vertical="center" wrapText="1"/>
    </xf>
    <xf numFmtId="3" fontId="55" fillId="10" borderId="40" xfId="0" applyNumberFormat="1" applyFont="1" applyFill="1" applyBorder="1" applyAlignment="1">
      <alignment horizontal="center" vertical="center"/>
    </xf>
    <xf numFmtId="3" fontId="55" fillId="10" borderId="18" xfId="0" applyNumberFormat="1" applyFont="1" applyFill="1" applyBorder="1" applyAlignment="1">
      <alignment horizontal="center" vertical="center"/>
    </xf>
    <xf numFmtId="49" fontId="55" fillId="10" borderId="12" xfId="0" applyNumberFormat="1" applyFont="1" applyFill="1" applyBorder="1" applyAlignment="1">
      <alignment horizontal="center" vertical="center"/>
    </xf>
    <xf numFmtId="0" fontId="55" fillId="10" borderId="12" xfId="0" applyFont="1" applyFill="1" applyBorder="1" applyAlignment="1">
      <alignment horizontal="center" vertical="center"/>
    </xf>
    <xf numFmtId="0" fontId="55" fillId="10" borderId="12" xfId="0" applyFont="1" applyFill="1" applyBorder="1" applyAlignment="1">
      <alignment horizontal="center" vertical="center" wrapText="1"/>
    </xf>
    <xf numFmtId="0" fontId="55" fillId="10" borderId="11" xfId="0" applyFont="1" applyFill="1" applyBorder="1" applyAlignment="1">
      <alignment horizontal="center" vertical="center"/>
    </xf>
    <xf numFmtId="3" fontId="55" fillId="10" borderId="41" xfId="0" applyNumberFormat="1" applyFont="1" applyFill="1" applyBorder="1" applyAlignment="1">
      <alignment horizontal="center" vertical="center"/>
    </xf>
    <xf numFmtId="3" fontId="55" fillId="10" borderId="17" xfId="0" applyNumberFormat="1" applyFont="1" applyFill="1" applyBorder="1" applyAlignment="1">
      <alignment horizontal="center" vertical="center"/>
    </xf>
    <xf numFmtId="49" fontId="55" fillId="10" borderId="1" xfId="0" applyNumberFormat="1" applyFont="1" applyFill="1" applyBorder="1" applyAlignment="1">
      <alignment horizontal="center" vertical="center"/>
    </xf>
    <xf numFmtId="0" fontId="55" fillId="10" borderId="1" xfId="0" applyFont="1" applyFill="1" applyBorder="1" applyAlignment="1">
      <alignment horizontal="center" vertical="center"/>
    </xf>
    <xf numFmtId="0" fontId="55" fillId="10" borderId="1" xfId="0" applyFont="1" applyFill="1" applyBorder="1" applyAlignment="1">
      <alignment horizontal="center" vertical="center" wrapText="1"/>
    </xf>
    <xf numFmtId="0" fontId="55" fillId="10" borderId="9" xfId="0" applyFont="1" applyFill="1" applyBorder="1" applyAlignment="1">
      <alignment horizontal="center" vertical="center"/>
    </xf>
    <xf numFmtId="3" fontId="55" fillId="11" borderId="41" xfId="0" applyNumberFormat="1" applyFont="1" applyFill="1" applyBorder="1" applyAlignment="1">
      <alignment horizontal="center" vertical="center"/>
    </xf>
    <xf numFmtId="3" fontId="55" fillId="11" borderId="17" xfId="0" applyNumberFormat="1" applyFont="1" applyFill="1" applyBorder="1" applyAlignment="1">
      <alignment horizontal="center" vertical="center"/>
    </xf>
    <xf numFmtId="49" fontId="55" fillId="11" borderId="1" xfId="0" applyNumberFormat="1" applyFont="1" applyFill="1" applyBorder="1" applyAlignment="1">
      <alignment horizontal="center" vertical="center"/>
    </xf>
    <xf numFmtId="0" fontId="55" fillId="11" borderId="1" xfId="0" applyFont="1" applyFill="1" applyBorder="1" applyAlignment="1">
      <alignment horizontal="center" vertical="center"/>
    </xf>
    <xf numFmtId="0" fontId="55" fillId="11" borderId="1" xfId="0" applyFont="1" applyFill="1" applyBorder="1" applyAlignment="1">
      <alignment horizontal="center" vertical="center" wrapText="1"/>
    </xf>
    <xf numFmtId="0" fontId="55" fillId="11" borderId="9" xfId="0" applyFont="1" applyFill="1" applyBorder="1" applyAlignment="1">
      <alignment horizontal="center" vertical="center"/>
    </xf>
    <xf numFmtId="4" fontId="57" fillId="0" borderId="0" xfId="0" applyNumberFormat="1" applyFont="1" applyAlignment="1">
      <alignment horizontal="left" vertical="center" wrapText="1"/>
    </xf>
    <xf numFmtId="3" fontId="55" fillId="12" borderId="44" xfId="0" applyNumberFormat="1" applyFont="1" applyFill="1" applyBorder="1" applyAlignment="1">
      <alignment horizontal="center" vertical="center"/>
    </xf>
    <xf numFmtId="3" fontId="55" fillId="12" borderId="16" xfId="0" applyNumberFormat="1" applyFont="1" applyFill="1" applyBorder="1" applyAlignment="1">
      <alignment horizontal="center" vertical="center"/>
    </xf>
    <xf numFmtId="49" fontId="55" fillId="12" borderId="7" xfId="0" applyNumberFormat="1" applyFont="1" applyFill="1" applyBorder="1" applyAlignment="1">
      <alignment horizontal="center" vertical="center"/>
    </xf>
    <xf numFmtId="0" fontId="55" fillId="12" borderId="7" xfId="0" applyFont="1" applyFill="1" applyBorder="1" applyAlignment="1">
      <alignment horizontal="center" vertical="center"/>
    </xf>
    <xf numFmtId="0" fontId="55" fillId="12" borderId="7" xfId="0" applyFont="1" applyFill="1" applyBorder="1" applyAlignment="1">
      <alignment horizontal="center" vertical="center" wrapText="1"/>
    </xf>
    <xf numFmtId="0" fontId="55" fillId="12" borderId="6" xfId="0" applyFont="1" applyFill="1" applyBorder="1" applyAlignment="1">
      <alignment horizontal="center" vertical="center"/>
    </xf>
    <xf numFmtId="0" fontId="55" fillId="13" borderId="0" xfId="0" applyFont="1" applyFill="1" applyAlignment="1">
      <alignment horizontal="center" vertical="center"/>
    </xf>
    <xf numFmtId="3" fontId="55" fillId="13" borderId="40" xfId="0" applyNumberFormat="1" applyFont="1" applyFill="1" applyBorder="1" applyAlignment="1">
      <alignment horizontal="center" vertical="center"/>
    </xf>
    <xf numFmtId="3" fontId="55" fillId="8" borderId="41" xfId="0" applyNumberFormat="1" applyFont="1" applyFill="1" applyBorder="1" applyAlignment="1">
      <alignment horizontal="center" vertical="center"/>
    </xf>
    <xf numFmtId="3" fontId="55" fillId="8" borderId="17" xfId="0" applyNumberFormat="1" applyFont="1" applyFill="1" applyBorder="1" applyAlignment="1">
      <alignment horizontal="center" vertical="center"/>
    </xf>
    <xf numFmtId="49" fontId="55" fillId="8" borderId="1" xfId="0" applyNumberFormat="1" applyFont="1" applyFill="1" applyBorder="1" applyAlignment="1">
      <alignment horizontal="center" vertical="center"/>
    </xf>
    <xf numFmtId="0" fontId="55" fillId="8" borderId="1" xfId="0" applyFont="1" applyFill="1" applyBorder="1" applyAlignment="1">
      <alignment horizontal="center" vertical="center"/>
    </xf>
    <xf numFmtId="0" fontId="55" fillId="8" borderId="1" xfId="0" applyFont="1" applyFill="1" applyBorder="1" applyAlignment="1">
      <alignment horizontal="center" vertical="center" wrapText="1"/>
    </xf>
    <xf numFmtId="0" fontId="55" fillId="8" borderId="9" xfId="0" applyFont="1" applyFill="1" applyBorder="1" applyAlignment="1">
      <alignment horizontal="center" vertical="center"/>
    </xf>
    <xf numFmtId="3" fontId="55" fillId="8" borderId="44" xfId="0" applyNumberFormat="1" applyFont="1" applyFill="1" applyBorder="1" applyAlignment="1">
      <alignment horizontal="center" vertical="center"/>
    </xf>
    <xf numFmtId="3" fontId="55" fillId="8" borderId="16" xfId="0" applyNumberFormat="1" applyFont="1" applyFill="1" applyBorder="1" applyAlignment="1">
      <alignment horizontal="center" vertical="center"/>
    </xf>
    <xf numFmtId="49" fontId="55" fillId="8" borderId="7" xfId="0" applyNumberFormat="1" applyFont="1" applyFill="1" applyBorder="1" applyAlignment="1">
      <alignment horizontal="center" vertical="center"/>
    </xf>
    <xf numFmtId="0" fontId="55" fillId="8" borderId="7" xfId="0" applyFont="1" applyFill="1" applyBorder="1" applyAlignment="1">
      <alignment horizontal="center" vertical="center"/>
    </xf>
    <xf numFmtId="0" fontId="55" fillId="8" borderId="7" xfId="0" applyFont="1" applyFill="1" applyBorder="1" applyAlignment="1">
      <alignment horizontal="center" vertical="center" wrapText="1"/>
    </xf>
    <xf numFmtId="0" fontId="55" fillId="8" borderId="6" xfId="0" applyFont="1" applyFill="1" applyBorder="1" applyAlignment="1">
      <alignment horizontal="center" vertical="center"/>
    </xf>
    <xf numFmtId="0" fontId="56" fillId="0" borderId="2" xfId="0" applyFont="1" applyBorder="1" applyAlignment="1">
      <alignment horizontal="center" vertical="center" wrapText="1"/>
    </xf>
    <xf numFmtId="49" fontId="56" fillId="0" borderId="2" xfId="0" applyNumberFormat="1" applyFont="1" applyBorder="1" applyAlignment="1">
      <alignment horizontal="center" vertical="center" wrapText="1"/>
    </xf>
    <xf numFmtId="0" fontId="61" fillId="0" borderId="0" xfId="0" applyFont="1" applyAlignment="1">
      <alignment horizontal="center" vertical="center" wrapText="1"/>
    </xf>
    <xf numFmtId="0" fontId="54" fillId="0" borderId="0" xfId="0" applyFont="1" applyAlignment="1">
      <alignment horizontal="left" vertical="center" wrapText="1"/>
    </xf>
    <xf numFmtId="3" fontId="58" fillId="13" borderId="14" xfId="0" applyNumberFormat="1" applyFont="1" applyFill="1" applyBorder="1" applyAlignment="1">
      <alignment horizontal="center" vertical="center"/>
    </xf>
    <xf numFmtId="3" fontId="58" fillId="13" borderId="46" xfId="0" applyNumberFormat="1" applyFont="1" applyFill="1" applyBorder="1" applyAlignment="1">
      <alignment horizontal="center" vertical="center"/>
    </xf>
    <xf numFmtId="49" fontId="55" fillId="13" borderId="12" xfId="0" applyNumberFormat="1" applyFont="1" applyFill="1" applyBorder="1" applyAlignment="1">
      <alignment horizontal="center" vertical="center"/>
    </xf>
    <xf numFmtId="0" fontId="55" fillId="13" borderId="12" xfId="0" applyFont="1" applyFill="1" applyBorder="1" applyAlignment="1">
      <alignment horizontal="center" vertical="center"/>
    </xf>
    <xf numFmtId="0" fontId="55" fillId="13" borderId="12" xfId="0" applyFont="1" applyFill="1" applyBorder="1" applyAlignment="1">
      <alignment horizontal="center" vertical="center" wrapText="1"/>
    </xf>
    <xf numFmtId="0" fontId="55" fillId="13" borderId="11" xfId="0" applyFont="1" applyFill="1" applyBorder="1" applyAlignment="1">
      <alignment horizontal="center" vertical="center"/>
    </xf>
    <xf numFmtId="3" fontId="55" fillId="13" borderId="3" xfId="0" applyNumberFormat="1" applyFont="1" applyFill="1" applyBorder="1" applyAlignment="1">
      <alignment horizontal="center" vertical="center"/>
    </xf>
    <xf numFmtId="49" fontId="55" fillId="13" borderId="1" xfId="0" applyNumberFormat="1" applyFont="1" applyFill="1" applyBorder="1" applyAlignment="1">
      <alignment horizontal="center" vertical="center"/>
    </xf>
    <xf numFmtId="0" fontId="55" fillId="13" borderId="1" xfId="0" applyFont="1" applyFill="1" applyBorder="1" applyAlignment="1">
      <alignment horizontal="center" vertical="center"/>
    </xf>
    <xf numFmtId="0" fontId="55" fillId="13" borderId="1" xfId="0" applyFont="1" applyFill="1" applyBorder="1" applyAlignment="1">
      <alignment horizontal="center" vertical="center" wrapText="1"/>
    </xf>
    <xf numFmtId="0" fontId="55" fillId="13" borderId="9" xfId="0" applyFont="1" applyFill="1" applyBorder="1" applyAlignment="1">
      <alignment horizontal="center" vertical="center"/>
    </xf>
    <xf numFmtId="0" fontId="54" fillId="0" borderId="41" xfId="0" applyFont="1" applyBorder="1" applyAlignment="1">
      <alignment horizontal="left" vertical="center" wrapText="1"/>
    </xf>
    <xf numFmtId="49" fontId="55" fillId="14" borderId="13" xfId="0" applyNumberFormat="1" applyFont="1" applyFill="1" applyBorder="1" applyAlignment="1">
      <alignment horizontal="center" vertical="center"/>
    </xf>
    <xf numFmtId="0" fontId="55" fillId="14" borderId="13" xfId="0" applyFont="1" applyFill="1" applyBorder="1" applyAlignment="1">
      <alignment horizontal="center" vertical="center"/>
    </xf>
    <xf numFmtId="0" fontId="55" fillId="14" borderId="13" xfId="0" applyFont="1" applyFill="1" applyBorder="1" applyAlignment="1">
      <alignment horizontal="center" vertical="center" wrapText="1"/>
    </xf>
    <xf numFmtId="0" fontId="55" fillId="14" borderId="26" xfId="0" applyFont="1" applyFill="1" applyBorder="1" applyAlignment="1">
      <alignment horizontal="center" vertical="center"/>
    </xf>
    <xf numFmtId="0" fontId="0" fillId="14" borderId="10" xfId="0" applyFill="1" applyBorder="1" applyAlignment="1">
      <alignment horizontal="center" vertical="center"/>
    </xf>
    <xf numFmtId="0" fontId="54" fillId="0" borderId="40" xfId="0" applyFont="1" applyBorder="1" applyAlignment="1">
      <alignment horizontal="left" vertical="center" wrapText="1"/>
    </xf>
    <xf numFmtId="49" fontId="55" fillId="15" borderId="1" xfId="0" applyNumberFormat="1" applyFont="1" applyFill="1" applyBorder="1" applyAlignment="1">
      <alignment horizontal="center" vertical="center"/>
    </xf>
    <xf numFmtId="0" fontId="55" fillId="15" borderId="1" xfId="0" applyFont="1" applyFill="1" applyBorder="1" applyAlignment="1">
      <alignment horizontal="center" vertical="center"/>
    </xf>
    <xf numFmtId="0" fontId="55" fillId="15" borderId="1" xfId="0" applyFont="1" applyFill="1" applyBorder="1" applyAlignment="1">
      <alignment horizontal="center" vertical="center" wrapText="1"/>
    </xf>
    <xf numFmtId="0" fontId="55" fillId="15" borderId="9" xfId="0" applyFont="1" applyFill="1" applyBorder="1" applyAlignment="1">
      <alignment horizontal="center" vertical="center"/>
    </xf>
    <xf numFmtId="0" fontId="20" fillId="0" borderId="0" xfId="0" applyFont="1" applyAlignment="1">
      <alignment vertical="center"/>
    </xf>
    <xf numFmtId="3" fontId="55" fillId="12" borderId="1" xfId="0" applyNumberFormat="1" applyFont="1" applyFill="1" applyBorder="1" applyAlignment="1">
      <alignment horizontal="center" vertical="center"/>
    </xf>
    <xf numFmtId="0" fontId="55" fillId="12" borderId="1" xfId="0" applyFont="1" applyFill="1" applyBorder="1" applyAlignment="1">
      <alignment horizontal="center" vertical="center" wrapText="1"/>
    </xf>
    <xf numFmtId="0" fontId="0" fillId="16" borderId="0" xfId="0" applyFill="1"/>
    <xf numFmtId="0" fontId="54" fillId="0" borderId="41" xfId="0" applyFont="1" applyBorder="1" applyAlignment="1">
      <alignment wrapText="1"/>
    </xf>
    <xf numFmtId="0" fontId="55" fillId="0" borderId="0" xfId="0" applyFont="1" applyAlignment="1">
      <alignment wrapText="1"/>
    </xf>
    <xf numFmtId="49" fontId="55" fillId="12" borderId="1" xfId="0" applyNumberFormat="1" applyFont="1" applyFill="1" applyBorder="1" applyAlignment="1">
      <alignment horizontal="center" vertical="center"/>
    </xf>
    <xf numFmtId="49" fontId="55" fillId="12" borderId="8" xfId="0" applyNumberFormat="1" applyFont="1" applyFill="1" applyBorder="1" applyAlignment="1">
      <alignment horizontal="center" vertical="center"/>
    </xf>
    <xf numFmtId="0" fontId="55" fillId="12" borderId="8" xfId="0" applyFont="1" applyFill="1" applyBorder="1" applyAlignment="1">
      <alignment horizontal="center" vertical="center"/>
    </xf>
    <xf numFmtId="3" fontId="20" fillId="0" borderId="0" xfId="0" applyNumberFormat="1" applyFont="1" applyAlignment="1">
      <alignment vertical="center"/>
    </xf>
    <xf numFmtId="3" fontId="55" fillId="16" borderId="3" xfId="0" applyNumberFormat="1" applyFont="1" applyFill="1" applyBorder="1" applyAlignment="1">
      <alignment horizontal="center" vertical="center"/>
    </xf>
    <xf numFmtId="49" fontId="55" fillId="16" borderId="1" xfId="0" applyNumberFormat="1" applyFont="1" applyFill="1" applyBorder="1" applyAlignment="1">
      <alignment horizontal="center" vertical="center"/>
    </xf>
    <xf numFmtId="0" fontId="55" fillId="16" borderId="1" xfId="0" applyFont="1" applyFill="1" applyBorder="1" applyAlignment="1">
      <alignment horizontal="center" vertical="center"/>
    </xf>
    <xf numFmtId="0" fontId="55" fillId="16" borderId="1" xfId="0" applyFont="1" applyFill="1" applyBorder="1" applyAlignment="1">
      <alignment horizontal="center" vertical="center" wrapText="1"/>
    </xf>
    <xf numFmtId="49" fontId="55" fillId="17" borderId="12" xfId="0" applyNumberFormat="1" applyFont="1" applyFill="1" applyBorder="1" applyAlignment="1">
      <alignment horizontal="center" vertical="center"/>
    </xf>
    <xf numFmtId="0" fontId="55" fillId="17" borderId="12" xfId="0" applyFont="1" applyFill="1" applyBorder="1" applyAlignment="1">
      <alignment horizontal="center" vertical="center"/>
    </xf>
    <xf numFmtId="0" fontId="55" fillId="17" borderId="12" xfId="0" applyFont="1" applyFill="1" applyBorder="1" applyAlignment="1">
      <alignment horizontal="center" vertical="center" wrapText="1"/>
    </xf>
    <xf numFmtId="49" fontId="55" fillId="17" borderId="7" xfId="0" applyNumberFormat="1" applyFont="1" applyFill="1" applyBorder="1" applyAlignment="1">
      <alignment horizontal="center" vertical="center"/>
    </xf>
    <xf numFmtId="0" fontId="55" fillId="17" borderId="7" xfId="0" applyFont="1" applyFill="1" applyBorder="1" applyAlignment="1">
      <alignment horizontal="center" vertical="center"/>
    </xf>
    <xf numFmtId="0" fontId="55" fillId="17" borderId="7" xfId="0" applyFont="1" applyFill="1" applyBorder="1" applyAlignment="1">
      <alignment horizontal="center" vertical="center" wrapText="1"/>
    </xf>
    <xf numFmtId="0" fontId="65" fillId="0" borderId="0" xfId="0" applyFont="1" applyAlignment="1">
      <alignment horizontal="center" vertical="center" wrapText="1"/>
    </xf>
    <xf numFmtId="3" fontId="55" fillId="17" borderId="49" xfId="0" applyNumberFormat="1" applyFont="1" applyFill="1" applyBorder="1" applyAlignment="1">
      <alignment horizontal="center" vertical="center"/>
    </xf>
    <xf numFmtId="3" fontId="55" fillId="17" borderId="46" xfId="0" applyNumberFormat="1" applyFont="1" applyFill="1" applyBorder="1" applyAlignment="1">
      <alignment horizontal="center" vertical="center"/>
    </xf>
    <xf numFmtId="3" fontId="55" fillId="12" borderId="3" xfId="0" applyNumberFormat="1" applyFont="1" applyFill="1" applyBorder="1" applyAlignment="1">
      <alignment horizontal="center" vertical="center"/>
    </xf>
    <xf numFmtId="3" fontId="55" fillId="11" borderId="3" xfId="0" applyNumberFormat="1" applyFont="1" applyFill="1" applyBorder="1" applyAlignment="1">
      <alignment horizontal="center" vertical="center"/>
    </xf>
    <xf numFmtId="3" fontId="55" fillId="15" borderId="3" xfId="0" applyNumberFormat="1" applyFont="1" applyFill="1" applyBorder="1" applyAlignment="1">
      <alignment horizontal="center" vertical="center"/>
    </xf>
    <xf numFmtId="3" fontId="55" fillId="10" borderId="46" xfId="0" applyNumberFormat="1" applyFont="1" applyFill="1" applyBorder="1" applyAlignment="1">
      <alignment horizontal="center" vertical="center"/>
    </xf>
    <xf numFmtId="3" fontId="55" fillId="14" borderId="31" xfId="0" applyNumberFormat="1" applyFont="1" applyFill="1" applyBorder="1" applyAlignment="1">
      <alignment horizontal="center" vertical="center"/>
    </xf>
    <xf numFmtId="3" fontId="55" fillId="17" borderId="1" xfId="0" applyNumberFormat="1" applyFont="1" applyFill="1" applyBorder="1" applyAlignment="1">
      <alignment horizontal="center" vertical="center"/>
    </xf>
    <xf numFmtId="3" fontId="55" fillId="13" borderId="1" xfId="0" applyNumberFormat="1" applyFont="1" applyFill="1" applyBorder="1" applyAlignment="1">
      <alignment horizontal="center" vertical="center"/>
    </xf>
    <xf numFmtId="3" fontId="55" fillId="16" borderId="1" xfId="0" applyNumberFormat="1" applyFont="1" applyFill="1" applyBorder="1" applyAlignment="1">
      <alignment horizontal="center" vertical="center"/>
    </xf>
    <xf numFmtId="3" fontId="55" fillId="11" borderId="1" xfId="0" applyNumberFormat="1" applyFont="1" applyFill="1" applyBorder="1" applyAlignment="1">
      <alignment horizontal="center" vertical="center"/>
    </xf>
    <xf numFmtId="3" fontId="55" fillId="15" borderId="1" xfId="0" applyNumberFormat="1" applyFont="1" applyFill="1" applyBorder="1" applyAlignment="1">
      <alignment horizontal="center" vertical="center"/>
    </xf>
    <xf numFmtId="3" fontId="55" fillId="10" borderId="1" xfId="0" applyNumberFormat="1" applyFont="1" applyFill="1" applyBorder="1" applyAlignment="1">
      <alignment horizontal="center" vertical="center"/>
    </xf>
    <xf numFmtId="3" fontId="55" fillId="14" borderId="1" xfId="0" applyNumberFormat="1" applyFont="1" applyFill="1" applyBorder="1" applyAlignment="1">
      <alignment horizontal="center" vertical="center"/>
    </xf>
    <xf numFmtId="3" fontId="58" fillId="13" borderId="1" xfId="0" applyNumberFormat="1" applyFont="1" applyFill="1" applyBorder="1" applyAlignment="1">
      <alignment horizontal="center" vertical="center"/>
    </xf>
    <xf numFmtId="0" fontId="61"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29" fillId="0" borderId="1" xfId="0" applyNumberFormat="1" applyFont="1" applyBorder="1"/>
    <xf numFmtId="0" fontId="55" fillId="11" borderId="7" xfId="0" applyFont="1" applyFill="1" applyBorder="1" applyAlignment="1">
      <alignment horizontal="center" vertical="center"/>
    </xf>
    <xf numFmtId="0" fontId="55" fillId="11" borderId="7" xfId="0" applyFont="1" applyFill="1" applyBorder="1" applyAlignment="1">
      <alignment horizontal="center" vertical="center" wrapText="1"/>
    </xf>
    <xf numFmtId="0" fontId="55" fillId="11" borderId="6" xfId="0" applyFont="1" applyFill="1" applyBorder="1" applyAlignment="1">
      <alignment horizontal="center" vertical="center"/>
    </xf>
    <xf numFmtId="0" fontId="55" fillId="12" borderId="12" xfId="0" applyFont="1" applyFill="1" applyBorder="1" applyAlignment="1">
      <alignment horizontal="center" vertical="center" wrapText="1"/>
    </xf>
    <xf numFmtId="0" fontId="54" fillId="0" borderId="40" xfId="0" applyFont="1" applyBorder="1" applyAlignment="1">
      <alignment vertical="center" wrapText="1"/>
    </xf>
    <xf numFmtId="49" fontId="55" fillId="4" borderId="12" xfId="0" applyNumberFormat="1" applyFont="1" applyFill="1" applyBorder="1" applyAlignment="1">
      <alignment horizontal="center" vertical="center"/>
    </xf>
    <xf numFmtId="0" fontId="55" fillId="4" borderId="12" xfId="0" applyFont="1" applyFill="1" applyBorder="1" applyAlignment="1">
      <alignment horizontal="center" vertical="center"/>
    </xf>
    <xf numFmtId="0" fontId="55" fillId="4" borderId="12" xfId="0" applyFont="1" applyFill="1" applyBorder="1" applyAlignment="1">
      <alignment horizontal="center" vertical="center" wrapText="1"/>
    </xf>
    <xf numFmtId="0" fontId="61"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54" fillId="0" borderId="41" xfId="0" applyFont="1" applyBorder="1" applyAlignment="1">
      <alignment vertical="center" wrapText="1"/>
    </xf>
    <xf numFmtId="3" fontId="0" fillId="0" borderId="1" xfId="0" applyNumberFormat="1" applyBorder="1"/>
    <xf numFmtId="49" fontId="55" fillId="13" borderId="7" xfId="0" applyNumberFormat="1" applyFont="1" applyFill="1" applyBorder="1" applyAlignment="1">
      <alignment horizontal="center" vertical="center"/>
    </xf>
    <xf numFmtId="0" fontId="55" fillId="13" borderId="7" xfId="0" applyFont="1" applyFill="1" applyBorder="1" applyAlignment="1">
      <alignment horizontal="center" vertical="center"/>
    </xf>
    <xf numFmtId="0" fontId="55" fillId="13" borderId="7" xfId="0" applyFont="1" applyFill="1" applyBorder="1" applyAlignment="1">
      <alignment horizontal="center" vertical="center" wrapText="1"/>
    </xf>
    <xf numFmtId="0" fontId="64" fillId="13" borderId="7" xfId="0" applyFont="1" applyFill="1" applyBorder="1" applyAlignment="1">
      <alignment vertical="center" wrapText="1"/>
    </xf>
    <xf numFmtId="0" fontId="0" fillId="13" borderId="6" xfId="0" applyFill="1" applyBorder="1" applyAlignment="1">
      <alignment horizontal="center" vertical="center" wrapText="1"/>
    </xf>
    <xf numFmtId="3" fontId="55" fillId="13" borderId="49" xfId="0" applyNumberFormat="1" applyFont="1" applyFill="1" applyBorder="1" applyAlignment="1">
      <alignment horizontal="center" vertical="center"/>
    </xf>
    <xf numFmtId="3" fontId="55" fillId="4" borderId="46" xfId="0" applyNumberFormat="1" applyFont="1" applyFill="1" applyBorder="1" applyAlignment="1">
      <alignment horizontal="center" vertical="center"/>
    </xf>
    <xf numFmtId="3" fontId="55" fillId="12" borderId="49" xfId="0" applyNumberFormat="1" applyFont="1" applyFill="1" applyBorder="1" applyAlignment="1">
      <alignment horizontal="center" vertical="center"/>
    </xf>
    <xf numFmtId="3" fontId="55" fillId="12" borderId="46" xfId="0" applyNumberFormat="1" applyFont="1" applyFill="1" applyBorder="1" applyAlignment="1">
      <alignment horizontal="center" vertical="center"/>
    </xf>
    <xf numFmtId="3" fontId="55" fillId="11" borderId="49" xfId="0" applyNumberFormat="1" applyFont="1" applyFill="1" applyBorder="1" applyAlignment="1">
      <alignment horizontal="center" vertical="center"/>
    </xf>
    <xf numFmtId="3" fontId="55" fillId="14" borderId="3" xfId="0" applyNumberFormat="1" applyFont="1" applyFill="1" applyBorder="1" applyAlignment="1">
      <alignment horizontal="center" vertical="center"/>
    </xf>
    <xf numFmtId="3" fontId="55" fillId="4" borderId="1" xfId="0" applyNumberFormat="1" applyFont="1" applyFill="1" applyBorder="1" applyAlignment="1">
      <alignment horizontal="center" vertical="center"/>
    </xf>
    <xf numFmtId="0" fontId="55" fillId="12" borderId="13" xfId="0" applyFont="1" applyFill="1" applyBorder="1" applyAlignment="1">
      <alignment horizontal="center" vertical="center" wrapText="1"/>
    </xf>
    <xf numFmtId="49" fontId="55" fillId="12" borderId="10" xfId="0" applyNumberFormat="1" applyFont="1" applyFill="1" applyBorder="1" applyAlignment="1">
      <alignment horizontal="center" vertical="center"/>
    </xf>
    <xf numFmtId="3" fontId="55" fillId="12" borderId="31" xfId="0" applyNumberFormat="1" applyFont="1" applyFill="1" applyBorder="1" applyAlignment="1">
      <alignment horizontal="center" vertical="center"/>
    </xf>
    <xf numFmtId="0" fontId="55" fillId="12" borderId="2" xfId="0" applyFont="1" applyFill="1" applyBorder="1" applyAlignment="1">
      <alignment horizontal="center" vertical="center" wrapText="1"/>
    </xf>
    <xf numFmtId="3" fontId="55" fillId="12" borderId="14" xfId="0" applyNumberFormat="1" applyFont="1" applyFill="1" applyBorder="1" applyAlignment="1">
      <alignment horizontal="center" vertical="center"/>
    </xf>
    <xf numFmtId="0" fontId="55" fillId="12" borderId="10" xfId="0" applyFont="1" applyFill="1" applyBorder="1" applyAlignment="1">
      <alignment horizontal="center" vertical="center" wrapText="1"/>
    </xf>
    <xf numFmtId="3" fontId="55" fillId="12" borderId="19" xfId="0" applyNumberFormat="1" applyFont="1" applyFill="1" applyBorder="1" applyAlignment="1">
      <alignment horizontal="center" vertical="center"/>
    </xf>
    <xf numFmtId="49" fontId="55" fillId="11" borderId="13" xfId="0" applyNumberFormat="1" applyFont="1" applyFill="1" applyBorder="1" applyAlignment="1">
      <alignment horizontal="center" vertical="center"/>
    </xf>
    <xf numFmtId="49" fontId="20" fillId="8" borderId="1" xfId="0" applyNumberFormat="1" applyFont="1" applyFill="1" applyBorder="1" applyAlignment="1">
      <alignment horizontal="center" vertical="center" wrapText="1"/>
    </xf>
    <xf numFmtId="49" fontId="20" fillId="4" borderId="7" xfId="0" applyNumberFormat="1" applyFont="1" applyFill="1" applyBorder="1" applyAlignment="1">
      <alignment horizontal="center" vertical="center" wrapText="1"/>
    </xf>
    <xf numFmtId="49" fontId="20" fillId="4" borderId="13" xfId="0" applyNumberFormat="1" applyFont="1" applyFill="1" applyBorder="1" applyAlignment="1">
      <alignment horizontal="center" vertical="center" wrapText="1"/>
    </xf>
    <xf numFmtId="49" fontId="20" fillId="4" borderId="10" xfId="0" applyNumberFormat="1" applyFont="1" applyFill="1" applyBorder="1" applyAlignment="1">
      <alignment horizontal="center" vertical="center" wrapText="1"/>
    </xf>
    <xf numFmtId="49" fontId="20" fillId="4" borderId="1" xfId="0" applyNumberFormat="1" applyFont="1" applyFill="1" applyBorder="1" applyAlignment="1">
      <alignment horizontal="center" vertical="center" wrapText="1"/>
    </xf>
    <xf numFmtId="49" fontId="20" fillId="8" borderId="12" xfId="0" applyNumberFormat="1" applyFont="1" applyFill="1" applyBorder="1" applyAlignment="1">
      <alignment horizontal="center" vertical="center" wrapText="1"/>
    </xf>
    <xf numFmtId="49" fontId="29" fillId="0" borderId="49" xfId="0" applyNumberFormat="1" applyFont="1" applyBorder="1" applyAlignment="1">
      <alignment vertical="center" wrapText="1"/>
    </xf>
    <xf numFmtId="49" fontId="29" fillId="0" borderId="3" xfId="0" applyNumberFormat="1" applyFont="1" applyBorder="1" applyAlignment="1">
      <alignment vertical="center" wrapText="1"/>
    </xf>
    <xf numFmtId="0" fontId="29" fillId="2" borderId="33" xfId="0" applyFont="1" applyFill="1" applyBorder="1" applyAlignment="1">
      <alignment vertical="center" wrapText="1"/>
    </xf>
    <xf numFmtId="2" fontId="46" fillId="0" borderId="0" xfId="0" applyNumberFormat="1" applyFont="1" applyAlignment="1">
      <alignment wrapText="1"/>
    </xf>
    <xf numFmtId="49" fontId="20" fillId="0" borderId="7" xfId="0" applyNumberFormat="1" applyFont="1" applyBorder="1" applyAlignment="1">
      <alignment horizontal="center" vertical="center"/>
    </xf>
    <xf numFmtId="3" fontId="20" fillId="0" borderId="7" xfId="0" applyNumberFormat="1" applyFont="1" applyBorder="1" applyAlignment="1">
      <alignment horizontal="center" vertical="center" wrapText="1"/>
    </xf>
    <xf numFmtId="49" fontId="20" fillId="0" borderId="16" xfId="0" applyNumberFormat="1" applyFont="1" applyBorder="1" applyAlignment="1">
      <alignment vertical="center" wrapText="1"/>
    </xf>
    <xf numFmtId="49" fontId="20" fillId="0" borderId="39" xfId="0" applyNumberFormat="1" applyFont="1" applyBorder="1" applyAlignment="1">
      <alignment horizontal="center" vertical="center"/>
    </xf>
    <xf numFmtId="4" fontId="20" fillId="0" borderId="12" xfId="0" applyNumberFormat="1" applyFont="1" applyBorder="1" applyAlignment="1">
      <alignment horizontal="center" vertical="center" wrapText="1"/>
    </xf>
    <xf numFmtId="49" fontId="20" fillId="0" borderId="18" xfId="0" applyNumberFormat="1" applyFont="1" applyBorder="1" applyAlignment="1">
      <alignment vertical="center" wrapText="1"/>
    </xf>
    <xf numFmtId="3" fontId="60" fillId="0" borderId="0" xfId="0" applyNumberFormat="1" applyFont="1" applyAlignment="1">
      <alignment horizontal="center" vertical="center" wrapText="1"/>
    </xf>
    <xf numFmtId="168" fontId="29" fillId="0" borderId="1" xfId="0" applyNumberFormat="1" applyFont="1" applyBorder="1" applyAlignment="1">
      <alignment horizontal="center" vertical="center" wrapText="1"/>
    </xf>
    <xf numFmtId="168" fontId="29" fillId="0" borderId="12" xfId="0" applyNumberFormat="1" applyFont="1" applyBorder="1" applyAlignment="1">
      <alignment horizontal="center" vertical="center" wrapText="1"/>
    </xf>
    <xf numFmtId="49" fontId="49" fillId="0" borderId="0" xfId="0" applyNumberFormat="1" applyFont="1" applyAlignment="1">
      <alignment vertical="center" wrapText="1"/>
    </xf>
    <xf numFmtId="3" fontId="29" fillId="0" borderId="5" xfId="0" applyNumberFormat="1" applyFont="1" applyBorder="1" applyAlignment="1">
      <alignment horizontal="center" vertical="center" wrapText="1"/>
    </xf>
    <xf numFmtId="1" fontId="29" fillId="0" borderId="5" xfId="0" applyNumberFormat="1" applyFont="1" applyBorder="1" applyAlignment="1">
      <alignment horizontal="center" vertical="center" wrapText="1"/>
    </xf>
    <xf numFmtId="49" fontId="29" fillId="0" borderId="46" xfId="0" applyNumberFormat="1" applyFont="1" applyBorder="1" applyAlignment="1">
      <alignment vertical="center" wrapText="1"/>
    </xf>
    <xf numFmtId="166" fontId="0" fillId="0" borderId="13" xfId="0" applyNumberFormat="1" applyBorder="1" applyAlignment="1">
      <alignment horizontal="center" vertical="center" wrapText="1"/>
    </xf>
    <xf numFmtId="3" fontId="26" fillId="0" borderId="2" xfId="0" applyNumberFormat="1" applyFont="1" applyBorder="1" applyAlignment="1">
      <alignment horizontal="center" vertical="center" wrapText="1"/>
    </xf>
    <xf numFmtId="49" fontId="20" fillId="2" borderId="16" xfId="0" applyNumberFormat="1" applyFont="1" applyFill="1" applyBorder="1" applyAlignment="1">
      <alignment vertical="center" wrapText="1"/>
    </xf>
    <xf numFmtId="49" fontId="20" fillId="2" borderId="0" xfId="0" applyNumberFormat="1" applyFont="1" applyFill="1" applyAlignment="1">
      <alignment vertical="top" wrapText="1"/>
    </xf>
    <xf numFmtId="2" fontId="0" fillId="0" borderId="0" xfId="0" applyNumberFormat="1" applyAlignment="1">
      <alignment vertical="top" wrapText="1"/>
    </xf>
    <xf numFmtId="49" fontId="0" fillId="0" borderId="1" xfId="0" applyNumberFormat="1" applyBorder="1" applyAlignment="1">
      <alignment vertical="center" wrapText="1"/>
    </xf>
    <xf numFmtId="49" fontId="29" fillId="0" borderId="1" xfId="0" applyNumberFormat="1" applyFont="1" applyBorder="1" applyAlignment="1">
      <alignment vertical="center" wrapText="1"/>
    </xf>
    <xf numFmtId="49" fontId="0" fillId="0" borderId="9" xfId="0" applyNumberFormat="1" applyBorder="1" applyAlignment="1">
      <alignment wrapText="1"/>
    </xf>
    <xf numFmtId="49" fontId="0" fillId="0" borderId="52" xfId="0" applyNumberFormat="1" applyBorder="1" applyAlignment="1">
      <alignment vertical="center" wrapText="1"/>
    </xf>
    <xf numFmtId="0" fontId="29" fillId="0" borderId="3" xfId="0" applyFont="1" applyBorder="1" applyAlignment="1">
      <alignment vertical="top" wrapText="1"/>
    </xf>
    <xf numFmtId="49" fontId="29" fillId="0" borderId="31" xfId="0" applyNumberFormat="1" applyFont="1" applyBorder="1" applyAlignment="1">
      <alignment vertical="center" wrapText="1"/>
    </xf>
    <xf numFmtId="0" fontId="29" fillId="0" borderId="53" xfId="0" applyFont="1" applyBorder="1" applyAlignment="1">
      <alignment vertical="top" wrapText="1"/>
    </xf>
    <xf numFmtId="49" fontId="29" fillId="0" borderId="49" xfId="0" applyNumberFormat="1" applyFont="1" applyBorder="1" applyAlignment="1">
      <alignment vertical="top" wrapText="1"/>
    </xf>
    <xf numFmtId="49" fontId="29" fillId="0" borderId="54" xfId="0" applyNumberFormat="1" applyFont="1" applyBorder="1" applyAlignment="1">
      <alignment vertical="top" wrapText="1"/>
    </xf>
    <xf numFmtId="2" fontId="69" fillId="0" borderId="1" xfId="0" applyNumberFormat="1" applyFont="1" applyBorder="1" applyAlignment="1">
      <alignment horizontal="left" vertical="center" wrapText="1"/>
    </xf>
    <xf numFmtId="2" fontId="0" fillId="0" borderId="1" xfId="0" applyNumberFormat="1" applyBorder="1" applyAlignment="1">
      <alignment vertical="top" wrapText="1"/>
    </xf>
    <xf numFmtId="2" fontId="0" fillId="0" borderId="1" xfId="0" applyNumberFormat="1" applyBorder="1" applyAlignment="1">
      <alignment wrapText="1"/>
    </xf>
    <xf numFmtId="0" fontId="0" fillId="0" borderId="0" xfId="0" applyAlignment="1">
      <alignment vertical="center"/>
    </xf>
    <xf numFmtId="49" fontId="29" fillId="3" borderId="1" xfId="0" applyNumberFormat="1" applyFont="1" applyFill="1" applyBorder="1" applyAlignment="1">
      <alignment horizontal="center" vertical="center" wrapText="1"/>
    </xf>
    <xf numFmtId="0" fontId="0" fillId="3" borderId="0" xfId="0" applyFill="1"/>
    <xf numFmtId="1"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0" xfId="0" applyFill="1" applyAlignment="1">
      <alignment vertical="center"/>
    </xf>
    <xf numFmtId="0" fontId="7" fillId="0" borderId="0" xfId="0" applyFont="1"/>
    <xf numFmtId="0" fontId="7" fillId="3" borderId="1" xfId="0" applyFont="1" applyFill="1" applyBorder="1" applyAlignment="1">
      <alignment vertical="center"/>
    </xf>
    <xf numFmtId="2" fontId="0" fillId="3" borderId="1" xfId="0" applyNumberFormat="1" applyFill="1" applyBorder="1" applyAlignment="1">
      <alignment horizontal="center" vertical="center" wrapText="1"/>
    </xf>
    <xf numFmtId="49" fontId="29" fillId="0" borderId="13" xfId="0" applyNumberFormat="1" applyFont="1" applyBorder="1" applyAlignment="1">
      <alignment horizontal="center" vertical="center"/>
    </xf>
    <xf numFmtId="49" fontId="29" fillId="0" borderId="13" xfId="0" applyNumberFormat="1" applyFont="1" applyBorder="1" applyAlignment="1">
      <alignment horizontal="center" vertical="center" wrapText="1"/>
    </xf>
    <xf numFmtId="3" fontId="29" fillId="0" borderId="13" xfId="0" applyNumberFormat="1" applyFont="1" applyBorder="1" applyAlignment="1">
      <alignment horizontal="center" vertical="center" wrapText="1"/>
    </xf>
    <xf numFmtId="0" fontId="70" fillId="3" borderId="1" xfId="0" applyFont="1" applyFill="1" applyBorder="1" applyAlignment="1">
      <alignment horizontal="center" vertical="center"/>
    </xf>
    <xf numFmtId="0" fontId="70" fillId="3" borderId="1" xfId="0" applyFont="1" applyFill="1" applyBorder="1" applyAlignment="1">
      <alignment vertical="center"/>
    </xf>
    <xf numFmtId="0" fontId="71" fillId="3" borderId="1" xfId="0" applyFont="1" applyFill="1" applyBorder="1" applyAlignment="1">
      <alignment horizontal="center" vertical="center"/>
    </xf>
    <xf numFmtId="0" fontId="71" fillId="3" borderId="1" xfId="0" applyFont="1" applyFill="1" applyBorder="1" applyAlignment="1">
      <alignment vertical="center"/>
    </xf>
    <xf numFmtId="0" fontId="71" fillId="3" borderId="1" xfId="0" applyFont="1" applyFill="1" applyBorder="1" applyAlignment="1">
      <alignment vertical="center" wrapText="1"/>
    </xf>
    <xf numFmtId="0" fontId="71" fillId="3" borderId="1" xfId="0" applyFont="1" applyFill="1" applyBorder="1" applyAlignment="1">
      <alignment horizontal="left" vertical="center"/>
    </xf>
    <xf numFmtId="0" fontId="72" fillId="0" borderId="0" xfId="0" applyFont="1"/>
    <xf numFmtId="0" fontId="73" fillId="3" borderId="1" xfId="0" applyFont="1" applyFill="1" applyBorder="1" applyAlignment="1">
      <alignment vertical="center"/>
    </xf>
    <xf numFmtId="0" fontId="72" fillId="3" borderId="1" xfId="0" applyFont="1" applyFill="1" applyBorder="1" applyAlignment="1">
      <alignment vertical="center"/>
    </xf>
    <xf numFmtId="0" fontId="72" fillId="3" borderId="1" xfId="0" applyFont="1" applyFill="1" applyBorder="1" applyAlignment="1">
      <alignment vertical="center" wrapText="1"/>
    </xf>
    <xf numFmtId="0" fontId="72" fillId="3" borderId="1" xfId="0" applyFont="1" applyFill="1" applyBorder="1" applyAlignment="1">
      <alignment horizontal="left" vertical="center"/>
    </xf>
    <xf numFmtId="0" fontId="7" fillId="3" borderId="1" xfId="0" applyFont="1" applyFill="1" applyBorder="1"/>
    <xf numFmtId="0" fontId="18" fillId="0" borderId="55" xfId="0" applyFont="1" applyBorder="1" applyAlignment="1">
      <alignment vertical="center" wrapText="1"/>
    </xf>
    <xf numFmtId="0" fontId="18" fillId="0" borderId="56" xfId="0" applyFont="1" applyBorder="1" applyAlignment="1">
      <alignment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3" fontId="0" fillId="3" borderId="17" xfId="0" applyNumberFormat="1" applyFill="1" applyBorder="1" applyAlignment="1">
      <alignment horizontal="center" vertical="center"/>
    </xf>
    <xf numFmtId="1" fontId="0" fillId="3" borderId="17" xfId="0" applyNumberFormat="1" applyFill="1" applyBorder="1" applyAlignment="1">
      <alignment horizontal="center" vertical="center"/>
    </xf>
    <xf numFmtId="2" fontId="0" fillId="3" borderId="9" xfId="0" applyNumberFormat="1" applyFill="1" applyBorder="1" applyAlignment="1">
      <alignment horizontal="center" vertical="center" wrapText="1"/>
    </xf>
    <xf numFmtId="0" fontId="28" fillId="0" borderId="0" xfId="0" applyFont="1"/>
    <xf numFmtId="4" fontId="29" fillId="0" borderId="0" xfId="0" applyNumberFormat="1" applyFont="1"/>
    <xf numFmtId="4" fontId="29" fillId="3" borderId="1" xfId="0" applyNumberFormat="1" applyFont="1" applyFill="1" applyBorder="1" applyAlignment="1">
      <alignment horizontal="center" vertical="center" wrapText="1"/>
    </xf>
    <xf numFmtId="2" fontId="29" fillId="3" borderId="9" xfId="0" applyNumberFormat="1" applyFont="1" applyFill="1" applyBorder="1" applyAlignment="1">
      <alignment horizontal="center" vertical="center" wrapText="1"/>
    </xf>
    <xf numFmtId="2" fontId="29" fillId="3" borderId="9" xfId="0" applyNumberFormat="1" applyFont="1" applyFill="1" applyBorder="1" applyAlignment="1">
      <alignment horizontal="center" vertical="center"/>
    </xf>
    <xf numFmtId="1" fontId="0" fillId="3" borderId="7" xfId="0" applyNumberFormat="1" applyFill="1" applyBorder="1" applyAlignment="1">
      <alignment horizontal="center" vertical="center" wrapText="1"/>
    </xf>
    <xf numFmtId="1" fontId="10" fillId="3"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wrapText="1"/>
    </xf>
    <xf numFmtId="1" fontId="0" fillId="3" borderId="7" xfId="0" applyNumberFormat="1" applyFill="1" applyBorder="1" applyAlignment="1">
      <alignment horizontal="center" vertical="center"/>
    </xf>
    <xf numFmtId="1" fontId="29" fillId="3" borderId="7" xfId="0" applyNumberFormat="1" applyFont="1" applyFill="1" applyBorder="1" applyAlignment="1">
      <alignment horizontal="center" vertical="center"/>
    </xf>
    <xf numFmtId="1" fontId="0" fillId="3" borderId="1" xfId="0" applyNumberFormat="1" applyFill="1" applyBorder="1" applyAlignment="1">
      <alignment horizontal="center" vertical="center" wrapText="1"/>
    </xf>
    <xf numFmtId="1" fontId="29" fillId="3" borderId="2"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xf>
    <xf numFmtId="1" fontId="29" fillId="3" borderId="1" xfId="0" applyNumberFormat="1" applyFont="1" applyFill="1" applyBorder="1" applyAlignment="1">
      <alignment horizontal="center" vertical="center" wrapText="1"/>
    </xf>
    <xf numFmtId="1" fontId="29" fillId="3" borderId="1" xfId="0" applyNumberFormat="1" applyFont="1" applyFill="1" applyBorder="1" applyAlignment="1">
      <alignment horizontal="center" vertical="center"/>
    </xf>
    <xf numFmtId="1" fontId="2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0" fontId="46" fillId="3" borderId="1" xfId="0" applyFont="1" applyFill="1" applyBorder="1" applyAlignment="1">
      <alignment vertical="center" wrapText="1"/>
    </xf>
    <xf numFmtId="2" fontId="0" fillId="3" borderId="1" xfId="0" applyNumberFormat="1" applyFill="1" applyBorder="1" applyAlignment="1">
      <alignment horizontal="center" vertical="center"/>
    </xf>
    <xf numFmtId="2" fontId="0" fillId="3" borderId="17" xfId="0" applyNumberFormat="1" applyFill="1" applyBorder="1" applyAlignment="1">
      <alignment horizontal="center" vertical="center"/>
    </xf>
    <xf numFmtId="4" fontId="0" fillId="3" borderId="1" xfId="0" applyNumberFormat="1" applyFill="1" applyBorder="1" applyAlignment="1">
      <alignment horizontal="center" vertical="center"/>
    </xf>
    <xf numFmtId="4" fontId="0" fillId="3" borderId="17" xfId="0" applyNumberFormat="1" applyFill="1" applyBorder="1" applyAlignment="1">
      <alignment horizontal="center" vertical="center"/>
    </xf>
    <xf numFmtId="49" fontId="29" fillId="3" borderId="12" xfId="0" applyNumberFormat="1" applyFont="1" applyFill="1" applyBorder="1" applyAlignment="1">
      <alignment horizontal="center" vertical="center" wrapText="1"/>
    </xf>
    <xf numFmtId="0" fontId="17" fillId="0" borderId="15" xfId="0" applyFont="1" applyBorder="1" applyAlignment="1">
      <alignment vertical="top" wrapText="1"/>
    </xf>
    <xf numFmtId="3" fontId="18" fillId="0" borderId="0" xfId="0" applyNumberFormat="1" applyFont="1"/>
    <xf numFmtId="3" fontId="9" fillId="0" borderId="0" xfId="0" applyNumberFormat="1" applyFont="1"/>
    <xf numFmtId="3" fontId="17" fillId="0" borderId="0" xfId="0" applyNumberFormat="1" applyFont="1"/>
    <xf numFmtId="3" fontId="28" fillId="0" borderId="0" xfId="0" applyNumberFormat="1" applyFont="1"/>
    <xf numFmtId="3" fontId="29" fillId="3" borderId="1" xfId="0" applyNumberFormat="1" applyFont="1" applyFill="1" applyBorder="1" applyAlignment="1">
      <alignment horizontal="center" vertical="center" wrapText="1"/>
    </xf>
    <xf numFmtId="49" fontId="29" fillId="0" borderId="12" xfId="0" applyNumberFormat="1" applyFont="1" applyBorder="1" applyAlignment="1">
      <alignment horizontal="center" vertical="center" wrapText="1"/>
    </xf>
    <xf numFmtId="3" fontId="29" fillId="0" borderId="12" xfId="0" applyNumberFormat="1" applyFont="1" applyBorder="1" applyAlignment="1">
      <alignment horizontal="center" vertical="center" wrapText="1"/>
    </xf>
    <xf numFmtId="4" fontId="29" fillId="0" borderId="1" xfId="0" applyNumberFormat="1" applyFont="1" applyBorder="1" applyAlignment="1">
      <alignment horizontal="center" vertical="center" wrapText="1"/>
    </xf>
    <xf numFmtId="4" fontId="29" fillId="0" borderId="13" xfId="0" applyNumberFormat="1" applyFont="1" applyBorder="1" applyAlignment="1">
      <alignment horizontal="center" vertical="center" wrapText="1"/>
    </xf>
    <xf numFmtId="4" fontId="29" fillId="3" borderId="13" xfId="0" applyNumberFormat="1" applyFont="1" applyFill="1" applyBorder="1" applyAlignment="1">
      <alignment horizontal="center" vertical="center" wrapText="1"/>
    </xf>
    <xf numFmtId="49" fontId="74" fillId="0" borderId="1" xfId="0" applyNumberFormat="1" applyFont="1" applyBorder="1" applyAlignment="1">
      <alignment horizontal="center" vertical="center" wrapText="1"/>
    </xf>
    <xf numFmtId="0" fontId="46" fillId="3" borderId="1" xfId="0" applyFont="1" applyFill="1" applyBorder="1" applyAlignment="1">
      <alignment vertical="center"/>
    </xf>
    <xf numFmtId="0" fontId="46" fillId="3" borderId="1" xfId="0" applyFont="1" applyFill="1" applyBorder="1" applyAlignment="1">
      <alignment horizontal="left" vertical="center"/>
    </xf>
    <xf numFmtId="0" fontId="5" fillId="0" borderId="0" xfId="0" applyFont="1"/>
    <xf numFmtId="0" fontId="0" fillId="3" borderId="0" xfId="0" applyFill="1" applyAlignment="1">
      <alignment wrapText="1"/>
    </xf>
    <xf numFmtId="49" fontId="29" fillId="0" borderId="31" xfId="0" applyNumberFormat="1" applyFont="1" applyBorder="1" applyAlignment="1">
      <alignment horizontal="left" vertical="center" wrapText="1"/>
    </xf>
    <xf numFmtId="0" fontId="29" fillId="0" borderId="3" xfId="0" applyFont="1" applyBorder="1" applyAlignment="1">
      <alignment vertical="center" wrapText="1"/>
    </xf>
    <xf numFmtId="49" fontId="29" fillId="0" borderId="3" xfId="0" applyNumberFormat="1" applyFont="1" applyBorder="1" applyAlignment="1">
      <alignment horizontal="left" vertical="center" wrapText="1"/>
    </xf>
    <xf numFmtId="0" fontId="29" fillId="0" borderId="3" xfId="0" applyFont="1" applyBorder="1" applyAlignment="1">
      <alignment horizontal="left" vertical="center" wrapText="1"/>
    </xf>
    <xf numFmtId="0" fontId="29" fillId="0" borderId="46" xfId="0" applyFont="1" applyBorder="1" applyAlignment="1">
      <alignment horizontal="left" vertical="center" wrapText="1"/>
    </xf>
    <xf numFmtId="49" fontId="29" fillId="0" borderId="60" xfId="0" applyNumberFormat="1" applyFont="1" applyBorder="1" applyAlignment="1">
      <alignment horizontal="left" vertical="center" wrapText="1"/>
    </xf>
    <xf numFmtId="0" fontId="0" fillId="0" borderId="53" xfId="0" applyBorder="1" applyAlignment="1">
      <alignment wrapText="1"/>
    </xf>
    <xf numFmtId="49" fontId="18" fillId="0" borderId="35" xfId="0" applyNumberFormat="1" applyFont="1" applyBorder="1" applyAlignment="1">
      <alignment vertical="center" wrapText="1"/>
    </xf>
    <xf numFmtId="0" fontId="0" fillId="0" borderId="37" xfId="0" applyBorder="1" applyAlignment="1">
      <alignment wrapText="1"/>
    </xf>
    <xf numFmtId="0" fontId="0" fillId="0" borderId="48" xfId="0" applyBorder="1"/>
    <xf numFmtId="0" fontId="0" fillId="0" borderId="59" xfId="0" applyBorder="1"/>
    <xf numFmtId="0" fontId="0" fillId="0" borderId="61" xfId="0" applyBorder="1"/>
    <xf numFmtId="0" fontId="0" fillId="0" borderId="60" xfId="0" applyBorder="1"/>
    <xf numFmtId="49" fontId="28" fillId="0" borderId="60" xfId="0" applyNumberFormat="1" applyFont="1" applyBorder="1" applyAlignment="1">
      <alignment horizontal="left" vertical="center" wrapText="1"/>
    </xf>
    <xf numFmtId="49" fontId="40" fillId="0" borderId="60" xfId="0" applyNumberFormat="1" applyFont="1" applyBorder="1" applyAlignment="1">
      <alignment horizontal="left" vertical="center" wrapText="1"/>
    </xf>
    <xf numFmtId="49" fontId="67" fillId="0" borderId="0" xfId="0" applyNumberFormat="1" applyFont="1" applyAlignment="1">
      <alignment horizontal="left" vertical="center" wrapText="1"/>
    </xf>
    <xf numFmtId="49" fontId="40" fillId="0" borderId="0" xfId="0" applyNumberFormat="1" applyFont="1" applyAlignment="1">
      <alignment horizontal="left" vertical="top" wrapText="1"/>
    </xf>
    <xf numFmtId="49" fontId="75" fillId="0" borderId="60" xfId="0" applyNumberFormat="1" applyFont="1" applyBorder="1" applyAlignment="1">
      <alignment horizontal="left" vertical="center" wrapText="1"/>
    </xf>
    <xf numFmtId="1" fontId="0" fillId="2" borderId="17" xfId="0" applyNumberFormat="1" applyFill="1" applyBorder="1" applyAlignment="1">
      <alignment horizontal="center" vertical="center"/>
    </xf>
    <xf numFmtId="2" fontId="76" fillId="2" borderId="9" xfId="0" applyNumberFormat="1" applyFont="1" applyFill="1" applyBorder="1" applyAlignment="1">
      <alignment horizontal="center" vertical="center" wrapText="1"/>
    </xf>
    <xf numFmtId="1" fontId="76" fillId="2" borderId="1" xfId="0" applyNumberFormat="1" applyFont="1" applyFill="1" applyBorder="1" applyAlignment="1">
      <alignment horizontal="center" vertical="center" wrapText="1"/>
    </xf>
    <xf numFmtId="1" fontId="76" fillId="2" borderId="1" xfId="0" applyNumberFormat="1" applyFont="1" applyFill="1" applyBorder="1" applyAlignment="1">
      <alignment horizontal="center" vertical="center"/>
    </xf>
    <xf numFmtId="1" fontId="74" fillId="2" borderId="1" xfId="0" applyNumberFormat="1" applyFont="1" applyFill="1" applyBorder="1" applyAlignment="1">
      <alignment horizontal="center" vertical="center"/>
    </xf>
    <xf numFmtId="1" fontId="76" fillId="2" borderId="17" xfId="0" applyNumberFormat="1" applyFont="1" applyFill="1" applyBorder="1" applyAlignment="1">
      <alignment horizontal="center" vertical="center"/>
    </xf>
    <xf numFmtId="2" fontId="74" fillId="2" borderId="9" xfId="0" applyNumberFormat="1" applyFont="1" applyFill="1" applyBorder="1" applyAlignment="1">
      <alignment horizontal="center" vertical="center" wrapText="1"/>
    </xf>
    <xf numFmtId="1" fontId="74" fillId="2" borderId="1" xfId="0" applyNumberFormat="1" applyFont="1" applyFill="1" applyBorder="1" applyAlignment="1">
      <alignment horizontal="center" vertical="center" wrapText="1"/>
    </xf>
    <xf numFmtId="49" fontId="40" fillId="0" borderId="0" xfId="0" applyNumberFormat="1" applyFont="1" applyAlignment="1">
      <alignment vertical="center" wrapText="1"/>
    </xf>
    <xf numFmtId="49" fontId="28" fillId="0" borderId="0" xfId="0" applyNumberFormat="1" applyFont="1" applyAlignment="1">
      <alignment horizontal="left" vertical="center" wrapText="1"/>
    </xf>
    <xf numFmtId="49" fontId="40" fillId="0" borderId="0" xfId="0" applyNumberFormat="1" applyFont="1" applyAlignment="1">
      <alignment horizontal="left" vertical="center" wrapText="1"/>
    </xf>
    <xf numFmtId="49" fontId="40" fillId="0" borderId="0" xfId="0" applyNumberFormat="1" applyFont="1" applyAlignment="1">
      <alignment horizontal="left" vertical="center"/>
    </xf>
    <xf numFmtId="49" fontId="67" fillId="0" borderId="0" xfId="0" applyNumberFormat="1" applyFont="1" applyAlignment="1">
      <alignment horizontal="left" vertical="center"/>
    </xf>
    <xf numFmtId="49" fontId="29" fillId="0" borderId="52" xfId="0" applyNumberFormat="1" applyFont="1" applyBorder="1" applyAlignment="1">
      <alignment horizontal="left" vertical="center" wrapText="1"/>
    </xf>
    <xf numFmtId="49" fontId="21" fillId="0" borderId="33" xfId="0" applyNumberFormat="1" applyFont="1" applyBorder="1" applyAlignment="1">
      <alignment horizontal="left" vertical="center" wrapText="1"/>
    </xf>
    <xf numFmtId="49" fontId="21" fillId="0" borderId="52" xfId="0" applyNumberFormat="1" applyFont="1" applyBorder="1" applyAlignment="1">
      <alignment horizontal="left" vertical="center" wrapText="1"/>
    </xf>
    <xf numFmtId="4" fontId="18" fillId="0" borderId="52" xfId="0" applyNumberFormat="1" applyFont="1" applyBorder="1" applyAlignment="1">
      <alignment horizontal="left" vertical="center" wrapText="1"/>
    </xf>
    <xf numFmtId="49" fontId="67" fillId="0" borderId="33" xfId="0" applyNumberFormat="1" applyFont="1" applyBorder="1" applyAlignment="1">
      <alignment vertical="center" wrapText="1"/>
    </xf>
    <xf numFmtId="49" fontId="77" fillId="0" borderId="7" xfId="0" applyNumberFormat="1" applyFont="1" applyBorder="1" applyAlignment="1">
      <alignment horizontal="center" vertical="center"/>
    </xf>
    <xf numFmtId="49" fontId="77" fillId="0" borderId="7" xfId="0" applyNumberFormat="1" applyFont="1" applyBorder="1" applyAlignment="1">
      <alignment horizontal="center" vertical="center" wrapText="1"/>
    </xf>
    <xf numFmtId="3" fontId="77" fillId="0" borderId="7" xfId="0" applyNumberFormat="1" applyFont="1" applyBorder="1" applyAlignment="1">
      <alignment horizontal="center" vertical="center" wrapText="1"/>
    </xf>
    <xf numFmtId="49" fontId="77" fillId="0" borderId="16" xfId="0" applyNumberFormat="1" applyFont="1" applyBorder="1" applyAlignment="1">
      <alignment vertical="center" wrapText="1"/>
    </xf>
    <xf numFmtId="3" fontId="77" fillId="2" borderId="1" xfId="0" applyNumberFormat="1" applyFont="1" applyFill="1" applyBorder="1" applyAlignment="1">
      <alignment horizontal="center" vertical="center" wrapText="1"/>
    </xf>
    <xf numFmtId="49" fontId="77" fillId="0" borderId="1" xfId="0" applyNumberFormat="1" applyFont="1" applyBorder="1" applyAlignment="1">
      <alignment horizontal="center" vertical="center" wrapText="1"/>
    </xf>
    <xf numFmtId="49" fontId="77" fillId="3" borderId="1" xfId="0" applyNumberFormat="1" applyFont="1" applyFill="1" applyBorder="1" applyAlignment="1">
      <alignment horizontal="center" vertical="center" wrapText="1"/>
    </xf>
    <xf numFmtId="3" fontId="77" fillId="3" borderId="1" xfId="0" applyNumberFormat="1" applyFont="1" applyFill="1" applyBorder="1" applyAlignment="1">
      <alignment horizontal="center" vertical="center" wrapText="1"/>
    </xf>
    <xf numFmtId="3" fontId="77" fillId="0" borderId="1" xfId="0" applyNumberFormat="1" applyFont="1" applyBorder="1" applyAlignment="1">
      <alignment horizontal="center" vertical="center" wrapText="1"/>
    </xf>
    <xf numFmtId="49" fontId="77" fillId="0" borderId="17" xfId="0" applyNumberFormat="1" applyFont="1" applyBorder="1" applyAlignment="1">
      <alignment horizontal="left" vertical="center" wrapText="1"/>
    </xf>
    <xf numFmtId="49" fontId="77" fillId="2" borderId="17" xfId="0" applyNumberFormat="1" applyFont="1" applyFill="1" applyBorder="1" applyAlignment="1">
      <alignment horizontal="left" vertical="center" wrapText="1"/>
    </xf>
    <xf numFmtId="0" fontId="77" fillId="0" borderId="1" xfId="0" applyFont="1" applyBorder="1" applyAlignment="1">
      <alignment horizontal="center" vertical="center"/>
    </xf>
    <xf numFmtId="164" fontId="77" fillId="2" borderId="1" xfId="0" applyNumberFormat="1" applyFont="1" applyFill="1" applyBorder="1" applyAlignment="1">
      <alignment horizontal="center" vertical="center" wrapText="1"/>
    </xf>
    <xf numFmtId="0" fontId="77" fillId="0" borderId="1" xfId="0" applyFont="1" applyBorder="1" applyAlignment="1">
      <alignment horizontal="center" vertical="center" wrapText="1"/>
    </xf>
    <xf numFmtId="0" fontId="77" fillId="3" borderId="1" xfId="0" applyFont="1" applyFill="1" applyBorder="1" applyAlignment="1">
      <alignment horizontal="center" vertical="center"/>
    </xf>
    <xf numFmtId="1" fontId="77" fillId="2" borderId="1" xfId="0" applyNumberFormat="1" applyFont="1" applyFill="1" applyBorder="1" applyAlignment="1">
      <alignment horizontal="center" vertical="center" wrapText="1"/>
    </xf>
    <xf numFmtId="4" fontId="77" fillId="0" borderId="17" xfId="0" applyNumberFormat="1" applyFont="1" applyBorder="1" applyAlignment="1">
      <alignment horizontal="left" vertical="center" wrapText="1"/>
    </xf>
    <xf numFmtId="2" fontId="77" fillId="0" borderId="1" xfId="0" applyNumberFormat="1" applyFont="1" applyBorder="1" applyAlignment="1">
      <alignment horizontal="center" vertical="center" wrapText="1"/>
    </xf>
    <xf numFmtId="1" fontId="77" fillId="0" borderId="1" xfId="0" applyNumberFormat="1" applyFont="1" applyBorder="1" applyAlignment="1">
      <alignment horizontal="center" vertical="center"/>
    </xf>
    <xf numFmtId="49" fontId="77" fillId="0" borderId="3" xfId="0" applyNumberFormat="1" applyFont="1" applyBorder="1" applyAlignment="1">
      <alignment horizontal="left" vertical="center" wrapText="1"/>
    </xf>
    <xf numFmtId="2" fontId="77" fillId="3" borderId="1" xfId="0" applyNumberFormat="1" applyFont="1" applyFill="1" applyBorder="1" applyAlignment="1">
      <alignment horizontal="center" vertical="center" wrapText="1"/>
    </xf>
    <xf numFmtId="49" fontId="81" fillId="0" borderId="17" xfId="0" applyNumberFormat="1" applyFont="1" applyBorder="1" applyAlignment="1">
      <alignment horizontal="left" vertical="center" wrapText="1"/>
    </xf>
    <xf numFmtId="1" fontId="77" fillId="2" borderId="1" xfId="0" applyNumberFormat="1" applyFont="1" applyFill="1" applyBorder="1" applyAlignment="1">
      <alignment horizontal="center" vertical="center"/>
    </xf>
    <xf numFmtId="170" fontId="77" fillId="2" borderId="1" xfId="0" applyNumberFormat="1" applyFont="1" applyFill="1" applyBorder="1" applyAlignment="1">
      <alignment horizontal="center" vertical="center" wrapText="1"/>
    </xf>
    <xf numFmtId="49" fontId="77" fillId="2" borderId="1" xfId="0" applyNumberFormat="1" applyFont="1" applyFill="1" applyBorder="1" applyAlignment="1">
      <alignment horizontal="center" vertical="center" wrapText="1"/>
    </xf>
    <xf numFmtId="0" fontId="77" fillId="0" borderId="17" xfId="0" applyFont="1" applyBorder="1" applyAlignment="1">
      <alignment horizontal="left" vertical="center" wrapText="1"/>
    </xf>
    <xf numFmtId="49" fontId="77" fillId="0" borderId="18" xfId="0" applyNumberFormat="1" applyFont="1" applyBorder="1" applyAlignment="1">
      <alignment vertical="center" wrapText="1"/>
    </xf>
    <xf numFmtId="1" fontId="0" fillId="0" borderId="1" xfId="0" applyNumberFormat="1" applyBorder="1" applyAlignment="1">
      <alignment horizontal="center" vertical="center"/>
    </xf>
    <xf numFmtId="49" fontId="77" fillId="0" borderId="41" xfId="0" applyNumberFormat="1" applyFont="1" applyBorder="1" applyAlignment="1">
      <alignment horizontal="left" vertical="center" wrapText="1"/>
    </xf>
    <xf numFmtId="0" fontId="0" fillId="0" borderId="63" xfId="0" applyBorder="1"/>
    <xf numFmtId="49" fontId="82" fillId="3" borderId="1" xfId="0" applyNumberFormat="1" applyFont="1" applyFill="1" applyBorder="1" applyAlignment="1">
      <alignment horizontal="center" vertical="center" wrapText="1"/>
    </xf>
    <xf numFmtId="0" fontId="82" fillId="3" borderId="1" xfId="0" applyFont="1" applyFill="1" applyBorder="1" applyAlignment="1">
      <alignment horizontal="center" vertical="center"/>
    </xf>
    <xf numFmtId="3" fontId="77" fillId="3" borderId="12" xfId="0" applyNumberFormat="1" applyFont="1" applyFill="1" applyBorder="1" applyAlignment="1">
      <alignment horizontal="center" vertical="center" wrapText="1"/>
    </xf>
    <xf numFmtId="49" fontId="82" fillId="3" borderId="12" xfId="0" applyNumberFormat="1" applyFont="1" applyFill="1" applyBorder="1" applyAlignment="1">
      <alignment horizontal="center" vertical="center" wrapText="1"/>
    </xf>
    <xf numFmtId="49" fontId="77" fillId="3" borderId="12" xfId="0" applyNumberFormat="1" applyFont="1" applyFill="1" applyBorder="1" applyAlignment="1">
      <alignment horizontal="center" vertical="center" wrapText="1"/>
    </xf>
    <xf numFmtId="0" fontId="82" fillId="3" borderId="12" xfId="0" applyFont="1" applyFill="1" applyBorder="1" applyAlignment="1">
      <alignment horizontal="center" vertical="center"/>
    </xf>
    <xf numFmtId="0" fontId="77" fillId="3" borderId="12" xfId="0" applyFont="1" applyFill="1" applyBorder="1" applyAlignment="1">
      <alignment horizontal="center" vertical="center" wrapText="1"/>
    </xf>
    <xf numFmtId="3" fontId="77" fillId="3" borderId="7" xfId="0" applyNumberFormat="1" applyFont="1" applyFill="1" applyBorder="1" applyAlignment="1">
      <alignment horizontal="center" vertical="center" wrapText="1"/>
    </xf>
    <xf numFmtId="0" fontId="79" fillId="2" borderId="0" xfId="0" applyFont="1" applyFill="1" applyAlignment="1">
      <alignment vertical="center" wrapText="1"/>
    </xf>
    <xf numFmtId="49" fontId="77" fillId="3" borderId="17" xfId="0" applyNumberFormat="1" applyFont="1" applyFill="1" applyBorder="1" applyAlignment="1">
      <alignment horizontal="left" vertical="center" wrapText="1"/>
    </xf>
    <xf numFmtId="4" fontId="81" fillId="3" borderId="17" xfId="0" applyNumberFormat="1" applyFont="1" applyFill="1" applyBorder="1" applyAlignment="1">
      <alignment horizontal="left" vertical="center" wrapText="1"/>
    </xf>
    <xf numFmtId="0" fontId="91" fillId="3" borderId="1" xfId="0" applyFont="1" applyFill="1" applyBorder="1" applyAlignment="1">
      <alignment horizontal="center" vertical="center"/>
    </xf>
    <xf numFmtId="0" fontId="91" fillId="3" borderId="1" xfId="0" applyFont="1" applyFill="1" applyBorder="1" applyAlignment="1">
      <alignment horizontal="center" vertical="center" wrapText="1"/>
    </xf>
    <xf numFmtId="49" fontId="81" fillId="2" borderId="60" xfId="0" applyNumberFormat="1" applyFont="1" applyFill="1" applyBorder="1" applyAlignment="1">
      <alignment horizontal="left" vertical="center" wrapText="1"/>
    </xf>
    <xf numFmtId="0" fontId="91" fillId="3" borderId="0" xfId="0" applyFont="1" applyFill="1" applyAlignment="1">
      <alignment vertical="center" wrapText="1"/>
    </xf>
    <xf numFmtId="49" fontId="91" fillId="3" borderId="1" xfId="0" applyNumberFormat="1" applyFont="1" applyFill="1" applyBorder="1" applyAlignment="1">
      <alignment horizontal="center" vertical="center" wrapText="1"/>
    </xf>
    <xf numFmtId="3" fontId="91" fillId="3" borderId="1" xfId="0" applyNumberFormat="1" applyFont="1" applyFill="1" applyBorder="1" applyAlignment="1">
      <alignment horizontal="center" vertical="center" wrapText="1"/>
    </xf>
    <xf numFmtId="1" fontId="91" fillId="3" borderId="1" xfId="0" applyNumberFormat="1" applyFont="1" applyFill="1" applyBorder="1" applyAlignment="1">
      <alignment horizontal="center" vertical="center" wrapText="1"/>
    </xf>
    <xf numFmtId="2" fontId="91" fillId="3" borderId="1" xfId="0" applyNumberFormat="1" applyFont="1" applyFill="1" applyBorder="1" applyAlignment="1">
      <alignment horizontal="center" vertical="center" wrapText="1"/>
    </xf>
    <xf numFmtId="1" fontId="91" fillId="3" borderId="1" xfId="0" applyNumberFormat="1" applyFont="1" applyFill="1" applyBorder="1" applyAlignment="1">
      <alignment horizontal="center" vertical="center"/>
    </xf>
    <xf numFmtId="3" fontId="91" fillId="3" borderId="1" xfId="0" applyNumberFormat="1" applyFont="1" applyFill="1" applyBorder="1" applyAlignment="1">
      <alignment horizontal="center" vertical="center"/>
    </xf>
    <xf numFmtId="49" fontId="91" fillId="3" borderId="17" xfId="0" applyNumberFormat="1" applyFont="1" applyFill="1" applyBorder="1" applyAlignment="1">
      <alignment horizontal="left" vertical="center" wrapText="1"/>
    </xf>
    <xf numFmtId="49" fontId="81" fillId="3" borderId="63" xfId="0" applyNumberFormat="1" applyFont="1" applyFill="1" applyBorder="1" applyAlignment="1">
      <alignment horizontal="left" vertical="center" wrapText="1"/>
    </xf>
    <xf numFmtId="2" fontId="82" fillId="3" borderId="17" xfId="0" applyNumberFormat="1" applyFont="1" applyFill="1" applyBorder="1" applyAlignment="1">
      <alignment horizontal="left" vertical="center" wrapText="1"/>
    </xf>
    <xf numFmtId="2" fontId="82" fillId="3" borderId="59" xfId="0" applyNumberFormat="1" applyFont="1" applyFill="1" applyBorder="1" applyAlignment="1">
      <alignment vertical="center" wrapText="1"/>
    </xf>
    <xf numFmtId="2" fontId="82" fillId="3" borderId="45" xfId="0" applyNumberFormat="1" applyFont="1" applyFill="1" applyBorder="1" applyAlignment="1">
      <alignment vertical="center" wrapText="1"/>
    </xf>
    <xf numFmtId="49" fontId="74" fillId="2" borderId="13" xfId="0" applyNumberFormat="1" applyFont="1" applyFill="1" applyBorder="1" applyAlignment="1">
      <alignment horizontal="center" vertical="center" wrapText="1"/>
    </xf>
    <xf numFmtId="3" fontId="74" fillId="2" borderId="13" xfId="0" applyNumberFormat="1" applyFont="1" applyFill="1" applyBorder="1" applyAlignment="1">
      <alignment horizontal="center" vertical="center" wrapText="1"/>
    </xf>
    <xf numFmtId="49" fontId="74" fillId="2" borderId="31" xfId="0" applyNumberFormat="1" applyFont="1" applyFill="1" applyBorder="1" applyAlignment="1">
      <alignment horizontal="left" vertical="center" wrapText="1"/>
    </xf>
    <xf numFmtId="49" fontId="74" fillId="2" borderId="12" xfId="0" applyNumberFormat="1" applyFont="1" applyFill="1" applyBorder="1" applyAlignment="1">
      <alignment horizontal="center" vertical="center" wrapText="1"/>
    </xf>
    <xf numFmtId="4" fontId="74" fillId="2" borderId="12" xfId="0" applyNumberFormat="1" applyFont="1" applyFill="1" applyBorder="1" applyAlignment="1">
      <alignment horizontal="center" vertical="center" wrapText="1"/>
    </xf>
    <xf numFmtId="3" fontId="74" fillId="2" borderId="12" xfId="0" applyNumberFormat="1" applyFont="1" applyFill="1" applyBorder="1" applyAlignment="1">
      <alignment horizontal="center" vertical="center" wrapText="1"/>
    </xf>
    <xf numFmtId="49" fontId="74" fillId="2" borderId="12" xfId="0" applyNumberFormat="1" applyFont="1" applyFill="1" applyBorder="1" applyAlignment="1" applyProtection="1">
      <alignment horizontal="center" vertical="center" wrapText="1"/>
      <protection locked="0"/>
    </xf>
    <xf numFmtId="0" fontId="74" fillId="2" borderId="46" xfId="0" applyFont="1" applyFill="1" applyBorder="1" applyAlignment="1">
      <alignment horizontal="left" vertical="center" wrapText="1"/>
    </xf>
    <xf numFmtId="4" fontId="81" fillId="2" borderId="40" xfId="0" applyNumberFormat="1" applyFont="1" applyFill="1" applyBorder="1" applyAlignment="1">
      <alignment horizontal="left" vertical="center" wrapText="1"/>
    </xf>
    <xf numFmtId="49" fontId="77" fillId="3" borderId="3" xfId="0" applyNumberFormat="1" applyFont="1" applyFill="1" applyBorder="1" applyAlignment="1">
      <alignment horizontal="left" vertical="center" wrapText="1"/>
    </xf>
    <xf numFmtId="49" fontId="77" fillId="3" borderId="66" xfId="0" applyNumberFormat="1" applyFont="1" applyFill="1" applyBorder="1" applyAlignment="1">
      <alignment horizontal="left" vertical="center" wrapText="1"/>
    </xf>
    <xf numFmtId="49" fontId="91" fillId="3" borderId="52" xfId="0" applyNumberFormat="1" applyFont="1" applyFill="1" applyBorder="1" applyAlignment="1">
      <alignment horizontal="left" vertical="top" wrapText="1"/>
    </xf>
    <xf numFmtId="0" fontId="40" fillId="0" borderId="41" xfId="0" applyFont="1" applyBorder="1" applyAlignment="1">
      <alignment vertical="center" wrapText="1"/>
    </xf>
    <xf numFmtId="49" fontId="81" fillId="0" borderId="0" xfId="0" applyNumberFormat="1" applyFont="1" applyAlignment="1">
      <alignment horizontal="left" vertical="center" wrapText="1"/>
    </xf>
    <xf numFmtId="49" fontId="77" fillId="2" borderId="32" xfId="0" applyNumberFormat="1" applyFont="1" applyFill="1" applyBorder="1" applyAlignment="1">
      <alignment horizontal="left" vertical="center" wrapText="1"/>
    </xf>
    <xf numFmtId="0" fontId="81" fillId="3" borderId="48" xfId="0" applyFont="1" applyFill="1" applyBorder="1" applyAlignment="1">
      <alignment vertical="center" wrapText="1"/>
    </xf>
    <xf numFmtId="49" fontId="81" fillId="3" borderId="66" xfId="0" applyNumberFormat="1" applyFont="1" applyFill="1" applyBorder="1" applyAlignment="1">
      <alignment horizontal="left" vertical="top" wrapText="1"/>
    </xf>
    <xf numFmtId="49" fontId="81" fillId="3" borderId="50" xfId="0" applyNumberFormat="1" applyFont="1" applyFill="1" applyBorder="1" applyAlignment="1">
      <alignment horizontal="left" vertical="center" wrapText="1"/>
    </xf>
    <xf numFmtId="2" fontId="82" fillId="3" borderId="66" xfId="0" applyNumberFormat="1" applyFont="1" applyFill="1" applyBorder="1" applyAlignment="1">
      <alignment horizontal="left" vertical="center" wrapText="1"/>
    </xf>
    <xf numFmtId="0" fontId="0" fillId="0" borderId="67" xfId="0" applyBorder="1"/>
    <xf numFmtId="0" fontId="0" fillId="0" borderId="64" xfId="0" applyBorder="1"/>
    <xf numFmtId="0" fontId="0" fillId="0" borderId="52" xfId="0" applyBorder="1"/>
    <xf numFmtId="0" fontId="0" fillId="0" borderId="68" xfId="0" applyBorder="1"/>
    <xf numFmtId="0" fontId="0" fillId="0" borderId="51" xfId="0" applyBorder="1"/>
    <xf numFmtId="0" fontId="0" fillId="0" borderId="62" xfId="0" applyBorder="1"/>
    <xf numFmtId="0" fontId="0" fillId="0" borderId="66" xfId="0" applyBorder="1"/>
    <xf numFmtId="49" fontId="81" fillId="3" borderId="32" xfId="0" applyNumberFormat="1" applyFont="1" applyFill="1" applyBorder="1" applyAlignment="1">
      <alignment vertical="center" wrapText="1"/>
    </xf>
    <xf numFmtId="49" fontId="81" fillId="3" borderId="0" xfId="0" applyNumberFormat="1" applyFont="1" applyFill="1" applyAlignment="1">
      <alignment vertical="center" wrapText="1"/>
    </xf>
    <xf numFmtId="0" fontId="0" fillId="0" borderId="69" xfId="0" applyBorder="1"/>
    <xf numFmtId="0" fontId="0" fillId="3" borderId="69" xfId="0" applyFill="1" applyBorder="1"/>
    <xf numFmtId="0" fontId="0" fillId="3" borderId="59" xfId="0" applyFill="1" applyBorder="1"/>
    <xf numFmtId="0" fontId="0" fillId="0" borderId="47" xfId="0" applyBorder="1"/>
    <xf numFmtId="2" fontId="29" fillId="3" borderId="27" xfId="0" applyNumberFormat="1" applyFont="1" applyFill="1" applyBorder="1" applyAlignment="1">
      <alignment horizontal="center" vertical="center"/>
    </xf>
    <xf numFmtId="1" fontId="29" fillId="3" borderId="5" xfId="0" applyNumberFormat="1" applyFont="1" applyFill="1" applyBorder="1" applyAlignment="1">
      <alignment horizontal="center" vertical="center" wrapText="1"/>
    </xf>
    <xf numFmtId="1" fontId="0" fillId="3" borderId="5" xfId="0" applyNumberFormat="1" applyFill="1" applyBorder="1" applyAlignment="1">
      <alignment horizontal="center" vertical="center"/>
    </xf>
    <xf numFmtId="1" fontId="9" fillId="3" borderId="5" xfId="0" applyNumberFormat="1" applyFont="1" applyFill="1" applyBorder="1" applyAlignment="1">
      <alignment horizontal="center" vertical="center"/>
    </xf>
    <xf numFmtId="1" fontId="0" fillId="3" borderId="43" xfId="0" applyNumberFormat="1" applyFill="1" applyBorder="1" applyAlignment="1">
      <alignment horizontal="center" vertical="center"/>
    </xf>
    <xf numFmtId="2" fontId="0" fillId="3" borderId="6" xfId="0" applyNumberFormat="1" applyFill="1" applyBorder="1" applyAlignment="1">
      <alignment horizontal="center" vertical="center"/>
    </xf>
    <xf numFmtId="3" fontId="0" fillId="3" borderId="1" xfId="0" applyNumberFormat="1" applyFill="1" applyBorder="1" applyAlignment="1">
      <alignment horizontal="center" vertical="center" wrapText="1"/>
    </xf>
    <xf numFmtId="1" fontId="0" fillId="3" borderId="16" xfId="0" applyNumberFormat="1" applyFill="1" applyBorder="1" applyAlignment="1">
      <alignment horizontal="center" vertical="center"/>
    </xf>
    <xf numFmtId="1" fontId="29" fillId="2" borderId="17" xfId="0" applyNumberFormat="1" applyFont="1" applyFill="1" applyBorder="1" applyAlignment="1">
      <alignment horizontal="center" vertical="center"/>
    </xf>
    <xf numFmtId="4" fontId="76" fillId="2" borderId="1" xfId="0" applyNumberFormat="1" applyFont="1" applyFill="1" applyBorder="1" applyAlignment="1">
      <alignment horizontal="center" vertical="center"/>
    </xf>
    <xf numFmtId="3" fontId="76" fillId="2" borderId="17" xfId="0" applyNumberFormat="1" applyFont="1" applyFill="1" applyBorder="1" applyAlignment="1">
      <alignment horizontal="center" vertical="center"/>
    </xf>
    <xf numFmtId="170" fontId="29" fillId="2" borderId="17" xfId="0" applyNumberFormat="1" applyFont="1" applyFill="1" applyBorder="1" applyAlignment="1">
      <alignment horizontal="center" vertical="center"/>
    </xf>
    <xf numFmtId="3" fontId="3" fillId="0" borderId="0" xfId="0" applyNumberFormat="1" applyFont="1"/>
    <xf numFmtId="1" fontId="18" fillId="2" borderId="1" xfId="0" applyNumberFormat="1" applyFont="1" applyFill="1" applyBorder="1" applyAlignment="1">
      <alignment horizontal="center" vertical="center" wrapText="1"/>
    </xf>
    <xf numFmtId="49" fontId="88" fillId="2" borderId="1" xfId="0" applyNumberFormat="1" applyFont="1" applyFill="1" applyBorder="1" applyAlignment="1">
      <alignment horizontal="center" vertical="center" wrapText="1"/>
    </xf>
    <xf numFmtId="0" fontId="46" fillId="2" borderId="1" xfId="0" applyFont="1" applyFill="1" applyBorder="1" applyAlignment="1">
      <alignment vertical="center" wrapText="1"/>
    </xf>
    <xf numFmtId="0" fontId="2" fillId="3" borderId="1" xfId="0" applyFont="1" applyFill="1" applyBorder="1" applyAlignment="1">
      <alignment vertical="center"/>
    </xf>
    <xf numFmtId="0" fontId="2" fillId="3" borderId="1" xfId="0" applyFont="1" applyFill="1" applyBorder="1"/>
    <xf numFmtId="0" fontId="42" fillId="2" borderId="1" xfId="0" applyFont="1" applyFill="1" applyBorder="1" applyAlignment="1">
      <alignment vertical="center" wrapText="1"/>
    </xf>
    <xf numFmtId="0" fontId="46" fillId="2" borderId="1" xfId="0" applyFont="1" applyFill="1" applyBorder="1" applyAlignment="1">
      <alignment vertical="center"/>
    </xf>
    <xf numFmtId="0" fontId="46" fillId="2" borderId="1" xfId="0" applyFont="1" applyFill="1" applyBorder="1" applyAlignment="1">
      <alignment horizontal="left" vertical="center"/>
    </xf>
    <xf numFmtId="170" fontId="29" fillId="2" borderId="1" xfId="0" applyNumberFormat="1" applyFont="1" applyFill="1" applyBorder="1" applyAlignment="1">
      <alignment horizontal="center" vertical="center"/>
    </xf>
    <xf numFmtId="1" fontId="29" fillId="2" borderId="1" xfId="0" applyNumberFormat="1" applyFont="1" applyFill="1" applyBorder="1" applyAlignment="1">
      <alignment horizontal="center" vertical="center"/>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61" fillId="17" borderId="7" xfId="0" applyFont="1" applyFill="1" applyBorder="1" applyAlignment="1">
      <alignment horizontal="center" vertical="center" wrapText="1"/>
    </xf>
    <xf numFmtId="0" fontId="61" fillId="0" borderId="12" xfId="0" applyFont="1" applyBorder="1" applyAlignment="1">
      <alignment horizontal="center" vertical="center" wrapText="1"/>
    </xf>
    <xf numFmtId="0" fontId="54" fillId="0" borderId="41" xfId="0" applyFont="1" applyBorder="1" applyAlignment="1">
      <alignment vertical="center" wrapText="1"/>
    </xf>
    <xf numFmtId="0" fontId="0" fillId="16" borderId="9" xfId="0" applyFill="1" applyBorder="1" applyAlignment="1">
      <alignment horizontal="center" vertical="center"/>
    </xf>
    <xf numFmtId="0" fontId="61" fillId="16" borderId="1" xfId="0" applyFont="1" applyFill="1" applyBorder="1" applyAlignment="1">
      <alignment horizontal="center" vertical="center" wrapText="1"/>
    </xf>
    <xf numFmtId="0" fontId="55" fillId="12" borderId="8" xfId="0" applyFont="1" applyFill="1" applyBorder="1" applyAlignment="1">
      <alignment horizontal="center" vertical="center"/>
    </xf>
    <xf numFmtId="0" fontId="55" fillId="12" borderId="5" xfId="0" applyFont="1" applyFill="1" applyBorder="1" applyAlignment="1">
      <alignment horizontal="center" vertical="center"/>
    </xf>
    <xf numFmtId="0" fontId="55" fillId="12" borderId="25" xfId="0" applyFont="1" applyFill="1" applyBorder="1" applyAlignment="1">
      <alignment horizontal="center" vertical="center"/>
    </xf>
    <xf numFmtId="0" fontId="55" fillId="12" borderId="21" xfId="0" applyFont="1" applyFill="1" applyBorder="1" applyAlignment="1">
      <alignment horizontal="center" vertical="center"/>
    </xf>
    <xf numFmtId="0" fontId="55" fillId="12" borderId="27" xfId="0" applyFont="1" applyFill="1" applyBorder="1" applyAlignment="1">
      <alignment horizontal="center" vertical="center"/>
    </xf>
    <xf numFmtId="0" fontId="61" fillId="12" borderId="30" xfId="0" applyFont="1" applyFill="1" applyBorder="1" applyAlignment="1">
      <alignment horizontal="center" vertical="center" wrapText="1"/>
    </xf>
    <xf numFmtId="0" fontId="61" fillId="12" borderId="23" xfId="0" applyFont="1" applyFill="1" applyBorder="1" applyAlignment="1">
      <alignment horizontal="center" vertical="center" wrapText="1"/>
    </xf>
    <xf numFmtId="0" fontId="61" fillId="12" borderId="43" xfId="0" applyFont="1" applyFill="1" applyBorder="1" applyAlignment="1">
      <alignment horizontal="center" vertical="center" wrapText="1"/>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61" fillId="11" borderId="30" xfId="0" applyFont="1" applyFill="1" applyBorder="1" applyAlignment="1">
      <alignment horizontal="center" vertical="center" wrapText="1"/>
    </xf>
    <xf numFmtId="0" fontId="61" fillId="11" borderId="23" xfId="0" applyFont="1" applyFill="1" applyBorder="1" applyAlignment="1">
      <alignment horizontal="center" vertical="center" wrapText="1"/>
    </xf>
    <xf numFmtId="0" fontId="61" fillId="11" borderId="32" xfId="0" applyFont="1" applyFill="1" applyBorder="1" applyAlignment="1">
      <alignment horizontal="center" vertical="center" wrapText="1"/>
    </xf>
    <xf numFmtId="0" fontId="55" fillId="13" borderId="2" xfId="0" applyFont="1" applyFill="1" applyBorder="1" applyAlignment="1">
      <alignment horizontal="center" vertical="center"/>
    </xf>
    <xf numFmtId="0" fontId="55" fillId="13" borderId="5" xfId="0" applyFont="1" applyFill="1" applyBorder="1" applyAlignment="1">
      <alignment horizontal="center" vertical="center"/>
    </xf>
    <xf numFmtId="49" fontId="55" fillId="13" borderId="2" xfId="0" applyNumberFormat="1" applyFont="1" applyFill="1" applyBorder="1" applyAlignment="1">
      <alignment horizontal="center" vertical="center"/>
    </xf>
    <xf numFmtId="49" fontId="55" fillId="13" borderId="5" xfId="0" applyNumberFormat="1" applyFont="1" applyFill="1" applyBorder="1" applyAlignment="1">
      <alignment horizontal="center" vertical="center"/>
    </xf>
    <xf numFmtId="3" fontId="55" fillId="13" borderId="20" xfId="0" applyNumberFormat="1" applyFont="1" applyFill="1" applyBorder="1" applyAlignment="1">
      <alignment horizontal="center" vertical="center"/>
    </xf>
    <xf numFmtId="0" fontId="55"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61"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61" fillId="14" borderId="30" xfId="0" applyFont="1" applyFill="1" applyBorder="1" applyAlignment="1">
      <alignment horizontal="center" vertical="center" wrapText="1"/>
    </xf>
    <xf numFmtId="0" fontId="61" fillId="14" borderId="32" xfId="0" applyFont="1" applyFill="1" applyBorder="1" applyAlignment="1">
      <alignment horizontal="center" vertical="center" wrapText="1"/>
    </xf>
    <xf numFmtId="0" fontId="61" fillId="13" borderId="20" xfId="0" applyFont="1" applyFill="1" applyBorder="1" applyAlignment="1">
      <alignment horizontal="center" vertical="center" wrapText="1"/>
    </xf>
    <xf numFmtId="0" fontId="61" fillId="13" borderId="32" xfId="0" applyFont="1" applyFill="1" applyBorder="1" applyAlignment="1">
      <alignment horizontal="center" vertical="center" wrapText="1"/>
    </xf>
    <xf numFmtId="0" fontId="56"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55" fillId="12" borderId="10" xfId="0" applyFont="1" applyFill="1" applyBorder="1" applyAlignment="1">
      <alignment horizontal="center" vertical="center"/>
    </xf>
    <xf numFmtId="49" fontId="55" fillId="12" borderId="2" xfId="0" applyNumberFormat="1" applyFont="1" applyFill="1" applyBorder="1" applyAlignment="1">
      <alignment horizontal="center" vertical="center"/>
    </xf>
    <xf numFmtId="49" fontId="55" fillId="12" borderId="13" xfId="0" applyNumberFormat="1" applyFont="1" applyFill="1" applyBorder="1" applyAlignment="1">
      <alignment horizontal="center" vertical="center"/>
    </xf>
    <xf numFmtId="49" fontId="55" fillId="12" borderId="1" xfId="0" applyNumberFormat="1" applyFont="1" applyFill="1" applyBorder="1" applyAlignment="1">
      <alignment horizontal="center" vertical="center"/>
    </xf>
    <xf numFmtId="3" fontId="63" fillId="0" borderId="33" xfId="0" applyNumberFormat="1" applyFont="1" applyBorder="1" applyAlignment="1">
      <alignment horizontal="center" vertical="center"/>
    </xf>
    <xf numFmtId="3" fontId="63" fillId="0" borderId="0" xfId="0" applyNumberFormat="1" applyFont="1" applyAlignment="1">
      <alignment horizontal="center" vertical="center"/>
    </xf>
    <xf numFmtId="0" fontId="56"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4" fontId="57" fillId="0" borderId="48" xfId="0" applyNumberFormat="1" applyFont="1" applyBorder="1" applyAlignment="1">
      <alignment horizontal="center" vertical="center" wrapText="1"/>
    </xf>
    <xf numFmtId="4" fontId="57" fillId="0" borderId="47" xfId="0" applyNumberFormat="1" applyFont="1" applyBorder="1" applyAlignment="1">
      <alignment horizontal="center" vertical="center" wrapText="1"/>
    </xf>
    <xf numFmtId="4" fontId="57" fillId="0" borderId="45" xfId="0" applyNumberFormat="1" applyFont="1" applyBorder="1" applyAlignment="1">
      <alignment horizontal="center" vertical="center" wrapText="1"/>
    </xf>
    <xf numFmtId="0" fontId="54" fillId="0" borderId="50" xfId="0" applyFont="1" applyBorder="1" applyAlignment="1">
      <alignment horizontal="left" vertical="center" wrapText="1"/>
    </xf>
    <xf numFmtId="0" fontId="54" fillId="0" borderId="51" xfId="0" applyFont="1" applyBorder="1" applyAlignment="1">
      <alignment horizontal="left" vertical="center" wrapText="1"/>
    </xf>
    <xf numFmtId="0" fontId="54" fillId="0" borderId="4" xfId="0" applyFont="1" applyBorder="1" applyAlignment="1">
      <alignment horizontal="left" wrapText="1"/>
    </xf>
    <xf numFmtId="0" fontId="55" fillId="13" borderId="15" xfId="0" applyFont="1" applyFill="1" applyBorder="1" applyAlignment="1">
      <alignment horizontal="center" vertical="center"/>
    </xf>
    <xf numFmtId="0" fontId="55" fillId="13" borderId="27" xfId="0" applyFont="1" applyFill="1" applyBorder="1" applyAlignment="1">
      <alignment horizontal="center" vertical="center"/>
    </xf>
    <xf numFmtId="0" fontId="55" fillId="13" borderId="2" xfId="0" applyFont="1" applyFill="1" applyBorder="1" applyAlignment="1">
      <alignment horizontal="center" vertical="center" wrapText="1"/>
    </xf>
    <xf numFmtId="0" fontId="55" fillId="13" borderId="5" xfId="0" applyFont="1" applyFill="1" applyBorder="1" applyAlignment="1">
      <alignment horizontal="center" vertical="center" wrapText="1"/>
    </xf>
    <xf numFmtId="0" fontId="54" fillId="0" borderId="4" xfId="0" applyFont="1" applyBorder="1" applyAlignment="1">
      <alignment horizontal="left" vertical="center" wrapText="1"/>
    </xf>
    <xf numFmtId="3" fontId="62" fillId="0" borderId="33" xfId="0" applyNumberFormat="1" applyFont="1" applyBorder="1" applyAlignment="1">
      <alignment horizontal="center" vertical="center" wrapText="1"/>
    </xf>
    <xf numFmtId="14" fontId="0" fillId="0" borderId="33" xfId="0" applyNumberFormat="1" applyBorder="1" applyAlignment="1">
      <alignment horizontal="center"/>
    </xf>
    <xf numFmtId="0" fontId="0" fillId="0" borderId="0" xfId="0" applyAlignment="1">
      <alignment horizontal="center"/>
    </xf>
    <xf numFmtId="14" fontId="29" fillId="0" borderId="33" xfId="0" applyNumberFormat="1" applyFont="1" applyBorder="1" applyAlignment="1">
      <alignment horizontal="center" vertical="center"/>
    </xf>
    <xf numFmtId="0" fontId="29" fillId="0" borderId="0" xfId="0" applyFont="1" applyAlignment="1">
      <alignment horizontal="center" vertical="center"/>
    </xf>
    <xf numFmtId="4" fontId="0" fillId="0" borderId="25" xfId="0" applyNumberFormat="1" applyBorder="1" applyAlignment="1">
      <alignment horizontal="center" vertical="center" wrapText="1"/>
    </xf>
    <xf numFmtId="4" fontId="0" fillId="0" borderId="26" xfId="0" applyNumberFormat="1"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3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42" xfId="0" applyNumberFormat="1" applyBorder="1" applyAlignment="1">
      <alignment horizontal="center" vertical="center" wrapText="1"/>
    </xf>
    <xf numFmtId="4" fontId="0" fillId="0" borderId="8" xfId="0" applyNumberFormat="1" applyBorder="1" applyAlignment="1">
      <alignment horizontal="center" vertical="center"/>
    </xf>
    <xf numFmtId="4" fontId="0" fillId="0" borderId="13"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5"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3" xfId="0" applyNumberFormat="1" applyBorder="1" applyAlignment="1">
      <alignment horizontal="center" vertical="center" wrapText="1"/>
    </xf>
    <xf numFmtId="4" fontId="29" fillId="0" borderId="8" xfId="0" applyNumberFormat="1" applyFont="1" applyBorder="1" applyAlignment="1">
      <alignment horizontal="center" vertical="center"/>
    </xf>
    <xf numFmtId="4" fontId="29" fillId="0" borderId="13"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0" borderId="5" xfId="0" applyNumberFormat="1" applyFont="1" applyBorder="1" applyAlignment="1">
      <alignment horizontal="center" vertical="center"/>
    </xf>
    <xf numFmtId="4" fontId="0" fillId="0" borderId="2" xfId="0" applyNumberFormat="1" applyBorder="1" applyAlignment="1">
      <alignment horizontal="center" vertical="center" wrapText="1"/>
    </xf>
    <xf numFmtId="4" fontId="0" fillId="0" borderId="5"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5" xfId="0" applyNumberFormat="1" applyBorder="1" applyAlignment="1">
      <alignment horizontal="center" vertical="center"/>
    </xf>
    <xf numFmtId="4" fontId="0" fillId="0" borderId="21" xfId="0" applyNumberFormat="1" applyBorder="1" applyAlignment="1">
      <alignment horizontal="center" vertical="center" wrapText="1"/>
    </xf>
    <xf numFmtId="4" fontId="0" fillId="0" borderId="27" xfId="0" applyNumberFormat="1"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4" fontId="0" fillId="0" borderId="12"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5"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5" xfId="0" applyFont="1" applyBorder="1" applyAlignment="1">
      <alignment horizontal="center" vertical="center" wrapText="1"/>
    </xf>
    <xf numFmtId="0" fontId="31" fillId="7" borderId="8" xfId="0" applyFont="1" applyFill="1" applyBorder="1" applyAlignment="1">
      <alignment horizontal="center" vertical="center" wrapText="1"/>
    </xf>
    <xf numFmtId="0" fontId="31" fillId="7" borderId="10" xfId="0" applyFont="1" applyFill="1" applyBorder="1" applyAlignment="1">
      <alignment horizontal="center" vertical="center" wrapText="1"/>
    </xf>
    <xf numFmtId="0" fontId="31" fillId="7" borderId="5" xfId="0" applyFont="1" applyFill="1" applyBorder="1" applyAlignment="1">
      <alignment horizontal="center" vertical="center" wrapText="1"/>
    </xf>
    <xf numFmtId="49" fontId="0" fillId="0" borderId="13" xfId="0" applyNumberFormat="1" applyBorder="1" applyAlignment="1">
      <alignment horizontal="center" vertical="center" wrapText="1"/>
    </xf>
    <xf numFmtId="49" fontId="0" fillId="0" borderId="2" xfId="0" applyNumberFormat="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29" fillId="0" borderId="7"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0" fontId="0" fillId="0" borderId="13" xfId="0" applyBorder="1" applyAlignment="1">
      <alignment horizontal="center" vertical="center" wrapText="1"/>
    </xf>
    <xf numFmtId="49" fontId="29" fillId="7" borderId="10" xfId="0" applyNumberFormat="1" applyFont="1" applyFill="1" applyBorder="1" applyAlignment="1">
      <alignment horizontal="center" vertical="center" wrapText="1"/>
    </xf>
    <xf numFmtId="49" fontId="29" fillId="7"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29" fillId="7" borderId="1" xfId="0" applyNumberFormat="1" applyFont="1" applyFill="1" applyBorder="1" applyAlignment="1">
      <alignment horizontal="center" vertical="center" wrapText="1"/>
    </xf>
    <xf numFmtId="49" fontId="29" fillId="7" borderId="12" xfId="0" applyNumberFormat="1" applyFont="1" applyFill="1" applyBorder="1" applyAlignment="1">
      <alignment horizontal="center" vertical="center" wrapText="1"/>
    </xf>
    <xf numFmtId="164" fontId="29" fillId="0" borderId="13" xfId="0" applyNumberFormat="1" applyFont="1" applyBorder="1" applyAlignment="1">
      <alignment horizontal="center" vertical="center" wrapText="1"/>
    </xf>
    <xf numFmtId="164" fontId="29"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0" xfId="0" applyFont="1" applyBorder="1" applyAlignment="1">
      <alignment horizontal="center" vertical="center" wrapText="1"/>
    </xf>
    <xf numFmtId="0" fontId="0" fillId="0" borderId="33" xfId="0" applyBorder="1" applyAlignment="1">
      <alignment horizontal="center" vertical="center" wrapText="1"/>
    </xf>
    <xf numFmtId="0" fontId="0" fillId="3" borderId="1" xfId="0" applyFill="1" applyBorder="1" applyAlignment="1">
      <alignment horizontal="center" vertical="center" wrapText="1"/>
    </xf>
    <xf numFmtId="164" fontId="0" fillId="0" borderId="1" xfId="0" applyNumberFormat="1" applyBorder="1" applyAlignment="1">
      <alignment horizontal="center" vertical="center" wrapText="1"/>
    </xf>
    <xf numFmtId="0" fontId="35" fillId="0" borderId="1" xfId="0" applyFont="1"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164" fontId="0" fillId="0" borderId="2" xfId="0" applyNumberFormat="1" applyBorder="1" applyAlignment="1">
      <alignment horizontal="center" vertical="center"/>
    </xf>
    <xf numFmtId="164" fontId="0" fillId="0" borderId="5" xfId="0" applyNumberFormat="1" applyBorder="1" applyAlignment="1">
      <alignment horizontal="center" vertical="center"/>
    </xf>
    <xf numFmtId="0" fontId="29" fillId="2" borderId="2"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35" fillId="0" borderId="14" xfId="0" applyFont="1" applyBorder="1" applyAlignment="1">
      <alignment horizontal="center" vertical="center"/>
    </xf>
    <xf numFmtId="0" fontId="35" fillId="0" borderId="36" xfId="0" applyFont="1" applyBorder="1" applyAlignment="1">
      <alignment horizontal="center" vertical="center"/>
    </xf>
    <xf numFmtId="0" fontId="29" fillId="0" borderId="13" xfId="0" applyFont="1" applyBorder="1" applyAlignment="1">
      <alignment horizontal="center" vertical="center" wrapText="1"/>
    </xf>
    <xf numFmtId="4" fontId="0" fillId="0" borderId="10" xfId="0" applyNumberFormat="1" applyBorder="1" applyAlignment="1">
      <alignment horizontal="center" vertical="center" wrapText="1"/>
    </xf>
    <xf numFmtId="0" fontId="0" fillId="0" borderId="20" xfId="0" applyBorder="1" applyAlignment="1">
      <alignment wrapText="1"/>
    </xf>
    <xf numFmtId="0" fontId="0" fillId="0" borderId="23" xfId="0" applyBorder="1" applyAlignment="1">
      <alignment wrapText="1"/>
    </xf>
    <xf numFmtId="0" fontId="0" fillId="0" borderId="43" xfId="0" applyBorder="1" applyAlignment="1">
      <alignment wrapText="1"/>
    </xf>
    <xf numFmtId="0" fontId="14" fillId="0" borderId="21" xfId="0" applyFont="1" applyBorder="1" applyAlignment="1">
      <alignment horizontal="center" vertical="center" wrapText="1"/>
    </xf>
    <xf numFmtId="0" fontId="14" fillId="0" borderId="26" xfId="0" applyFont="1" applyBorder="1" applyAlignment="1">
      <alignment horizontal="center" vertical="center" wrapText="1"/>
    </xf>
    <xf numFmtId="0" fontId="29" fillId="3" borderId="13"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0" borderId="13" xfId="0" applyFont="1" applyBorder="1" applyAlignment="1">
      <alignment horizontal="center" vertical="center"/>
    </xf>
    <xf numFmtId="0" fontId="29" fillId="0" borderId="1" xfId="0" applyFont="1" applyBorder="1" applyAlignment="1">
      <alignment horizontal="center" vertical="center"/>
    </xf>
    <xf numFmtId="0" fontId="29" fillId="3" borderId="2" xfId="0" applyFont="1" applyFill="1" applyBorder="1" applyAlignment="1">
      <alignment horizontal="center" vertical="center" wrapText="1"/>
    </xf>
    <xf numFmtId="164" fontId="29" fillId="0" borderId="2" xfId="0" applyNumberFormat="1" applyFont="1" applyBorder="1" applyAlignment="1">
      <alignment horizontal="center" vertical="center" wrapText="1"/>
    </xf>
    <xf numFmtId="0" fontId="29" fillId="0" borderId="31" xfId="0" applyFont="1" applyBorder="1" applyAlignment="1">
      <alignment horizontal="center" vertical="center"/>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34" fillId="0" borderId="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34" fillId="0" borderId="2" xfId="0" applyFont="1" applyBorder="1" applyAlignment="1">
      <alignment horizontal="center" vertical="center"/>
    </xf>
    <xf numFmtId="0" fontId="34" fillId="0" borderId="10" xfId="0" applyFont="1" applyBorder="1" applyAlignment="1">
      <alignment horizontal="center" vertical="center"/>
    </xf>
    <xf numFmtId="0" fontId="34" fillId="0" borderId="5" xfId="0" applyFont="1"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20" fillId="0" borderId="10" xfId="0" applyFont="1" applyBorder="1" applyAlignment="1">
      <alignment horizontal="center" vertical="center" wrapText="1"/>
    </xf>
    <xf numFmtId="0" fontId="20" fillId="0" borderId="5"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7" xfId="0" applyFont="1" applyBorder="1" applyAlignment="1">
      <alignment horizontal="center" vertical="center" wrapText="1"/>
    </xf>
    <xf numFmtId="164" fontId="0" fillId="0" borderId="3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32" xfId="0" applyNumberFormat="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6" xfId="0" applyFill="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13" xfId="0" applyNumberFormat="1"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wrapText="1"/>
    </xf>
    <xf numFmtId="0" fontId="31" fillId="0" borderId="2" xfId="0" applyFont="1" applyBorder="1" applyAlignment="1">
      <alignment horizontal="center"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9" xfId="0" applyFill="1" applyBorder="1" applyAlignment="1">
      <alignment horizontal="center" vertical="center" wrapText="1"/>
    </xf>
    <xf numFmtId="164" fontId="0" fillId="0" borderId="7" xfId="0" applyNumberFormat="1" applyBorder="1" applyAlignment="1">
      <alignment horizontal="center" vertical="center" wrapText="1"/>
    </xf>
    <xf numFmtId="164" fontId="0" fillId="0" borderId="12" xfId="0" applyNumberForma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wrapText="1"/>
    </xf>
    <xf numFmtId="0" fontId="0" fillId="0" borderId="17" xfId="0" applyBorder="1" applyAlignment="1">
      <alignment wrapText="1"/>
    </xf>
    <xf numFmtId="0" fontId="15"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20" fillId="2" borderId="7"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8" fillId="0" borderId="0" xfId="0" applyFont="1" applyAlignment="1">
      <alignment horizontal="left"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0" borderId="13" xfId="0" applyFont="1" applyBorder="1" applyAlignment="1">
      <alignment horizontal="center" vertical="center" wrapText="1"/>
    </xf>
    <xf numFmtId="0" fontId="0" fillId="3" borderId="2" xfId="0" applyFill="1" applyBorder="1" applyAlignment="1">
      <alignment horizontal="center" vertical="center" wrapText="1"/>
    </xf>
    <xf numFmtId="164" fontId="0" fillId="0" borderId="2" xfId="0" applyNumberFormat="1" applyBorder="1" applyAlignment="1">
      <alignment horizontal="center" vertical="center" wrapText="1"/>
    </xf>
    <xf numFmtId="0" fontId="26" fillId="0" borderId="0" xfId="0" applyFont="1" applyAlignment="1">
      <alignment horizontal="left" vertical="top" wrapText="1"/>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27" fillId="0" borderId="0" xfId="0" applyFont="1" applyAlignment="1">
      <alignment horizontal="left" vertical="top" wrapText="1"/>
    </xf>
    <xf numFmtId="0" fontId="17" fillId="0" borderId="8" xfId="0" applyFont="1" applyBorder="1" applyAlignment="1">
      <alignment horizontal="center" vertical="top" wrapText="1"/>
    </xf>
    <xf numFmtId="0" fontId="17" fillId="0" borderId="5" xfId="0" applyFont="1" applyBorder="1" applyAlignment="1">
      <alignment horizontal="center" vertical="top" wrapText="1"/>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17" fillId="0" borderId="2" xfId="0" applyFont="1" applyBorder="1" applyAlignment="1">
      <alignment horizontal="center" vertical="top" wrapText="1"/>
    </xf>
    <xf numFmtId="0" fontId="17" fillId="0" borderId="10" xfId="0" applyFont="1" applyBorder="1" applyAlignment="1">
      <alignment horizontal="center" vertical="top" wrapText="1"/>
    </xf>
    <xf numFmtId="0" fontId="17" fillId="0" borderId="2" xfId="0" applyFont="1" applyBorder="1" applyAlignment="1">
      <alignment horizontal="left" vertical="top"/>
    </xf>
    <xf numFmtId="0" fontId="17" fillId="0" borderId="10" xfId="0" applyFont="1" applyBorder="1" applyAlignment="1">
      <alignment horizontal="left" vertical="top"/>
    </xf>
    <xf numFmtId="0" fontId="17" fillId="0" borderId="1" xfId="0" applyFont="1" applyBorder="1" applyAlignment="1">
      <alignment horizontal="center" vertical="top" wrapText="1"/>
    </xf>
    <xf numFmtId="0" fontId="17" fillId="0" borderId="3" xfId="0" applyFont="1" applyBorder="1" applyAlignment="1">
      <alignment horizontal="center" vertical="top" wrapText="1"/>
    </xf>
    <xf numFmtId="0" fontId="17" fillId="0" borderId="1" xfId="0" applyFont="1" applyBorder="1" applyAlignment="1">
      <alignment horizontal="center" vertical="top"/>
    </xf>
    <xf numFmtId="0" fontId="17" fillId="0" borderId="4" xfId="0" applyFont="1" applyBorder="1" applyAlignment="1">
      <alignment horizontal="center" vertical="top" wrapText="1"/>
    </xf>
    <xf numFmtId="0" fontId="14" fillId="0" borderId="35"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42" xfId="0" applyFont="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wrapText="1"/>
    </xf>
    <xf numFmtId="0" fontId="31" fillId="0" borderId="13" xfId="0" applyFont="1" applyBorder="1" applyAlignment="1">
      <alignment horizontal="center" vertical="center" wrapText="1"/>
    </xf>
    <xf numFmtId="2" fontId="42" fillId="0" borderId="1" xfId="0" applyNumberFormat="1" applyFont="1" applyBorder="1" applyAlignment="1">
      <alignment horizontal="left" vertical="center" wrapText="1"/>
    </xf>
    <xf numFmtId="0" fontId="34" fillId="6" borderId="8"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0" fillId="0" borderId="17" xfId="0" applyBorder="1" applyAlignment="1">
      <alignment horizontal="center"/>
    </xf>
    <xf numFmtId="0" fontId="0" fillId="0" borderId="20" xfId="0" applyBorder="1" applyAlignment="1">
      <alignment horizontal="center"/>
    </xf>
    <xf numFmtId="4" fontId="0" fillId="0" borderId="30" xfId="0" applyNumberFormat="1" applyBorder="1" applyAlignment="1">
      <alignment horizontal="center" vertical="center" wrapText="1"/>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4" fontId="29" fillId="0" borderId="10" xfId="0" applyNumberFormat="1" applyFont="1" applyBorder="1" applyAlignment="1">
      <alignment horizontal="center" vertical="center"/>
    </xf>
    <xf numFmtId="4" fontId="29" fillId="0" borderId="5" xfId="0" applyNumberFormat="1" applyFont="1" applyBorder="1" applyAlignment="1">
      <alignment horizontal="center" vertical="center"/>
    </xf>
    <xf numFmtId="4" fontId="0" fillId="9" borderId="10" xfId="0" applyNumberFormat="1" applyFill="1" applyBorder="1" applyAlignment="1">
      <alignment horizontal="center" vertical="center"/>
    </xf>
    <xf numFmtId="4" fontId="0" fillId="9" borderId="5" xfId="0" applyNumberFormat="1" applyFill="1" applyBorder="1" applyAlignment="1">
      <alignment horizontal="center" vertical="center"/>
    </xf>
    <xf numFmtId="49" fontId="29" fillId="9" borderId="2" xfId="0" applyNumberFormat="1" applyFont="1" applyFill="1" applyBorder="1" applyAlignment="1">
      <alignment horizontal="center" vertical="center" wrapText="1"/>
    </xf>
    <xf numFmtId="49" fontId="29" fillId="9" borderId="5" xfId="0" applyNumberFormat="1" applyFont="1"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5" xfId="0" applyNumberFormat="1" applyFill="1" applyBorder="1" applyAlignment="1">
      <alignment horizontal="center" vertical="center" wrapText="1"/>
    </xf>
    <xf numFmtId="4" fontId="0" fillId="9" borderId="2" xfId="0" applyNumberFormat="1" applyFill="1" applyBorder="1" applyAlignment="1">
      <alignment horizontal="center" vertical="center"/>
    </xf>
    <xf numFmtId="4" fontId="0" fillId="0" borderId="10" xfId="0" applyNumberFormat="1" applyBorder="1" applyAlignment="1">
      <alignment horizontal="center" vertical="center"/>
    </xf>
    <xf numFmtId="49" fontId="0" fillId="0" borderId="25"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12" fillId="0" borderId="8" xfId="0" applyNumberFormat="1" applyFont="1" applyBorder="1" applyAlignment="1">
      <alignment horizontal="center" vertical="center" wrapText="1"/>
    </xf>
    <xf numFmtId="4" fontId="29" fillId="0" borderId="8" xfId="0" applyNumberFormat="1" applyFont="1" applyBorder="1" applyAlignment="1">
      <alignment horizontal="center" vertical="center" wrapText="1"/>
    </xf>
    <xf numFmtId="4" fontId="29" fillId="0" borderId="10" xfId="0" applyNumberFormat="1" applyFont="1" applyBorder="1" applyAlignment="1">
      <alignment horizontal="center" vertical="center" wrapText="1"/>
    </xf>
    <xf numFmtId="4" fontId="29" fillId="0" borderId="5" xfId="0" applyNumberFormat="1" applyFont="1" applyBorder="1" applyAlignment="1">
      <alignment horizontal="center" vertical="center" wrapText="1"/>
    </xf>
    <xf numFmtId="49" fontId="17" fillId="0" borderId="16" xfId="0" applyNumberFormat="1" applyFont="1" applyBorder="1" applyAlignment="1">
      <alignment horizontal="left" vertical="top" wrapText="1"/>
    </xf>
    <xf numFmtId="49" fontId="17" fillId="0" borderId="18" xfId="0" applyNumberFormat="1" applyFont="1" applyBorder="1" applyAlignment="1">
      <alignment horizontal="left" vertical="top" wrapText="1"/>
    </xf>
    <xf numFmtId="49" fontId="17" fillId="0" borderId="7" xfId="0" applyNumberFormat="1" applyFont="1" applyBorder="1" applyAlignment="1">
      <alignment horizontal="center" vertical="center" wrapText="1"/>
    </xf>
    <xf numFmtId="49" fontId="17" fillId="0" borderId="7" xfId="0" applyNumberFormat="1" applyFont="1" applyBorder="1" applyAlignment="1">
      <alignment horizontal="center" vertical="center"/>
    </xf>
    <xf numFmtId="49" fontId="17" fillId="0" borderId="12" xfId="0" applyNumberFormat="1" applyFont="1" applyBorder="1" applyAlignment="1">
      <alignment horizontal="center" vertical="center" wrapText="1"/>
    </xf>
    <xf numFmtId="4" fontId="17" fillId="0" borderId="7" xfId="0" applyNumberFormat="1" applyFont="1" applyBorder="1" applyAlignment="1">
      <alignment horizontal="center" vertical="center" wrapText="1"/>
    </xf>
    <xf numFmtId="4" fontId="17" fillId="0" borderId="12"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9" fontId="0" fillId="7" borderId="2" xfId="0" applyNumberFormat="1" applyFill="1" applyBorder="1" applyAlignment="1">
      <alignment horizontal="center" vertical="center" wrapText="1"/>
    </xf>
    <xf numFmtId="49" fontId="0" fillId="7" borderId="10" xfId="0" applyNumberFormat="1" applyFill="1" applyBorder="1" applyAlignment="1">
      <alignment horizontal="center" vertical="center" wrapText="1"/>
    </xf>
    <xf numFmtId="49" fontId="0" fillId="7" borderId="5" xfId="0" applyNumberFormat="1" applyFill="1" applyBorder="1" applyAlignment="1">
      <alignment horizontal="center" vertical="center" wrapText="1"/>
    </xf>
    <xf numFmtId="4" fontId="29" fillId="0" borderId="13" xfId="0" applyNumberFormat="1" applyFont="1" applyBorder="1" applyAlignment="1">
      <alignment horizontal="center" vertical="center" wrapText="1"/>
    </xf>
    <xf numFmtId="0" fontId="29" fillId="0" borderId="33" xfId="0" applyFont="1" applyBorder="1" applyAlignment="1">
      <alignment horizontal="center" vertical="center" wrapText="1"/>
    </xf>
    <xf numFmtId="49" fontId="0" fillId="4" borderId="20" xfId="0" applyNumberFormat="1" applyFill="1" applyBorder="1" applyAlignment="1">
      <alignment horizontal="left" vertical="center" wrapText="1"/>
    </xf>
    <xf numFmtId="49" fontId="0" fillId="4" borderId="32" xfId="0" applyNumberFormat="1" applyFill="1" applyBorder="1" applyAlignment="1">
      <alignment horizontal="left" vertical="center" wrapText="1"/>
    </xf>
    <xf numFmtId="49" fontId="0" fillId="8" borderId="23" xfId="0" applyNumberFormat="1" applyFill="1" applyBorder="1" applyAlignment="1">
      <alignment horizontal="left" vertical="top" wrapText="1"/>
    </xf>
    <xf numFmtId="49" fontId="0" fillId="8" borderId="32" xfId="0" applyNumberFormat="1" applyFill="1" applyBorder="1" applyAlignment="1">
      <alignment horizontal="left" vertical="top" wrapText="1"/>
    </xf>
    <xf numFmtId="49" fontId="0" fillId="4" borderId="30" xfId="0" applyNumberFormat="1" applyFill="1" applyBorder="1" applyAlignment="1">
      <alignment horizontal="left" vertical="center" wrapText="1"/>
    </xf>
    <xf numFmtId="49" fontId="0" fillId="8" borderId="20" xfId="0" applyNumberFormat="1" applyFill="1" applyBorder="1" applyAlignment="1">
      <alignment horizontal="left" vertical="center" wrapText="1"/>
    </xf>
    <xf numFmtId="49" fontId="0" fillId="8" borderId="32" xfId="0" applyNumberFormat="1" applyFill="1" applyBorder="1" applyAlignment="1">
      <alignment horizontal="left" vertical="center" wrapText="1"/>
    </xf>
    <xf numFmtId="0" fontId="0" fillId="0" borderId="0" xfId="0" applyAlignment="1">
      <alignment horizontal="center" wrapText="1"/>
    </xf>
    <xf numFmtId="4" fontId="0" fillId="8" borderId="2" xfId="0" applyNumberFormat="1" applyFill="1" applyBorder="1" applyAlignment="1">
      <alignment horizontal="center" vertical="center" wrapText="1"/>
    </xf>
    <xf numFmtId="4" fontId="0" fillId="8" borderId="10" xfId="0" applyNumberFormat="1" applyFill="1" applyBorder="1" applyAlignment="1">
      <alignment horizontal="center" vertical="center" wrapText="1"/>
    </xf>
    <xf numFmtId="4" fontId="0" fillId="8" borderId="13"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10"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13" xfId="0" applyNumberFormat="1" applyFill="1" applyBorder="1" applyAlignment="1">
      <alignment horizontal="center" vertical="center" wrapText="1"/>
    </xf>
    <xf numFmtId="4" fontId="0" fillId="4" borderId="1" xfId="0" applyNumberFormat="1" applyFill="1" applyBorder="1" applyAlignment="1">
      <alignment horizontal="center" vertical="center"/>
    </xf>
    <xf numFmtId="4" fontId="29" fillId="8" borderId="2" xfId="0" applyNumberFormat="1" applyFont="1" applyFill="1" applyBorder="1" applyAlignment="1">
      <alignment horizontal="center" vertical="center"/>
    </xf>
    <xf numFmtId="4" fontId="29" fillId="8" borderId="10" xfId="0" applyNumberFormat="1" applyFont="1" applyFill="1" applyBorder="1" applyAlignment="1">
      <alignment horizontal="center" vertical="center"/>
    </xf>
    <xf numFmtId="4" fontId="29" fillId="8" borderId="13" xfId="0" applyNumberFormat="1" applyFont="1" applyFill="1" applyBorder="1" applyAlignment="1">
      <alignment horizontal="center" vertical="center"/>
    </xf>
    <xf numFmtId="4" fontId="29" fillId="8" borderId="1" xfId="0" applyNumberFormat="1"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3" xfId="0" applyFill="1" applyBorder="1" applyAlignment="1">
      <alignment horizontal="center" vertical="center" wrapText="1"/>
    </xf>
    <xf numFmtId="4" fontId="29" fillId="4" borderId="8" xfId="0" applyNumberFormat="1" applyFont="1" applyFill="1" applyBorder="1" applyAlignment="1">
      <alignment horizontal="center" vertical="center"/>
    </xf>
    <xf numFmtId="4" fontId="29" fillId="4" borderId="10" xfId="0" applyNumberFormat="1" applyFont="1" applyFill="1" applyBorder="1" applyAlignment="1">
      <alignment horizontal="center" vertical="center"/>
    </xf>
    <xf numFmtId="4" fontId="29" fillId="4" borderId="13" xfId="0" applyNumberFormat="1" applyFont="1" applyFill="1" applyBorder="1" applyAlignment="1">
      <alignment horizontal="center" vertical="center"/>
    </xf>
    <xf numFmtId="4" fontId="29" fillId="4" borderId="2" xfId="0" applyNumberFormat="1" applyFont="1" applyFill="1" applyBorder="1" applyAlignment="1">
      <alignment horizontal="center" vertical="center"/>
    </xf>
    <xf numFmtId="49" fontId="29" fillId="0" borderId="2" xfId="0" applyNumberFormat="1" applyFont="1" applyBorder="1" applyAlignment="1">
      <alignment horizontal="center" vertical="center" wrapText="1"/>
    </xf>
    <xf numFmtId="49" fontId="29" fillId="0" borderId="10" xfId="0" applyNumberFormat="1" applyFont="1" applyBorder="1" applyAlignment="1">
      <alignment horizontal="center" vertical="center" wrapText="1"/>
    </xf>
    <xf numFmtId="49" fontId="29" fillId="0" borderId="13" xfId="0" applyNumberFormat="1" applyFont="1" applyBorder="1" applyAlignment="1">
      <alignment horizontal="center" vertical="center" wrapText="1"/>
    </xf>
    <xf numFmtId="4" fontId="0" fillId="4" borderId="8" xfId="0" applyNumberFormat="1" applyFill="1" applyBorder="1" applyAlignment="1">
      <alignment horizontal="center" vertical="center"/>
    </xf>
    <xf numFmtId="4" fontId="0" fillId="4" borderId="10" xfId="0" applyNumberFormat="1" applyFill="1" applyBorder="1" applyAlignment="1">
      <alignment horizontal="center" vertical="center"/>
    </xf>
    <xf numFmtId="4" fontId="0" fillId="4" borderId="13" xfId="0" applyNumberFormat="1" applyFill="1" applyBorder="1" applyAlignment="1">
      <alignment horizontal="center" vertical="center"/>
    </xf>
    <xf numFmtId="0" fontId="17" fillId="0" borderId="5" xfId="0" applyFont="1" applyBorder="1" applyAlignment="1">
      <alignment horizontal="left" vertical="top" wrapText="1"/>
    </xf>
    <xf numFmtId="4" fontId="29" fillId="8" borderId="1" xfId="0" applyNumberFormat="1" applyFont="1" applyFill="1" applyBorder="1" applyAlignment="1">
      <alignment horizontal="center" vertical="center"/>
    </xf>
    <xf numFmtId="4" fontId="29" fillId="8" borderId="12" xfId="0" applyNumberFormat="1" applyFont="1" applyFill="1" applyBorder="1" applyAlignment="1">
      <alignment horizontal="center" vertical="center"/>
    </xf>
    <xf numFmtId="4" fontId="29" fillId="8" borderId="12" xfId="0" applyNumberFormat="1" applyFont="1" applyFill="1" applyBorder="1" applyAlignment="1">
      <alignment horizontal="center" vertical="center" wrapText="1"/>
    </xf>
    <xf numFmtId="4" fontId="29" fillId="4" borderId="1" xfId="0" applyNumberFormat="1" applyFont="1" applyFill="1" applyBorder="1" applyAlignment="1">
      <alignment horizontal="center" vertical="center" wrapText="1"/>
    </xf>
    <xf numFmtId="4" fontId="29" fillId="4" borderId="1" xfId="0" applyNumberFormat="1" applyFont="1" applyFill="1" applyBorder="1" applyAlignment="1">
      <alignment horizontal="center" vertical="center"/>
    </xf>
    <xf numFmtId="4" fontId="0" fillId="4" borderId="7" xfId="0" applyNumberFormat="1" applyFill="1" applyBorder="1" applyAlignment="1">
      <alignment horizontal="center" vertical="center"/>
    </xf>
    <xf numFmtId="4" fontId="0" fillId="4" borderId="2" xfId="0" applyNumberFormat="1" applyFill="1" applyBorder="1" applyAlignment="1">
      <alignment horizontal="center" vertical="center"/>
    </xf>
    <xf numFmtId="4" fontId="0" fillId="8" borderId="1"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0" fontId="17" fillId="0" borderId="41" xfId="0" applyFont="1" applyBorder="1" applyAlignment="1">
      <alignment horizontal="center" vertical="top" wrapText="1"/>
    </xf>
    <xf numFmtId="0" fontId="17" fillId="0" borderId="3" xfId="0" applyFont="1" applyBorder="1" applyAlignment="1">
      <alignment horizontal="center" vertical="top"/>
    </xf>
    <xf numFmtId="0" fontId="17" fillId="0" borderId="4" xfId="0" applyFont="1" applyBorder="1" applyAlignment="1">
      <alignment horizontal="center" vertical="top"/>
    </xf>
    <xf numFmtId="49" fontId="29" fillId="0" borderId="12" xfId="0" applyNumberFormat="1" applyFont="1" applyBorder="1" applyAlignment="1">
      <alignment horizontal="center" vertical="center" wrapText="1"/>
    </xf>
    <xf numFmtId="0" fontId="0" fillId="8" borderId="5"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8" xfId="0" applyNumberFormat="1" applyFill="1" applyBorder="1" applyAlignment="1">
      <alignment horizontal="center" vertical="center" wrapText="1"/>
    </xf>
    <xf numFmtId="0" fontId="0" fillId="4" borderId="10" xfId="0" applyFill="1" applyBorder="1" applyAlignment="1">
      <alignment horizontal="center" vertical="center" wrapText="1"/>
    </xf>
    <xf numFmtId="4" fontId="0" fillId="4" borderId="1" xfId="0" applyNumberFormat="1" applyFill="1" applyBorder="1" applyAlignment="1">
      <alignment horizontal="center" vertical="center" wrapText="1"/>
    </xf>
    <xf numFmtId="3" fontId="17" fillId="0" borderId="2" xfId="0" applyNumberFormat="1" applyFont="1" applyBorder="1" applyAlignment="1">
      <alignment horizontal="center" vertical="top" wrapText="1"/>
    </xf>
    <xf numFmtId="3" fontId="17" fillId="0" borderId="5" xfId="0" applyNumberFormat="1" applyFont="1" applyBorder="1" applyAlignment="1">
      <alignment horizontal="center" vertical="top" wrapText="1"/>
    </xf>
    <xf numFmtId="0" fontId="17" fillId="0" borderId="5" xfId="0" applyFont="1" applyBorder="1" applyAlignment="1">
      <alignment horizontal="center" vertical="top"/>
    </xf>
    <xf numFmtId="0" fontId="19" fillId="2" borderId="33"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17" fillId="0" borderId="13" xfId="0" applyFont="1" applyBorder="1" applyAlignment="1">
      <alignment horizontal="center" vertical="top" wrapText="1"/>
    </xf>
    <xf numFmtId="0" fontId="17" fillId="0" borderId="13" xfId="0" applyFont="1" applyBorder="1" applyAlignment="1">
      <alignment horizontal="left" vertical="top"/>
    </xf>
    <xf numFmtId="0" fontId="29" fillId="2" borderId="33" xfId="0" applyFont="1" applyFill="1" applyBorder="1" applyAlignment="1">
      <alignment horizontal="center" vertical="center" wrapText="1"/>
    </xf>
    <xf numFmtId="0" fontId="17" fillId="0" borderId="7" xfId="0" applyFont="1" applyBorder="1" applyAlignment="1">
      <alignment horizontal="center" vertical="top"/>
    </xf>
    <xf numFmtId="3" fontId="77" fillId="2" borderId="1" xfId="0" applyNumberFormat="1" applyFont="1" applyFill="1" applyBorder="1" applyAlignment="1">
      <alignment horizontal="center" vertical="center" wrapText="1"/>
    </xf>
    <xf numFmtId="2" fontId="77" fillId="0" borderId="62" xfId="0" applyNumberFormat="1" applyFont="1" applyBorder="1" applyAlignment="1">
      <alignment horizontal="left" vertical="center" wrapText="1"/>
    </xf>
    <xf numFmtId="2" fontId="77" fillId="0" borderId="45" xfId="0" applyNumberFormat="1" applyFont="1" applyBorder="1" applyAlignment="1">
      <alignment horizontal="left" vertical="center" wrapText="1"/>
    </xf>
    <xf numFmtId="3" fontId="77" fillId="2" borderId="2" xfId="0" applyNumberFormat="1" applyFont="1" applyFill="1" applyBorder="1" applyAlignment="1">
      <alignment horizontal="center" vertical="center" wrapText="1"/>
    </xf>
    <xf numFmtId="3" fontId="77" fillId="2" borderId="10" xfId="0" applyNumberFormat="1" applyFont="1" applyFill="1" applyBorder="1" applyAlignment="1">
      <alignment horizontal="center" vertical="center" wrapText="1"/>
    </xf>
    <xf numFmtId="3" fontId="77" fillId="2" borderId="13" xfId="0" applyNumberFormat="1" applyFont="1" applyFill="1" applyBorder="1" applyAlignment="1">
      <alignment horizontal="center" vertical="center" wrapText="1"/>
    </xf>
    <xf numFmtId="49" fontId="77" fillId="3" borderId="2" xfId="0" applyNumberFormat="1" applyFont="1" applyFill="1" applyBorder="1" applyAlignment="1">
      <alignment horizontal="center" vertical="center" wrapText="1"/>
    </xf>
    <xf numFmtId="49" fontId="77" fillId="3" borderId="10" xfId="0" applyNumberFormat="1" applyFont="1" applyFill="1" applyBorder="1" applyAlignment="1">
      <alignment horizontal="center" vertical="center" wrapText="1"/>
    </xf>
    <xf numFmtId="49" fontId="77" fillId="3" borderId="13" xfId="0" applyNumberFormat="1"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42" xfId="0" applyFont="1" applyFill="1" applyBorder="1" applyAlignment="1">
      <alignment horizontal="center" vertical="center" wrapText="1"/>
    </xf>
    <xf numFmtId="3" fontId="91" fillId="3" borderId="2" xfId="0" applyNumberFormat="1" applyFont="1" applyFill="1" applyBorder="1" applyAlignment="1">
      <alignment horizontal="center" vertical="center" wrapText="1"/>
    </xf>
    <xf numFmtId="3" fontId="91" fillId="3" borderId="13" xfId="0" applyNumberFormat="1" applyFont="1" applyFill="1" applyBorder="1" applyAlignment="1">
      <alignment horizontal="center" vertical="center" wrapText="1"/>
    </xf>
    <xf numFmtId="49" fontId="91" fillId="3" borderId="2" xfId="0" applyNumberFormat="1" applyFont="1" applyFill="1" applyBorder="1" applyAlignment="1">
      <alignment horizontal="center" vertical="center" wrapText="1"/>
    </xf>
    <xf numFmtId="49" fontId="91" fillId="3" borderId="13" xfId="0" applyNumberFormat="1" applyFont="1" applyFill="1" applyBorder="1" applyAlignment="1">
      <alignment horizontal="center" vertical="center" wrapText="1"/>
    </xf>
    <xf numFmtId="0" fontId="17" fillId="0" borderId="8" xfId="0" applyFont="1" applyBorder="1" applyAlignment="1">
      <alignment horizontal="center" vertical="top"/>
    </xf>
    <xf numFmtId="3" fontId="77" fillId="2" borderId="7" xfId="0" applyNumberFormat="1"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58" xfId="0" applyFont="1" applyBorder="1" applyAlignment="1">
      <alignment horizontal="left" vertical="center"/>
    </xf>
    <xf numFmtId="0" fontId="17" fillId="0" borderId="19" xfId="0" applyFont="1" applyBorder="1" applyAlignment="1">
      <alignment horizontal="left" vertical="center"/>
    </xf>
    <xf numFmtId="49" fontId="29" fillId="3" borderId="1" xfId="0" applyNumberFormat="1" applyFont="1" applyFill="1" applyBorder="1" applyAlignment="1">
      <alignment horizontal="center" vertical="center" wrapText="1"/>
    </xf>
    <xf numFmtId="49" fontId="29" fillId="3" borderId="12" xfId="0" applyNumberFormat="1" applyFont="1" applyFill="1" applyBorder="1" applyAlignment="1">
      <alignment horizontal="center" vertical="center" wrapText="1"/>
    </xf>
    <xf numFmtId="0" fontId="17" fillId="0" borderId="49" xfId="0" applyFont="1" applyBorder="1" applyAlignment="1">
      <alignment horizontal="center" vertical="top" wrapText="1"/>
    </xf>
    <xf numFmtId="0" fontId="17" fillId="0" borderId="29" xfId="0" applyFont="1" applyBorder="1" applyAlignment="1">
      <alignment horizontal="center" vertical="top" wrapText="1"/>
    </xf>
    <xf numFmtId="49" fontId="77" fillId="0" borderId="7" xfId="0" applyNumberFormat="1" applyFont="1" applyBorder="1" applyAlignment="1">
      <alignment horizontal="center" vertical="center" wrapText="1"/>
    </xf>
    <xf numFmtId="49" fontId="77" fillId="0" borderId="1" xfId="0" applyNumberFormat="1" applyFont="1" applyBorder="1" applyAlignment="1">
      <alignment horizontal="center" vertical="center" wrapText="1"/>
    </xf>
    <xf numFmtId="3" fontId="74" fillId="2" borderId="13" xfId="0" applyNumberFormat="1" applyFont="1" applyFill="1" applyBorder="1" applyAlignment="1">
      <alignment horizontal="center" vertical="center"/>
    </xf>
    <xf numFmtId="3" fontId="74" fillId="2" borderId="12" xfId="0" applyNumberFormat="1" applyFont="1" applyFill="1" applyBorder="1" applyAlignment="1">
      <alignment horizontal="center" vertical="center"/>
    </xf>
    <xf numFmtId="3" fontId="29" fillId="0" borderId="1" xfId="0" applyNumberFormat="1" applyFont="1" applyBorder="1" applyAlignment="1">
      <alignment horizontal="center" vertical="center"/>
    </xf>
    <xf numFmtId="3" fontId="29" fillId="0" borderId="12" xfId="0" applyNumberFormat="1" applyFont="1" applyBorder="1" applyAlignment="1">
      <alignment horizontal="center" vertical="center"/>
    </xf>
    <xf numFmtId="49" fontId="74" fillId="2" borderId="13" xfId="0" applyNumberFormat="1" applyFont="1" applyFill="1" applyBorder="1" applyAlignment="1">
      <alignment horizontal="center" vertical="center" wrapText="1"/>
    </xf>
    <xf numFmtId="49" fontId="74" fillId="2" borderId="12" xfId="0" applyNumberFormat="1" applyFont="1" applyFill="1" applyBorder="1" applyAlignment="1">
      <alignment horizontal="center" vertical="center" wrapText="1"/>
    </xf>
    <xf numFmtId="3" fontId="29" fillId="0" borderId="13" xfId="0" applyNumberFormat="1" applyFont="1" applyBorder="1" applyAlignment="1">
      <alignment horizontal="center" vertical="center"/>
    </xf>
    <xf numFmtId="49" fontId="76" fillId="2" borderId="26" xfId="0" applyNumberFormat="1" applyFont="1" applyFill="1" applyBorder="1" applyAlignment="1">
      <alignment horizontal="center" vertical="center" wrapText="1"/>
    </xf>
    <xf numFmtId="49" fontId="76" fillId="2" borderId="11" xfId="0" applyNumberFormat="1" applyFont="1" applyFill="1" applyBorder="1" applyAlignment="1">
      <alignment horizontal="center" vertical="center" wrapText="1"/>
    </xf>
    <xf numFmtId="49" fontId="76" fillId="2" borderId="13" xfId="0" applyNumberFormat="1" applyFont="1" applyFill="1" applyBorder="1" applyAlignment="1">
      <alignment horizontal="center" vertical="center" wrapText="1"/>
    </xf>
    <xf numFmtId="49" fontId="76" fillId="2" borderId="12" xfId="0" applyNumberFormat="1" applyFon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49" fontId="4" fillId="0" borderId="13"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3" fontId="0" fillId="0" borderId="13" xfId="0" applyNumberFormat="1" applyBorder="1" applyAlignment="1">
      <alignment horizontal="center" vertical="center"/>
    </xf>
    <xf numFmtId="3" fontId="0" fillId="0" borderId="1" xfId="0" applyNumberFormat="1" applyBorder="1" applyAlignment="1">
      <alignment horizontal="center" vertical="center"/>
    </xf>
    <xf numFmtId="3" fontId="0" fillId="0" borderId="12" xfId="0" applyNumberFormat="1" applyBorder="1" applyAlignment="1">
      <alignment horizontal="center" vertical="center"/>
    </xf>
    <xf numFmtId="49" fontId="4" fillId="0" borderId="1" xfId="0" applyNumberFormat="1" applyFont="1" applyBorder="1" applyAlignment="1">
      <alignment horizontal="center" vertical="center" wrapText="1"/>
    </xf>
    <xf numFmtId="49" fontId="77" fillId="0" borderId="2" xfId="0" applyNumberFormat="1" applyFont="1" applyBorder="1" applyAlignment="1">
      <alignment horizontal="center" vertical="center" wrapText="1"/>
    </xf>
    <xf numFmtId="49" fontId="77" fillId="0" borderId="10" xfId="0" applyNumberFormat="1" applyFont="1" applyBorder="1" applyAlignment="1">
      <alignment horizontal="center" vertical="center" wrapText="1"/>
    </xf>
    <xf numFmtId="49" fontId="77" fillId="0" borderId="13" xfId="0" applyNumberFormat="1" applyFont="1" applyBorder="1" applyAlignment="1">
      <alignment horizontal="center" vertical="center" wrapText="1"/>
    </xf>
    <xf numFmtId="49" fontId="78" fillId="0" borderId="7" xfId="0" applyNumberFormat="1" applyFont="1" applyBorder="1" applyAlignment="1">
      <alignment horizontal="center" vertical="center" wrapText="1"/>
    </xf>
    <xf numFmtId="49" fontId="78" fillId="0" borderId="1" xfId="0" applyNumberFormat="1" applyFont="1" applyBorder="1" applyAlignment="1">
      <alignment horizontal="center" vertical="center" wrapText="1"/>
    </xf>
    <xf numFmtId="0" fontId="17" fillId="0" borderId="6" xfId="0" applyFont="1" applyBorder="1" applyAlignment="1">
      <alignment horizontal="left" vertical="top" wrapText="1"/>
    </xf>
    <xf numFmtId="0" fontId="17" fillId="0" borderId="15" xfId="0" applyFont="1" applyBorder="1" applyAlignment="1">
      <alignment horizontal="left" vertical="top" wrapText="1"/>
    </xf>
    <xf numFmtId="0" fontId="17" fillId="0" borderId="5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7" xfId="0" applyFont="1" applyBorder="1" applyAlignment="1">
      <alignment horizontal="left" vertical="top" wrapText="1"/>
    </xf>
    <xf numFmtId="49" fontId="29" fillId="0" borderId="6" xfId="0" applyNumberFormat="1" applyFont="1" applyBorder="1" applyAlignment="1">
      <alignment horizontal="center" vertical="center" wrapText="1"/>
    </xf>
    <xf numFmtId="49" fontId="0" fillId="0" borderId="9" xfId="0" applyNumberFormat="1" applyBorder="1" applyAlignment="1">
      <alignment horizontal="center" vertical="center"/>
    </xf>
    <xf numFmtId="49" fontId="0" fillId="0" borderId="11" xfId="0" applyNumberFormat="1" applyBorder="1" applyAlignment="1">
      <alignment horizontal="center" vertical="center"/>
    </xf>
    <xf numFmtId="3" fontId="77" fillId="3" borderId="1" xfId="0" applyNumberFormat="1" applyFont="1" applyFill="1" applyBorder="1" applyAlignment="1">
      <alignment horizontal="center" vertical="center" wrapText="1"/>
    </xf>
    <xf numFmtId="3" fontId="77" fillId="3" borderId="12" xfId="0" applyNumberFormat="1" applyFont="1" applyFill="1" applyBorder="1" applyAlignment="1">
      <alignment horizontal="center" vertical="center" wrapText="1"/>
    </xf>
    <xf numFmtId="0" fontId="17" fillId="0" borderId="6" xfId="0" applyFont="1" applyBorder="1" applyAlignment="1">
      <alignment horizontal="center" vertical="top" wrapText="1"/>
    </xf>
    <xf numFmtId="3" fontId="77" fillId="3" borderId="7" xfId="0" applyNumberFormat="1" applyFont="1" applyFill="1" applyBorder="1" applyAlignment="1">
      <alignment horizontal="center" vertical="center" wrapText="1"/>
    </xf>
    <xf numFmtId="49" fontId="82" fillId="3" borderId="1" xfId="0" applyNumberFormat="1" applyFont="1" applyFill="1" applyBorder="1" applyAlignment="1">
      <alignment horizontal="center" vertical="center" wrapText="1"/>
    </xf>
    <xf numFmtId="49" fontId="82" fillId="3" borderId="12" xfId="0" applyNumberFormat="1" applyFont="1" applyFill="1" applyBorder="1" applyAlignment="1">
      <alignment horizontal="center" vertical="center" wrapText="1"/>
    </xf>
    <xf numFmtId="3" fontId="29" fillId="2" borderId="7" xfId="0" applyNumberFormat="1" applyFont="1" applyFill="1" applyBorder="1" applyAlignment="1">
      <alignment horizontal="center" vertical="center" wrapText="1"/>
    </xf>
    <xf numFmtId="3" fontId="29" fillId="2" borderId="1" xfId="0" applyNumberFormat="1" applyFont="1" applyFill="1" applyBorder="1" applyAlignment="1">
      <alignment horizontal="center" vertical="center" wrapText="1"/>
    </xf>
    <xf numFmtId="3" fontId="29" fillId="2" borderId="12" xfId="0" applyNumberFormat="1"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64" xfId="0" applyFont="1" applyFill="1" applyBorder="1" applyAlignment="1">
      <alignment horizontal="left" vertical="top" wrapText="1"/>
    </xf>
    <xf numFmtId="0" fontId="17" fillId="2" borderId="65" xfId="0" applyFont="1" applyFill="1" applyBorder="1" applyAlignment="1">
      <alignment horizontal="left" vertical="top" wrapText="1"/>
    </xf>
    <xf numFmtId="49" fontId="77" fillId="3" borderId="7" xfId="0" applyNumberFormat="1" applyFont="1" applyFill="1" applyBorder="1" applyAlignment="1">
      <alignment horizontal="center" vertical="center" wrapText="1"/>
    </xf>
    <xf numFmtId="49" fontId="77" fillId="3" borderId="1" xfId="0" applyNumberFormat="1" applyFont="1" applyFill="1" applyBorder="1" applyAlignment="1">
      <alignment horizontal="center" vertical="center" wrapText="1"/>
    </xf>
    <xf numFmtId="49" fontId="18" fillId="0" borderId="33" xfId="0" applyNumberFormat="1" applyFont="1" applyBorder="1" applyAlignment="1">
      <alignment horizontal="left" vertical="center" wrapText="1"/>
    </xf>
    <xf numFmtId="49" fontId="29" fillId="3" borderId="13" xfId="0" applyNumberFormat="1" applyFont="1" applyFill="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27" xfId="0" applyNumberFormat="1" applyFont="1" applyBorder="1" applyAlignment="1">
      <alignment horizontal="center" vertical="center" wrapText="1"/>
    </xf>
    <xf numFmtId="4" fontId="20" fillId="0" borderId="8" xfId="0" applyNumberFormat="1" applyFont="1" applyBorder="1" applyAlignment="1">
      <alignment horizontal="center" vertical="center"/>
    </xf>
    <xf numFmtId="4" fontId="20" fillId="0" borderId="5" xfId="0" applyNumberFormat="1" applyFont="1" applyBorder="1" applyAlignment="1">
      <alignment horizontal="center" vertical="center"/>
    </xf>
    <xf numFmtId="49" fontId="20" fillId="0" borderId="8"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4" borderId="7" xfId="0" applyNumberFormat="1" applyFont="1" applyFill="1" applyBorder="1" applyAlignment="1">
      <alignment horizontal="center" vertical="center" wrapText="1"/>
    </xf>
    <xf numFmtId="49" fontId="20" fillId="4" borderId="12" xfId="0" applyNumberFormat="1" applyFont="1" applyFill="1" applyBorder="1" applyAlignment="1">
      <alignment horizontal="center" vertical="center" wrapText="1"/>
    </xf>
    <xf numFmtId="2" fontId="68" fillId="0" borderId="0" xfId="0" applyNumberFormat="1" applyFont="1" applyAlignment="1">
      <alignment horizontal="center" vertical="center" wrapText="1"/>
    </xf>
    <xf numFmtId="0" fontId="71" fillId="3" borderId="1" xfId="0" applyFont="1" applyFill="1" applyBorder="1" applyAlignment="1">
      <alignment horizontal="center" vertical="center"/>
    </xf>
    <xf numFmtId="0" fontId="71" fillId="3" borderId="1" xfId="0" applyFont="1" applyFill="1" applyBorder="1" applyAlignment="1">
      <alignment vertical="center"/>
    </xf>
    <xf numFmtId="0" fontId="72" fillId="3" borderId="1" xfId="0" applyFont="1" applyFill="1" applyBorder="1" applyAlignment="1">
      <alignment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7" activeCellId="1" sqref="J5 J7"/>
    </sheetView>
  </sheetViews>
  <sheetFormatPr defaultRowHeight="14.4"/>
  <cols>
    <col min="1" max="1" width="15" customWidth="1"/>
    <col min="2" max="2" width="31.109375" customWidth="1"/>
    <col min="3" max="3" width="10.88671875" style="268" customWidth="1"/>
    <col min="4" max="4" width="11" style="268" customWidth="1"/>
    <col min="5" max="5" width="15.109375" style="270" customWidth="1"/>
    <col min="6" max="6" width="12.88671875" style="268" customWidth="1"/>
    <col min="7" max="7" width="12.88671875" style="269" customWidth="1"/>
    <col min="8" max="10" width="23.44140625" style="268" customWidth="1"/>
    <col min="11" max="11" width="54.44140625" style="267" customWidth="1"/>
    <col min="12" max="12" width="21" customWidth="1"/>
    <col min="14" max="14" width="16.33203125" customWidth="1"/>
    <col min="15" max="15" width="8.44140625" customWidth="1"/>
    <col min="16" max="16" width="26.33203125" customWidth="1"/>
    <col min="18" max="18" width="13.33203125" customWidth="1"/>
    <col min="19" max="19" width="10.33203125" bestFit="1" customWidth="1"/>
    <col min="20" max="20" width="11.88671875" bestFit="1" customWidth="1"/>
  </cols>
  <sheetData>
    <row r="1" spans="1:16" ht="17.399999999999999">
      <c r="C1" s="723" t="s">
        <v>265</v>
      </c>
      <c r="D1" s="724"/>
      <c r="E1" s="724"/>
      <c r="F1" s="724"/>
      <c r="G1" s="724"/>
      <c r="H1" s="725"/>
      <c r="I1" s="278"/>
      <c r="J1" s="278"/>
      <c r="L1" s="277"/>
    </row>
    <row r="2" spans="1:16" ht="31.8" thickBot="1">
      <c r="C2" s="326" t="s">
        <v>193</v>
      </c>
      <c r="D2" s="326" t="s">
        <v>14</v>
      </c>
      <c r="E2" s="326" t="s">
        <v>15</v>
      </c>
      <c r="F2" s="326" t="s">
        <v>192</v>
      </c>
      <c r="G2" s="327" t="s">
        <v>191</v>
      </c>
      <c r="H2" s="326" t="s">
        <v>190</v>
      </c>
      <c r="I2" s="372" t="s">
        <v>269</v>
      </c>
      <c r="J2" s="372" t="s">
        <v>266</v>
      </c>
      <c r="L2" s="277"/>
    </row>
    <row r="3" spans="1:16" ht="38.25" customHeight="1">
      <c r="A3" s="685" t="s">
        <v>264</v>
      </c>
      <c r="B3" s="687" t="s">
        <v>263</v>
      </c>
      <c r="C3" s="370">
        <v>2</v>
      </c>
      <c r="D3" s="370" t="s">
        <v>16</v>
      </c>
      <c r="E3" s="371" t="s">
        <v>201</v>
      </c>
      <c r="F3" s="370" t="s">
        <v>205</v>
      </c>
      <c r="G3" s="369" t="s">
        <v>254</v>
      </c>
      <c r="H3" s="373">
        <v>103039200</v>
      </c>
      <c r="I3" s="380">
        <f>H3+20897600-10000000</f>
        <v>113936800</v>
      </c>
      <c r="J3" s="380">
        <f>124531822+10000000</f>
        <v>134531822</v>
      </c>
      <c r="K3" s="689" t="s">
        <v>253</v>
      </c>
      <c r="L3" s="735" t="s">
        <v>262</v>
      </c>
      <c r="M3" s="747">
        <v>44105</v>
      </c>
      <c r="N3" s="748"/>
    </row>
    <row r="4" spans="1:16" ht="67.2" customHeight="1" thickBot="1">
      <c r="A4" s="686"/>
      <c r="B4" s="688"/>
      <c r="C4" s="367">
        <v>2</v>
      </c>
      <c r="D4" s="367" t="s">
        <v>23</v>
      </c>
      <c r="E4" s="368" t="s">
        <v>120</v>
      </c>
      <c r="F4" s="367" t="s">
        <v>205</v>
      </c>
      <c r="G4" s="366" t="s">
        <v>254</v>
      </c>
      <c r="H4" s="374">
        <v>7000000</v>
      </c>
      <c r="I4" s="380">
        <f>H4-600000</f>
        <v>6400000</v>
      </c>
      <c r="J4" s="380">
        <v>6400000</v>
      </c>
      <c r="K4" s="689"/>
      <c r="L4" s="736"/>
      <c r="M4" s="730">
        <v>123936800</v>
      </c>
      <c r="N4" s="731"/>
      <c r="O4" s="3" t="s">
        <v>16</v>
      </c>
      <c r="P4" s="402">
        <f>I3+I8</f>
        <v>123936800</v>
      </c>
    </row>
    <row r="5" spans="1:16" ht="40.5" customHeight="1">
      <c r="A5" s="407" t="s">
        <v>261</v>
      </c>
      <c r="B5" s="406" t="s">
        <v>260</v>
      </c>
      <c r="C5" s="404">
        <v>2</v>
      </c>
      <c r="D5" s="404" t="s">
        <v>23</v>
      </c>
      <c r="E5" s="405" t="s">
        <v>120</v>
      </c>
      <c r="F5" s="404" t="s">
        <v>203</v>
      </c>
      <c r="G5" s="403" t="s">
        <v>259</v>
      </c>
      <c r="H5" s="408">
        <v>122382600</v>
      </c>
      <c r="I5" s="381">
        <f>(H5-615010)</f>
        <v>121767590</v>
      </c>
      <c r="J5" s="381">
        <v>121730794</v>
      </c>
      <c r="K5" s="401" t="s">
        <v>258</v>
      </c>
      <c r="L5" s="736"/>
      <c r="M5" s="730">
        <v>173867590</v>
      </c>
      <c r="N5" s="731"/>
      <c r="O5" s="3" t="s">
        <v>257</v>
      </c>
      <c r="P5" s="402">
        <f>SUM(I5:I7)</f>
        <v>167467590</v>
      </c>
    </row>
    <row r="6" spans="1:16" ht="16.5" customHeight="1">
      <c r="A6" s="690" t="s">
        <v>256</v>
      </c>
      <c r="B6" s="691" t="s">
        <v>255</v>
      </c>
      <c r="C6" s="364">
        <v>2</v>
      </c>
      <c r="D6" s="364" t="s">
        <v>23</v>
      </c>
      <c r="E6" s="365" t="s">
        <v>120</v>
      </c>
      <c r="F6" s="364" t="s">
        <v>203</v>
      </c>
      <c r="G6" s="363" t="s">
        <v>254</v>
      </c>
      <c r="H6" s="362">
        <v>300000</v>
      </c>
      <c r="I6" s="382">
        <v>0</v>
      </c>
      <c r="J6" s="382">
        <v>0</v>
      </c>
      <c r="K6" s="401" t="s">
        <v>253</v>
      </c>
      <c r="L6" s="736"/>
      <c r="M6" s="352"/>
      <c r="N6" s="352"/>
    </row>
    <row r="7" spans="1:16" ht="25.5" customHeight="1">
      <c r="A7" s="690"/>
      <c r="B7" s="691"/>
      <c r="C7" s="364">
        <v>2</v>
      </c>
      <c r="D7" s="364" t="s">
        <v>23</v>
      </c>
      <c r="E7" s="365" t="s">
        <v>120</v>
      </c>
      <c r="F7" s="364" t="s">
        <v>203</v>
      </c>
      <c r="G7" s="363" t="s">
        <v>252</v>
      </c>
      <c r="H7" s="362">
        <v>46000000</v>
      </c>
      <c r="I7" s="382">
        <f>H7-600000+H6</f>
        <v>45700000</v>
      </c>
      <c r="J7" s="382">
        <v>45700000</v>
      </c>
      <c r="K7" s="395" t="s">
        <v>251</v>
      </c>
      <c r="L7" s="736"/>
      <c r="M7" s="352"/>
      <c r="N7" s="361"/>
    </row>
    <row r="8" spans="1:16" ht="25.5" customHeight="1" thickBot="1">
      <c r="A8" s="400" t="s">
        <v>268</v>
      </c>
      <c r="B8" s="399" t="s">
        <v>267</v>
      </c>
      <c r="C8" s="397">
        <v>2</v>
      </c>
      <c r="D8" s="397" t="s">
        <v>16</v>
      </c>
      <c r="E8" s="398" t="s">
        <v>201</v>
      </c>
      <c r="F8" s="397" t="s">
        <v>203</v>
      </c>
      <c r="G8" s="396" t="s">
        <v>208</v>
      </c>
      <c r="H8" s="409">
        <v>8000000</v>
      </c>
      <c r="I8" s="414">
        <v>10000000</v>
      </c>
      <c r="J8" s="414">
        <v>0</v>
      </c>
      <c r="K8" s="395" t="s">
        <v>210</v>
      </c>
      <c r="L8" s="737"/>
      <c r="M8" s="352"/>
      <c r="N8" s="361"/>
    </row>
    <row r="9" spans="1:16" ht="39.75" customHeight="1">
      <c r="A9" s="682" t="s">
        <v>250</v>
      </c>
      <c r="B9" s="697" t="s">
        <v>249</v>
      </c>
      <c r="C9" s="694">
        <v>3</v>
      </c>
      <c r="D9" s="692" t="s">
        <v>16</v>
      </c>
      <c r="E9" s="310" t="s">
        <v>201</v>
      </c>
      <c r="F9" s="360"/>
      <c r="G9" s="359" t="s">
        <v>248</v>
      </c>
      <c r="H9" s="410">
        <v>5000000</v>
      </c>
      <c r="I9" s="353">
        <f>H9+1250000+ 6250000</f>
        <v>12500000</v>
      </c>
      <c r="J9" s="353">
        <v>11908130</v>
      </c>
      <c r="K9" s="341" t="s">
        <v>247</v>
      </c>
      <c r="L9" s="735" t="s">
        <v>246</v>
      </c>
      <c r="M9" s="352"/>
      <c r="N9" s="352"/>
    </row>
    <row r="10" spans="1:16" ht="39.75" customHeight="1" thickBot="1">
      <c r="A10" s="683"/>
      <c r="B10" s="698"/>
      <c r="C10" s="695"/>
      <c r="D10" s="693"/>
      <c r="E10" s="415" t="s">
        <v>209</v>
      </c>
      <c r="F10" s="726" t="s">
        <v>164</v>
      </c>
      <c r="G10" s="416"/>
      <c r="H10" s="417"/>
      <c r="I10" s="353"/>
      <c r="J10" s="353">
        <v>588200</v>
      </c>
      <c r="K10" s="329"/>
      <c r="L10" s="736"/>
      <c r="M10" s="352"/>
      <c r="N10" s="352"/>
    </row>
    <row r="11" spans="1:16" s="355" customFormat="1" ht="59.25" customHeight="1">
      <c r="A11" s="683"/>
      <c r="B11" s="698"/>
      <c r="C11" s="695"/>
      <c r="D11" s="692" t="s">
        <v>16</v>
      </c>
      <c r="E11" s="354" t="s">
        <v>201</v>
      </c>
      <c r="F11" s="726"/>
      <c r="G11" s="727" t="s">
        <v>245</v>
      </c>
      <c r="H11" s="375">
        <v>5000000</v>
      </c>
      <c r="I11" s="353">
        <v>0</v>
      </c>
      <c r="J11" s="353">
        <v>0</v>
      </c>
      <c r="K11" s="357" t="s">
        <v>244</v>
      </c>
      <c r="L11" s="736"/>
      <c r="M11" s="352"/>
      <c r="N11" s="352"/>
    </row>
    <row r="12" spans="1:16" s="355" customFormat="1" ht="59.25" customHeight="1" thickBot="1">
      <c r="A12" s="683"/>
      <c r="B12" s="698"/>
      <c r="C12" s="695"/>
      <c r="D12" s="693"/>
      <c r="E12" s="354" t="s">
        <v>209</v>
      </c>
      <c r="F12" s="726"/>
      <c r="G12" s="728"/>
      <c r="H12" s="375"/>
      <c r="I12" s="353"/>
      <c r="J12" s="353">
        <v>0</v>
      </c>
      <c r="K12" s="357"/>
      <c r="L12" s="736"/>
      <c r="M12" s="352"/>
      <c r="N12" s="352"/>
    </row>
    <row r="13" spans="1:16" s="355" customFormat="1" ht="42" customHeight="1">
      <c r="A13" s="683"/>
      <c r="B13" s="698"/>
      <c r="C13" s="695"/>
      <c r="D13" s="692" t="s">
        <v>16</v>
      </c>
      <c r="E13" s="354" t="s">
        <v>201</v>
      </c>
      <c r="F13" s="726"/>
      <c r="G13" s="729" t="s">
        <v>243</v>
      </c>
      <c r="H13" s="375">
        <v>5000000</v>
      </c>
      <c r="I13" s="353">
        <f>H13+1250000</f>
        <v>6250000</v>
      </c>
      <c r="J13" s="353">
        <v>5960260</v>
      </c>
      <c r="K13" s="356" t="s">
        <v>242</v>
      </c>
      <c r="L13" s="736"/>
      <c r="M13" s="352"/>
      <c r="N13" s="352"/>
    </row>
    <row r="14" spans="1:16" s="355" customFormat="1" ht="42" customHeight="1" thickBot="1">
      <c r="A14" s="683"/>
      <c r="B14" s="698"/>
      <c r="C14" s="695"/>
      <c r="D14" s="693"/>
      <c r="E14" s="418" t="s">
        <v>209</v>
      </c>
      <c r="F14" s="726"/>
      <c r="G14" s="729"/>
      <c r="H14" s="419"/>
      <c r="I14" s="353"/>
      <c r="J14" s="353">
        <v>291200</v>
      </c>
      <c r="K14" s="356"/>
      <c r="L14" s="736"/>
      <c r="M14" s="352"/>
      <c r="N14" s="352"/>
    </row>
    <row r="15" spans="1:16" ht="42" customHeight="1" thickBot="1">
      <c r="A15" s="683"/>
      <c r="B15" s="698"/>
      <c r="C15" s="695"/>
      <c r="D15" s="692" t="s">
        <v>16</v>
      </c>
      <c r="E15" s="394" t="s">
        <v>201</v>
      </c>
      <c r="F15" s="726"/>
      <c r="G15" s="358" t="s">
        <v>241</v>
      </c>
      <c r="H15" s="411">
        <v>5000000</v>
      </c>
      <c r="I15" s="353">
        <f>H15+1250000</f>
        <v>6250000</v>
      </c>
      <c r="J15" s="353">
        <v>5961710</v>
      </c>
      <c r="K15" s="341" t="s">
        <v>240</v>
      </c>
      <c r="L15" s="736"/>
      <c r="M15" s="352"/>
      <c r="N15" s="352"/>
    </row>
    <row r="16" spans="1:16" ht="42" customHeight="1" thickBot="1">
      <c r="A16" s="684"/>
      <c r="B16" s="699"/>
      <c r="C16" s="696"/>
      <c r="D16" s="693"/>
      <c r="E16" s="420"/>
      <c r="F16" s="693"/>
      <c r="G16" s="358"/>
      <c r="H16" s="421"/>
      <c r="I16" s="353"/>
      <c r="J16" s="353">
        <v>290500</v>
      </c>
      <c r="K16" s="341"/>
      <c r="L16" s="736"/>
      <c r="M16" s="352"/>
      <c r="N16" s="352"/>
    </row>
    <row r="17" spans="1:20" ht="14.25" customHeight="1">
      <c r="A17" s="700" t="s">
        <v>239</v>
      </c>
      <c r="B17" s="702" t="s">
        <v>238</v>
      </c>
      <c r="C17" s="393">
        <v>3</v>
      </c>
      <c r="D17" s="391" t="s">
        <v>23</v>
      </c>
      <c r="E17" s="392" t="s">
        <v>120</v>
      </c>
      <c r="F17" s="391" t="s">
        <v>165</v>
      </c>
      <c r="G17" s="422" t="s">
        <v>237</v>
      </c>
      <c r="H17" s="412">
        <v>94000000</v>
      </c>
      <c r="I17" s="383">
        <f>H17-900000+2000000</f>
        <v>95100000</v>
      </c>
      <c r="J17" s="383">
        <f>I17</f>
        <v>95100000</v>
      </c>
      <c r="K17" s="341" t="s">
        <v>236</v>
      </c>
      <c r="L17" s="736"/>
      <c r="M17" s="352"/>
      <c r="N17" s="352"/>
    </row>
    <row r="18" spans="1:20" ht="25.5" customHeight="1">
      <c r="A18" s="701"/>
      <c r="B18" s="703"/>
      <c r="C18" s="304">
        <v>3</v>
      </c>
      <c r="D18" s="302" t="s">
        <v>23</v>
      </c>
      <c r="E18" s="303" t="s">
        <v>120</v>
      </c>
      <c r="F18" s="302" t="s">
        <v>165</v>
      </c>
      <c r="G18" s="301" t="s">
        <v>235</v>
      </c>
      <c r="H18" s="376">
        <v>52290000</v>
      </c>
      <c r="I18" s="383">
        <f>H18-800000</f>
        <v>51490000</v>
      </c>
      <c r="J18" s="383">
        <f>I18</f>
        <v>51490000</v>
      </c>
      <c r="K18" s="341" t="s">
        <v>234</v>
      </c>
      <c r="L18" s="736"/>
      <c r="M18" s="352"/>
      <c r="N18" s="361">
        <f>I17+I18+I19+I24</f>
        <v>158790000</v>
      </c>
      <c r="P18" s="226"/>
      <c r="S18">
        <f>123936800+121767590+45700000+6400000+25000000+90080000+10000000+146790000+242432250+10000000+2000000</f>
        <v>824106640</v>
      </c>
    </row>
    <row r="19" spans="1:20" ht="86.25" customHeight="1">
      <c r="A19" s="701"/>
      <c r="B19" s="704"/>
      <c r="C19" s="304">
        <v>3</v>
      </c>
      <c r="D19" s="302" t="s">
        <v>23</v>
      </c>
      <c r="E19" s="303" t="s">
        <v>120</v>
      </c>
      <c r="F19" s="302" t="s">
        <v>165</v>
      </c>
      <c r="G19" s="301" t="s">
        <v>233</v>
      </c>
      <c r="H19" s="376">
        <v>3000000</v>
      </c>
      <c r="I19" s="383">
        <f>H19-800000</f>
        <v>2200000</v>
      </c>
      <c r="J19" s="383">
        <f>I19</f>
        <v>2200000</v>
      </c>
      <c r="K19" s="347" t="s">
        <v>232</v>
      </c>
      <c r="L19" s="736"/>
      <c r="M19" s="749">
        <v>44105</v>
      </c>
      <c r="N19" s="750"/>
      <c r="P19" s="226"/>
      <c r="S19">
        <f>113936800+10000000+121767590+45700000+6400000+25000000+90080000+10000000+148790000+242432250+10000000</f>
        <v>824106640</v>
      </c>
      <c r="T19" s="119">
        <f>824106640-S19</f>
        <v>0</v>
      </c>
    </row>
    <row r="20" spans="1:20" ht="25.5" customHeight="1">
      <c r="A20" s="711" t="s">
        <v>231</v>
      </c>
      <c r="B20" s="714" t="s">
        <v>230</v>
      </c>
      <c r="C20" s="351">
        <v>3</v>
      </c>
      <c r="D20" s="349" t="s">
        <v>23</v>
      </c>
      <c r="E20" s="350" t="s">
        <v>120</v>
      </c>
      <c r="F20" s="349" t="s">
        <v>165</v>
      </c>
      <c r="G20" s="348" t="s">
        <v>229</v>
      </c>
      <c r="H20" s="377">
        <v>177000000</v>
      </c>
      <c r="I20" s="384">
        <v>63315000</v>
      </c>
      <c r="J20" s="384">
        <v>65530043</v>
      </c>
      <c r="K20" s="341" t="s">
        <v>228</v>
      </c>
      <c r="L20" s="736"/>
      <c r="M20" s="730">
        <v>125080000</v>
      </c>
      <c r="N20" s="731"/>
      <c r="O20" s="3" t="s">
        <v>16</v>
      </c>
      <c r="P20" s="4">
        <f>SUM(I9:I15,I25)</f>
        <v>115080000</v>
      </c>
    </row>
    <row r="21" spans="1:20" ht="36" customHeight="1">
      <c r="A21" s="712"/>
      <c r="B21" s="715"/>
      <c r="C21" s="351">
        <v>3</v>
      </c>
      <c r="D21" s="349" t="s">
        <v>23</v>
      </c>
      <c r="E21" s="350" t="s">
        <v>120</v>
      </c>
      <c r="F21" s="349" t="s">
        <v>165</v>
      </c>
      <c r="G21" s="348" t="s">
        <v>227</v>
      </c>
      <c r="H21" s="377">
        <v>44500000</v>
      </c>
      <c r="I21" s="384">
        <v>147896000</v>
      </c>
      <c r="J21" s="384">
        <v>147844205</v>
      </c>
      <c r="K21" s="347" t="s">
        <v>226</v>
      </c>
      <c r="L21" s="736"/>
      <c r="M21" s="730">
        <v>401222250</v>
      </c>
      <c r="N21" s="731"/>
      <c r="O21" s="3" t="s">
        <v>225</v>
      </c>
      <c r="P21" s="390">
        <f>SUM(I17:I24)</f>
        <v>401222250</v>
      </c>
      <c r="R21" s="226"/>
    </row>
    <row r="22" spans="1:20" ht="15" customHeight="1">
      <c r="A22" s="712"/>
      <c r="B22" s="715"/>
      <c r="C22" s="351">
        <v>3</v>
      </c>
      <c r="D22" s="349" t="s">
        <v>23</v>
      </c>
      <c r="E22" s="350" t="s">
        <v>120</v>
      </c>
      <c r="F22" s="349" t="s">
        <v>165</v>
      </c>
      <c r="G22" s="348" t="s">
        <v>224</v>
      </c>
      <c r="H22" s="377">
        <v>18500000</v>
      </c>
      <c r="I22" s="384">
        <v>26671250</v>
      </c>
      <c r="J22" s="384">
        <v>26661909</v>
      </c>
      <c r="K22" s="347" t="s">
        <v>223</v>
      </c>
      <c r="L22" s="736"/>
    </row>
    <row r="23" spans="1:20">
      <c r="A23" s="713"/>
      <c r="B23" s="716"/>
      <c r="C23" s="351">
        <v>3</v>
      </c>
      <c r="D23" s="349" t="s">
        <v>23</v>
      </c>
      <c r="E23" s="350" t="s">
        <v>120</v>
      </c>
      <c r="F23" s="349" t="s">
        <v>165</v>
      </c>
      <c r="G23" s="348" t="s">
        <v>222</v>
      </c>
      <c r="H23" s="377">
        <v>5000000</v>
      </c>
      <c r="I23" s="384">
        <v>4550000</v>
      </c>
      <c r="J23" s="384">
        <v>2311190</v>
      </c>
      <c r="K23" s="347" t="s">
        <v>221</v>
      </c>
      <c r="L23" s="736"/>
    </row>
    <row r="24" spans="1:20" ht="31.2" thickBot="1">
      <c r="A24" s="389" t="s">
        <v>220</v>
      </c>
      <c r="B24" s="388" t="s">
        <v>219</v>
      </c>
      <c r="C24" s="292">
        <v>3</v>
      </c>
      <c r="D24" s="290" t="s">
        <v>23</v>
      </c>
      <c r="E24" s="291" t="s">
        <v>120</v>
      </c>
      <c r="F24" s="290" t="s">
        <v>165</v>
      </c>
      <c r="G24" s="289" t="s">
        <v>218</v>
      </c>
      <c r="H24" s="378">
        <v>10000000</v>
      </c>
      <c r="I24" s="385">
        <f>H24</f>
        <v>10000000</v>
      </c>
      <c r="J24" s="385">
        <f>I24</f>
        <v>10000000</v>
      </c>
      <c r="K24" s="347" t="s">
        <v>217</v>
      </c>
      <c r="L24" s="736"/>
      <c r="P24" s="226"/>
    </row>
    <row r="25" spans="1:20" ht="135.75" customHeight="1">
      <c r="A25" s="346" t="s">
        <v>216</v>
      </c>
      <c r="B25" s="719" t="s">
        <v>215</v>
      </c>
      <c r="C25" s="345">
        <v>3</v>
      </c>
      <c r="D25" s="343" t="s">
        <v>16</v>
      </c>
      <c r="E25" s="344" t="s">
        <v>201</v>
      </c>
      <c r="F25" s="343" t="s">
        <v>166</v>
      </c>
      <c r="G25" s="342" t="s">
        <v>214</v>
      </c>
      <c r="H25" s="379">
        <v>82017360</v>
      </c>
      <c r="I25" s="386">
        <f>H25+8062640</f>
        <v>90080000</v>
      </c>
      <c r="J25" s="386">
        <v>87958750</v>
      </c>
      <c r="K25" s="341" t="s">
        <v>213</v>
      </c>
      <c r="L25" s="736"/>
      <c r="N25" s="226">
        <f>I20+I21+I22+I23</f>
        <v>242432250</v>
      </c>
    </row>
    <row r="26" spans="1:20" ht="135.75" customHeight="1">
      <c r="A26" s="346"/>
      <c r="B26" s="720"/>
      <c r="C26" s="345">
        <v>3</v>
      </c>
      <c r="D26" s="343" t="s">
        <v>16</v>
      </c>
      <c r="E26" s="344" t="s">
        <v>201</v>
      </c>
      <c r="F26" s="343" t="s">
        <v>166</v>
      </c>
      <c r="G26" s="342" t="s">
        <v>208</v>
      </c>
      <c r="H26" s="413"/>
      <c r="I26" s="386">
        <v>10000000</v>
      </c>
      <c r="J26" s="386">
        <v>10000000</v>
      </c>
      <c r="K26" s="347" t="s">
        <v>210</v>
      </c>
      <c r="L26" s="736"/>
      <c r="N26" s="226"/>
    </row>
    <row r="27" spans="1:20" ht="123.75" customHeight="1">
      <c r="A27" s="717" t="s">
        <v>212</v>
      </c>
      <c r="B27" s="721" t="s">
        <v>211</v>
      </c>
      <c r="C27" s="340">
        <v>3</v>
      </c>
      <c r="D27" s="338" t="s">
        <v>16</v>
      </c>
      <c r="E27" s="339" t="s">
        <v>201</v>
      </c>
      <c r="F27" s="338" t="s">
        <v>166</v>
      </c>
      <c r="G27" s="337" t="s">
        <v>208</v>
      </c>
      <c r="H27" s="336">
        <v>8000000</v>
      </c>
      <c r="I27" s="381">
        <v>0</v>
      </c>
      <c r="J27" s="381"/>
      <c r="K27" s="738" t="s">
        <v>210</v>
      </c>
      <c r="L27" s="736"/>
      <c r="N27">
        <f>123936800+121767590+45700000+6400000+25000000+90080000+10000000+146790000+242432250+10000000+2000000</f>
        <v>824106640</v>
      </c>
    </row>
    <row r="28" spans="1:20" ht="38.25" customHeight="1" thickBot="1">
      <c r="A28" s="718"/>
      <c r="B28" s="722"/>
      <c r="C28" s="335">
        <v>3</v>
      </c>
      <c r="D28" s="333" t="s">
        <v>16</v>
      </c>
      <c r="E28" s="334" t="s">
        <v>209</v>
      </c>
      <c r="F28" s="333" t="s">
        <v>166</v>
      </c>
      <c r="G28" s="332" t="s">
        <v>208</v>
      </c>
      <c r="H28" s="331">
        <v>2000000</v>
      </c>
      <c r="I28" s="330">
        <v>0</v>
      </c>
      <c r="J28" s="387"/>
      <c r="K28" s="739"/>
      <c r="L28" s="737"/>
    </row>
    <row r="29" spans="1:20" ht="15" customHeight="1" thickBot="1">
      <c r="A29" s="66"/>
      <c r="B29" s="328"/>
      <c r="H29" s="279"/>
      <c r="I29" s="279"/>
      <c r="J29" s="279"/>
      <c r="K29" s="329"/>
      <c r="L29" s="277"/>
    </row>
    <row r="30" spans="1:20" ht="18" customHeight="1">
      <c r="A30" s="66"/>
      <c r="B30" s="328"/>
      <c r="G30" s="285" t="s">
        <v>199</v>
      </c>
      <c r="H30" s="284">
        <f>H3</f>
        <v>103039200</v>
      </c>
      <c r="I30" s="284">
        <f>I3+I8</f>
        <v>123936800</v>
      </c>
      <c r="J30" s="284">
        <f>J3+J8</f>
        <v>134531822</v>
      </c>
      <c r="K30" s="746">
        <f>J30+J31</f>
        <v>308362616</v>
      </c>
      <c r="L30" s="277"/>
    </row>
    <row r="31" spans="1:20" ht="18.75" customHeight="1">
      <c r="A31" s="66"/>
      <c r="B31" s="328"/>
      <c r="G31" s="283" t="s">
        <v>198</v>
      </c>
      <c r="H31" s="282">
        <f>H4+H5+H6+H7</f>
        <v>175682600</v>
      </c>
      <c r="I31" s="282">
        <f>I4+I5+I6+I7</f>
        <v>173867590</v>
      </c>
      <c r="J31" s="282">
        <f>J4+J5+J6+J7</f>
        <v>173830794</v>
      </c>
      <c r="K31" s="746"/>
      <c r="L31" s="277"/>
    </row>
    <row r="32" spans="1:20" ht="18" customHeight="1">
      <c r="A32" s="66"/>
      <c r="B32" s="328"/>
      <c r="G32" s="283" t="s">
        <v>197</v>
      </c>
      <c r="H32" s="282">
        <f>H9+H11+H13+H15+H25+H27</f>
        <v>110017360</v>
      </c>
      <c r="I32" s="282">
        <f>I9+I11+I13+I15+I25+I26</f>
        <v>125080000</v>
      </c>
      <c r="J32" s="282">
        <f>SUM(J9:J16,J25:J26)</f>
        <v>122958750</v>
      </c>
      <c r="K32" s="746">
        <f>J32+J33</f>
        <v>524096097</v>
      </c>
      <c r="L32" s="277"/>
    </row>
    <row r="33" spans="1:12" ht="18.600000000000001" customHeight="1" thickBot="1">
      <c r="A33" s="66"/>
      <c r="B33" s="328"/>
      <c r="G33" s="281" t="s">
        <v>196</v>
      </c>
      <c r="H33" s="280">
        <f>H17+H18+H19+H20+H21+H22+H23+H24+H28</f>
        <v>406290000</v>
      </c>
      <c r="I33" s="280">
        <f>I17+I18+I19+I20+I21+I22+I23+I24</f>
        <v>401222250</v>
      </c>
      <c r="J33" s="280">
        <f>J17+J18+J19+J20+J21+J22+J23+J24</f>
        <v>401137347</v>
      </c>
      <c r="K33" s="746"/>
      <c r="L33" s="277"/>
    </row>
    <row r="34" spans="1:12" ht="18">
      <c r="A34" s="66"/>
      <c r="B34" s="328"/>
      <c r="H34" s="279"/>
      <c r="I34" s="279">
        <f>SUM(I30:I33)</f>
        <v>824106640</v>
      </c>
      <c r="J34" s="279">
        <f>SUM(J30:J33)</f>
        <v>832458713</v>
      </c>
      <c r="K34" s="439">
        <f>K30+K32</f>
        <v>832458713</v>
      </c>
      <c r="L34" s="277"/>
    </row>
    <row r="35" spans="1:12" ht="25.5" customHeight="1">
      <c r="L35" s="277"/>
    </row>
    <row r="36" spans="1:12" ht="17.399999999999999">
      <c r="C36" s="723" t="s">
        <v>207</v>
      </c>
      <c r="D36" s="724"/>
      <c r="E36" s="724"/>
      <c r="F36" s="724"/>
      <c r="G36" s="724"/>
      <c r="H36" s="725"/>
      <c r="I36" s="278"/>
      <c r="J36" s="278"/>
      <c r="L36" s="277"/>
    </row>
    <row r="37" spans="1:12" ht="27" thickBot="1">
      <c r="C37" s="326" t="s">
        <v>193</v>
      </c>
      <c r="D37" s="326" t="s">
        <v>14</v>
      </c>
      <c r="E37" s="326" t="s">
        <v>15</v>
      </c>
      <c r="F37" s="326" t="s">
        <v>192</v>
      </c>
      <c r="G37" s="327" t="s">
        <v>191</v>
      </c>
      <c r="H37" s="326" t="s">
        <v>190</v>
      </c>
      <c r="I37" s="274"/>
      <c r="J37" s="274"/>
      <c r="L37" s="277"/>
    </row>
    <row r="38" spans="1:12" ht="19.5" customHeight="1">
      <c r="C38" s="325">
        <v>2</v>
      </c>
      <c r="D38" s="323" t="s">
        <v>16</v>
      </c>
      <c r="E38" s="324" t="s">
        <v>201</v>
      </c>
      <c r="F38" s="323" t="s">
        <v>205</v>
      </c>
      <c r="G38" s="322" t="s">
        <v>204</v>
      </c>
      <c r="H38" s="321">
        <f>H3</f>
        <v>103039200</v>
      </c>
      <c r="I38" s="320"/>
      <c r="J38" s="320"/>
      <c r="K38" s="740" t="s">
        <v>206</v>
      </c>
      <c r="L38" s="277"/>
    </row>
    <row r="39" spans="1:12" ht="38.25" customHeight="1">
      <c r="C39" s="319">
        <v>2</v>
      </c>
      <c r="D39" s="317" t="s">
        <v>23</v>
      </c>
      <c r="E39" s="318" t="s">
        <v>120</v>
      </c>
      <c r="F39" s="317" t="s">
        <v>205</v>
      </c>
      <c r="G39" s="316" t="s">
        <v>204</v>
      </c>
      <c r="H39" s="315">
        <f>H4</f>
        <v>7000000</v>
      </c>
      <c r="I39" s="314"/>
      <c r="J39" s="314"/>
      <c r="K39" s="740"/>
      <c r="L39" s="277"/>
    </row>
    <row r="40" spans="1:12" ht="47.25" customHeight="1">
      <c r="C40" s="741">
        <v>2</v>
      </c>
      <c r="D40" s="705" t="s">
        <v>23</v>
      </c>
      <c r="E40" s="743" t="s">
        <v>120</v>
      </c>
      <c r="F40" s="705" t="s">
        <v>203</v>
      </c>
      <c r="G40" s="707" t="s">
        <v>200</v>
      </c>
      <c r="H40" s="709">
        <f>SUM(H5:H7)</f>
        <v>168682600</v>
      </c>
      <c r="I40" s="313"/>
      <c r="J40" s="313"/>
      <c r="K40" s="745" t="s">
        <v>202</v>
      </c>
      <c r="L40" s="277"/>
    </row>
    <row r="41" spans="1:12" ht="18" thickBot="1">
      <c r="C41" s="742"/>
      <c r="D41" s="706"/>
      <c r="E41" s="744"/>
      <c r="F41" s="706"/>
      <c r="G41" s="708"/>
      <c r="H41" s="710"/>
      <c r="I41" s="312"/>
      <c r="J41" s="312"/>
      <c r="K41" s="745"/>
      <c r="L41" s="277"/>
    </row>
    <row r="42" spans="1:12" ht="26.4">
      <c r="C42" s="311">
        <v>3</v>
      </c>
      <c r="D42" s="309" t="s">
        <v>16</v>
      </c>
      <c r="E42" s="310" t="s">
        <v>201</v>
      </c>
      <c r="F42" s="309" t="s">
        <v>164</v>
      </c>
      <c r="G42" s="308" t="s">
        <v>200</v>
      </c>
      <c r="H42" s="307">
        <f>SUM(H9:H15)</f>
        <v>20000000</v>
      </c>
      <c r="I42" s="306"/>
      <c r="J42" s="306"/>
      <c r="K42" s="745"/>
      <c r="L42" s="305"/>
    </row>
    <row r="43" spans="1:12" ht="25.5" customHeight="1">
      <c r="C43" s="304">
        <v>3</v>
      </c>
      <c r="D43" s="302" t="s">
        <v>23</v>
      </c>
      <c r="E43" s="303" t="s">
        <v>120</v>
      </c>
      <c r="F43" s="302" t="s">
        <v>165</v>
      </c>
      <c r="G43" s="301" t="s">
        <v>200</v>
      </c>
      <c r="H43" s="300">
        <f>SUM(H17:H24)</f>
        <v>404290000</v>
      </c>
      <c r="I43" s="299"/>
      <c r="J43" s="299"/>
      <c r="K43" s="745"/>
      <c r="L43" s="286"/>
    </row>
    <row r="44" spans="1:12" ht="26.4">
      <c r="C44" s="298"/>
      <c r="D44" s="296" t="s">
        <v>16</v>
      </c>
      <c r="E44" s="297" t="s">
        <v>201</v>
      </c>
      <c r="F44" s="296" t="s">
        <v>166</v>
      </c>
      <c r="G44" s="295" t="s">
        <v>200</v>
      </c>
      <c r="H44" s="294">
        <f>SUM(H25:H27)</f>
        <v>90017360</v>
      </c>
      <c r="I44" s="293"/>
      <c r="J44" s="293"/>
      <c r="K44" s="745"/>
      <c r="L44" s="286"/>
    </row>
    <row r="45" spans="1:12" ht="18.600000000000001" thickBot="1">
      <c r="C45" s="292">
        <v>3</v>
      </c>
      <c r="D45" s="290" t="s">
        <v>23</v>
      </c>
      <c r="E45" s="291" t="s">
        <v>120</v>
      </c>
      <c r="F45" s="290" t="s">
        <v>166</v>
      </c>
      <c r="G45" s="289" t="s">
        <v>200</v>
      </c>
      <c r="H45" s="288">
        <f>H28</f>
        <v>2000000</v>
      </c>
      <c r="I45" s="287"/>
      <c r="J45" s="287"/>
      <c r="K45" s="745"/>
      <c r="L45" s="286"/>
    </row>
    <row r="46" spans="1:12" ht="18" thickBot="1">
      <c r="L46" s="277"/>
    </row>
    <row r="47" spans="1:12" ht="17.399999999999999">
      <c r="G47" s="285" t="s">
        <v>199</v>
      </c>
      <c r="H47" s="284">
        <f>H38</f>
        <v>103039200</v>
      </c>
      <c r="I47" s="279"/>
      <c r="J47" s="279"/>
      <c r="L47" s="277"/>
    </row>
    <row r="48" spans="1:12" ht="17.399999999999999">
      <c r="G48" s="283" t="s">
        <v>198</v>
      </c>
      <c r="H48" s="282">
        <f>H39+H40</f>
        <v>175682600</v>
      </c>
      <c r="I48" s="279"/>
      <c r="J48" s="279"/>
      <c r="L48" s="277"/>
    </row>
    <row r="49" spans="3:12" ht="17.399999999999999">
      <c r="G49" s="283" t="s">
        <v>197</v>
      </c>
      <c r="H49" s="282">
        <f>H42+H44</f>
        <v>110017360</v>
      </c>
      <c r="I49" s="279"/>
      <c r="J49" s="279"/>
      <c r="L49" s="277"/>
    </row>
    <row r="50" spans="3:12" ht="18" thickBot="1">
      <c r="G50" s="281" t="s">
        <v>196</v>
      </c>
      <c r="H50" s="280">
        <f>H43+H45</f>
        <v>406290000</v>
      </c>
      <c r="I50" s="279"/>
      <c r="J50" s="279"/>
      <c r="L50" s="277"/>
    </row>
    <row r="51" spans="3:12" ht="17.399999999999999">
      <c r="L51" s="277"/>
    </row>
    <row r="52" spans="3:12" ht="17.399999999999999">
      <c r="C52" s="723" t="s">
        <v>195</v>
      </c>
      <c r="D52" s="724"/>
      <c r="E52" s="724"/>
      <c r="F52" s="724"/>
      <c r="G52" s="724"/>
      <c r="H52" s="725"/>
      <c r="I52" s="278"/>
      <c r="J52" s="278"/>
      <c r="L52" s="277"/>
    </row>
    <row r="53" spans="3:12" ht="26.4">
      <c r="C53" s="275" t="s">
        <v>193</v>
      </c>
      <c r="D53" s="275" t="s">
        <v>14</v>
      </c>
      <c r="E53" s="275" t="s">
        <v>15</v>
      </c>
      <c r="F53" s="275" t="s">
        <v>192</v>
      </c>
      <c r="G53" s="276" t="s">
        <v>191</v>
      </c>
      <c r="H53" s="275" t="s">
        <v>190</v>
      </c>
      <c r="I53" s="274"/>
      <c r="J53" s="274"/>
      <c r="L53" s="277"/>
    </row>
    <row r="54" spans="3:12" ht="17.399999999999999">
      <c r="C54" s="271"/>
      <c r="D54" s="271"/>
      <c r="E54" s="273"/>
      <c r="F54" s="271"/>
      <c r="G54" s="272"/>
      <c r="H54" s="271"/>
      <c r="L54" s="277"/>
    </row>
    <row r="55" spans="3:12" ht="17.399999999999999">
      <c r="C55" s="271"/>
      <c r="D55" s="271"/>
      <c r="E55" s="273"/>
      <c r="F55" s="271"/>
      <c r="G55" s="272"/>
      <c r="H55" s="271"/>
      <c r="L55" s="277"/>
    </row>
    <row r="56" spans="3:12" ht="17.399999999999999">
      <c r="C56" s="271"/>
      <c r="D56" s="271"/>
      <c r="E56" s="273"/>
      <c r="F56" s="271"/>
      <c r="G56" s="272"/>
      <c r="H56" s="271"/>
      <c r="L56" s="277"/>
    </row>
    <row r="57" spans="3:12" ht="17.399999999999999">
      <c r="C57" s="271"/>
      <c r="D57" s="271"/>
      <c r="E57" s="273"/>
      <c r="F57" s="271"/>
      <c r="G57" s="272"/>
      <c r="H57" s="271"/>
      <c r="L57" s="277"/>
    </row>
    <row r="58" spans="3:12" ht="17.399999999999999">
      <c r="C58" s="271"/>
      <c r="D58" s="271"/>
      <c r="E58" s="273"/>
      <c r="F58" s="271"/>
      <c r="G58" s="272"/>
      <c r="H58" s="271"/>
      <c r="L58" s="277"/>
    </row>
    <row r="59" spans="3:12" ht="17.399999999999999">
      <c r="C59" s="271"/>
      <c r="D59" s="271"/>
      <c r="E59" s="273"/>
      <c r="F59" s="271"/>
      <c r="G59" s="272"/>
      <c r="H59" s="271"/>
      <c r="L59" s="277"/>
    </row>
    <row r="60" spans="3:12" ht="17.399999999999999">
      <c r="C60" s="271"/>
      <c r="D60" s="271"/>
      <c r="E60" s="273"/>
      <c r="F60" s="271"/>
      <c r="G60" s="272"/>
      <c r="H60" s="271"/>
      <c r="L60" s="277"/>
    </row>
    <row r="61" spans="3:12" ht="17.399999999999999">
      <c r="C61" s="271"/>
      <c r="D61" s="271"/>
      <c r="E61" s="273"/>
      <c r="F61" s="271"/>
      <c r="G61" s="272"/>
      <c r="H61" s="271"/>
      <c r="L61" s="277"/>
    </row>
    <row r="62" spans="3:12" ht="17.399999999999999">
      <c r="C62" s="271"/>
      <c r="D62" s="271"/>
      <c r="E62" s="273"/>
      <c r="F62" s="271"/>
      <c r="G62" s="272"/>
      <c r="H62" s="271"/>
      <c r="L62" s="277"/>
    </row>
    <row r="63" spans="3:12" ht="17.399999999999999">
      <c r="C63" s="271"/>
      <c r="D63" s="271"/>
      <c r="E63" s="273"/>
      <c r="F63" s="271"/>
      <c r="G63" s="272"/>
      <c r="H63" s="271"/>
      <c r="L63" s="277"/>
    </row>
    <row r="64" spans="3:12" ht="17.399999999999999">
      <c r="C64" s="271"/>
      <c r="D64" s="271"/>
      <c r="E64" s="273"/>
      <c r="F64" s="271"/>
      <c r="G64" s="272"/>
      <c r="H64" s="271"/>
      <c r="L64" s="277"/>
    </row>
    <row r="65" spans="3:12" ht="17.399999999999999">
      <c r="L65" s="277"/>
    </row>
    <row r="66" spans="3:12" ht="17.399999999999999">
      <c r="L66" s="277"/>
    </row>
    <row r="67" spans="3:12" ht="17.399999999999999">
      <c r="L67" s="277"/>
    </row>
    <row r="68" spans="3:12" ht="17.399999999999999">
      <c r="L68" s="277"/>
    </row>
    <row r="69" spans="3:12" ht="17.399999999999999">
      <c r="L69" s="277"/>
    </row>
    <row r="70" spans="3:12" ht="17.399999999999999">
      <c r="L70" s="277"/>
    </row>
    <row r="71" spans="3:12">
      <c r="C71" s="271"/>
      <c r="D71" s="271"/>
      <c r="E71" s="273"/>
      <c r="F71" s="271"/>
      <c r="G71" s="272"/>
      <c r="H71" s="271"/>
    </row>
    <row r="72" spans="3:12">
      <c r="C72" s="271"/>
      <c r="D72" s="271"/>
      <c r="E72" s="273"/>
      <c r="F72" s="271"/>
      <c r="G72" s="272"/>
      <c r="H72" s="271"/>
    </row>
    <row r="73" spans="3:12">
      <c r="C73" s="271"/>
      <c r="D73" s="271"/>
      <c r="E73" s="273"/>
      <c r="F73" s="271"/>
      <c r="G73" s="272"/>
      <c r="H73" s="271"/>
    </row>
    <row r="76" spans="3:12" ht="15.75" customHeight="1">
      <c r="C76" s="732" t="s">
        <v>194</v>
      </c>
      <c r="D76" s="733"/>
      <c r="E76" s="733"/>
      <c r="F76" s="733"/>
      <c r="G76" s="733"/>
      <c r="H76" s="734"/>
      <c r="I76" s="83"/>
      <c r="J76" s="83"/>
    </row>
    <row r="77" spans="3:12" ht="26.4">
      <c r="C77" s="275" t="s">
        <v>193</v>
      </c>
      <c r="D77" s="275" t="s">
        <v>14</v>
      </c>
      <c r="E77" s="275" t="s">
        <v>15</v>
      </c>
      <c r="F77" s="275" t="s">
        <v>192</v>
      </c>
      <c r="G77" s="276" t="s">
        <v>191</v>
      </c>
      <c r="H77" s="275" t="s">
        <v>190</v>
      </c>
      <c r="I77" s="274"/>
      <c r="J77" s="274"/>
    </row>
    <row r="78" spans="3:12" ht="25.5" customHeight="1">
      <c r="C78" s="271"/>
      <c r="D78" s="271"/>
      <c r="E78" s="273"/>
      <c r="F78" s="271"/>
      <c r="G78" s="272"/>
      <c r="H78" s="271"/>
    </row>
    <row r="79" spans="3:12">
      <c r="C79" s="271"/>
      <c r="D79" s="271"/>
      <c r="E79" s="273"/>
      <c r="F79" s="271"/>
      <c r="G79" s="272"/>
      <c r="H79" s="271"/>
    </row>
    <row r="80" spans="3:12">
      <c r="C80" s="271"/>
      <c r="D80" s="271"/>
      <c r="E80" s="273"/>
      <c r="F80" s="271"/>
      <c r="G80" s="272"/>
      <c r="H80" s="271"/>
    </row>
    <row r="81" spans="3:8">
      <c r="C81" s="271"/>
      <c r="D81" s="271"/>
      <c r="E81" s="273"/>
      <c r="F81" s="271"/>
      <c r="G81" s="272"/>
      <c r="H81" s="271"/>
    </row>
    <row r="82" spans="3:8">
      <c r="C82" s="271"/>
      <c r="D82" s="271"/>
      <c r="E82" s="273"/>
      <c r="F82" s="271"/>
      <c r="G82" s="272"/>
      <c r="H82" s="271"/>
    </row>
    <row r="83" spans="3:8">
      <c r="C83" s="271"/>
      <c r="D83" s="271"/>
      <c r="E83" s="273"/>
      <c r="F83" s="271"/>
      <c r="G83" s="272"/>
      <c r="H83" s="271"/>
    </row>
    <row r="84" spans="3:8">
      <c r="C84" s="271"/>
      <c r="D84" s="271"/>
      <c r="E84" s="273"/>
      <c r="F84" s="271"/>
      <c r="G84" s="272"/>
      <c r="H84" s="271"/>
    </row>
    <row r="85" spans="3:8">
      <c r="C85" s="271"/>
      <c r="D85" s="271"/>
      <c r="E85" s="273"/>
      <c r="F85" s="271"/>
      <c r="G85" s="272"/>
      <c r="H85" s="271"/>
    </row>
    <row r="86" spans="3:8">
      <c r="C86" s="271"/>
      <c r="D86" s="271"/>
      <c r="E86" s="273"/>
      <c r="F86" s="271"/>
      <c r="G86" s="272"/>
      <c r="H86" s="271"/>
    </row>
    <row r="87" spans="3:8">
      <c r="C87" s="271"/>
      <c r="D87" s="271"/>
      <c r="E87" s="273"/>
      <c r="F87" s="271"/>
      <c r="G87" s="272"/>
      <c r="H87" s="271"/>
    </row>
    <row r="88" spans="3:8">
      <c r="C88" s="271"/>
      <c r="D88" s="271"/>
      <c r="E88" s="273"/>
      <c r="F88" s="271"/>
      <c r="G88" s="272"/>
      <c r="H88" s="271"/>
    </row>
  </sheetData>
  <mergeCells count="45">
    <mergeCell ref="M3:N3"/>
    <mergeCell ref="M19:N19"/>
    <mergeCell ref="L3:L8"/>
    <mergeCell ref="M4:N4"/>
    <mergeCell ref="M5:N5"/>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C1:H1"/>
    <mergeCell ref="D9:D10"/>
    <mergeCell ref="F10:F16"/>
    <mergeCell ref="G11:G12"/>
    <mergeCell ref="G13:G14"/>
    <mergeCell ref="A17:A19"/>
    <mergeCell ref="B17:B19"/>
    <mergeCell ref="F40:F41"/>
    <mergeCell ref="G40:G41"/>
    <mergeCell ref="H40:H41"/>
    <mergeCell ref="A20:A23"/>
    <mergeCell ref="B20:B23"/>
    <mergeCell ref="A27:A28"/>
    <mergeCell ref="B25:B26"/>
    <mergeCell ref="B27:B28"/>
    <mergeCell ref="A9:A16"/>
    <mergeCell ref="A3:A4"/>
    <mergeCell ref="B3:B4"/>
    <mergeCell ref="K3:K4"/>
    <mergeCell ref="A6:A7"/>
    <mergeCell ref="B6:B7"/>
    <mergeCell ref="D15:D16"/>
    <mergeCell ref="D13:D14"/>
    <mergeCell ref="D11:D12"/>
    <mergeCell ref="C9:C16"/>
    <mergeCell ref="B9:B16"/>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1"/>
  <sheetViews>
    <sheetView workbookViewId="0">
      <selection activeCell="C4" sqref="C4:C12"/>
    </sheetView>
  </sheetViews>
  <sheetFormatPr defaultColWidth="9.109375" defaultRowHeight="14.4"/>
  <cols>
    <col min="1" max="1" width="9.109375" style="469"/>
    <col min="2" max="2" width="24.6640625" style="469" customWidth="1"/>
    <col min="3" max="3" width="42.109375" style="469" customWidth="1"/>
    <col min="4" max="16384" width="9.109375" style="469"/>
  </cols>
  <sheetData>
    <row r="1" spans="1:3">
      <c r="A1" s="482" t="s">
        <v>366</v>
      </c>
      <c r="B1" s="482" t="s">
        <v>367</v>
      </c>
      <c r="C1" s="482" t="s">
        <v>368</v>
      </c>
    </row>
    <row r="2" spans="1:3">
      <c r="A2" s="483">
        <v>0</v>
      </c>
      <c r="B2" s="483" t="s">
        <v>369</v>
      </c>
      <c r="C2" s="483" t="s">
        <v>370</v>
      </c>
    </row>
    <row r="3" spans="1:3">
      <c r="A3" s="483">
        <v>1</v>
      </c>
      <c r="B3" s="482" t="s">
        <v>352</v>
      </c>
      <c r="C3" s="482" t="s">
        <v>411</v>
      </c>
    </row>
    <row r="4" spans="1:3" ht="50.25" customHeight="1">
      <c r="A4" s="483">
        <v>2</v>
      </c>
      <c r="B4" s="482" t="s">
        <v>353</v>
      </c>
      <c r="C4" s="513" t="s">
        <v>455</v>
      </c>
    </row>
    <row r="5" spans="1:3">
      <c r="A5" s="483">
        <v>3</v>
      </c>
      <c r="B5" s="483" t="s">
        <v>372</v>
      </c>
      <c r="C5" s="531" t="s">
        <v>298</v>
      </c>
    </row>
    <row r="6" spans="1:3">
      <c r="A6" s="483">
        <v>4</v>
      </c>
      <c r="B6" s="483" t="s">
        <v>373</v>
      </c>
      <c r="C6" s="531" t="s">
        <v>374</v>
      </c>
    </row>
    <row r="7" spans="1:3">
      <c r="A7" s="483">
        <v>5</v>
      </c>
      <c r="B7" s="483" t="s">
        <v>26</v>
      </c>
      <c r="C7" s="532">
        <v>0</v>
      </c>
    </row>
    <row r="8" spans="1:3">
      <c r="A8" s="483">
        <v>6</v>
      </c>
      <c r="B8" s="483" t="s">
        <v>33</v>
      </c>
      <c r="C8" s="531" t="s">
        <v>375</v>
      </c>
    </row>
    <row r="9" spans="1:3">
      <c r="A9" s="483">
        <v>7</v>
      </c>
      <c r="B9" s="483" t="s">
        <v>30</v>
      </c>
      <c r="C9" s="531" t="s">
        <v>376</v>
      </c>
    </row>
    <row r="10" spans="1:3">
      <c r="A10" s="483">
        <v>8</v>
      </c>
      <c r="B10" s="483" t="s">
        <v>377</v>
      </c>
      <c r="C10" s="531" t="s">
        <v>378</v>
      </c>
    </row>
    <row r="11" spans="1:3">
      <c r="A11" s="483">
        <v>9</v>
      </c>
      <c r="B11" s="483" t="s">
        <v>379</v>
      </c>
      <c r="C11" s="531" t="s">
        <v>380</v>
      </c>
    </row>
    <row r="12" spans="1:3" ht="121.95" customHeight="1">
      <c r="A12" s="483">
        <v>10</v>
      </c>
      <c r="B12" s="483" t="s">
        <v>381</v>
      </c>
      <c r="C12" s="513" t="s">
        <v>456</v>
      </c>
    </row>
    <row r="13" spans="1:3">
      <c r="A13" s="483">
        <v>11</v>
      </c>
      <c r="B13" s="483" t="s">
        <v>385</v>
      </c>
      <c r="C13" s="483" t="s">
        <v>34</v>
      </c>
    </row>
    <row r="14" spans="1:3">
      <c r="A14" s="483">
        <v>12</v>
      </c>
      <c r="B14" s="483" t="s">
        <v>386</v>
      </c>
      <c r="C14" s="483" t="s">
        <v>387</v>
      </c>
    </row>
    <row r="15" spans="1:3">
      <c r="A15" s="483">
        <v>13</v>
      </c>
      <c r="B15" s="483" t="s">
        <v>388</v>
      </c>
      <c r="C15" s="484"/>
    </row>
    <row r="16" spans="1:3" ht="33" customHeight="1">
      <c r="A16" s="1120">
        <v>14</v>
      </c>
      <c r="B16" s="1120" t="s">
        <v>389</v>
      </c>
      <c r="C16" s="484" t="s">
        <v>390</v>
      </c>
    </row>
    <row r="17" spans="1:3" ht="43.5" customHeight="1">
      <c r="A17" s="1120"/>
      <c r="B17" s="1120"/>
      <c r="C17" s="484" t="s">
        <v>391</v>
      </c>
    </row>
    <row r="18" spans="1:3">
      <c r="A18" s="483">
        <v>15</v>
      </c>
      <c r="B18" s="483" t="s">
        <v>392</v>
      </c>
      <c r="C18" s="484"/>
    </row>
    <row r="19" spans="1:3">
      <c r="A19" s="483">
        <v>16</v>
      </c>
      <c r="B19" s="483" t="s">
        <v>393</v>
      </c>
      <c r="C19" s="483"/>
    </row>
    <row r="20" spans="1:3">
      <c r="A20" s="483">
        <v>17</v>
      </c>
      <c r="B20" s="483" t="s">
        <v>394</v>
      </c>
      <c r="C20" s="484"/>
    </row>
    <row r="21" spans="1:3">
      <c r="A21" s="470"/>
      <c r="B21" s="486"/>
      <c r="C21" s="486"/>
    </row>
  </sheetData>
  <mergeCells count="2">
    <mergeCell ref="A16:A17"/>
    <mergeCell ref="B16:B17"/>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C12" sqref="C12"/>
    </sheetView>
  </sheetViews>
  <sheetFormatPr defaultColWidth="9.109375" defaultRowHeight="14.4"/>
  <cols>
    <col min="1" max="1" width="9.109375" style="469"/>
    <col min="2" max="2" width="24.6640625" style="469" customWidth="1"/>
    <col min="3" max="3" width="55.109375" style="469" customWidth="1"/>
    <col min="4" max="16384" width="9.109375" style="469"/>
  </cols>
  <sheetData>
    <row r="1" spans="1:3">
      <c r="A1" s="482" t="s">
        <v>366</v>
      </c>
      <c r="B1" s="482" t="s">
        <v>367</v>
      </c>
      <c r="C1" s="482" t="s">
        <v>368</v>
      </c>
    </row>
    <row r="2" spans="1:3">
      <c r="A2" s="483">
        <v>0</v>
      </c>
      <c r="B2" s="483" t="s">
        <v>369</v>
      </c>
      <c r="C2" s="483" t="s">
        <v>370</v>
      </c>
    </row>
    <row r="3" spans="1:3">
      <c r="A3" s="483">
        <v>1</v>
      </c>
      <c r="B3" s="482" t="s">
        <v>352</v>
      </c>
      <c r="C3" s="482" t="s">
        <v>405</v>
      </c>
    </row>
    <row r="4" spans="1:3" ht="27.6">
      <c r="A4" s="483">
        <v>2</v>
      </c>
      <c r="B4" s="482" t="s">
        <v>353</v>
      </c>
      <c r="C4" s="484" t="s">
        <v>363</v>
      </c>
    </row>
    <row r="5" spans="1:3">
      <c r="A5" s="483">
        <v>3</v>
      </c>
      <c r="B5" s="483" t="s">
        <v>372</v>
      </c>
      <c r="C5" s="483" t="s">
        <v>412</v>
      </c>
    </row>
    <row r="6" spans="1:3">
      <c r="A6" s="483">
        <v>4</v>
      </c>
      <c r="B6" s="483" t="s">
        <v>373</v>
      </c>
      <c r="C6" s="483" t="s">
        <v>397</v>
      </c>
    </row>
    <row r="7" spans="1:3">
      <c r="A7" s="483">
        <v>5</v>
      </c>
      <c r="B7" s="483" t="s">
        <v>26</v>
      </c>
      <c r="C7" s="483" t="s">
        <v>376</v>
      </c>
    </row>
    <row r="8" spans="1:3">
      <c r="A8" s="483">
        <v>6</v>
      </c>
      <c r="B8" s="483" t="s">
        <v>33</v>
      </c>
      <c r="C8" s="483" t="s">
        <v>398</v>
      </c>
    </row>
    <row r="9" spans="1:3">
      <c r="A9" s="483">
        <v>7</v>
      </c>
      <c r="B9" s="483" t="s">
        <v>30</v>
      </c>
      <c r="C9" s="483" t="s">
        <v>376</v>
      </c>
    </row>
    <row r="10" spans="1:3">
      <c r="A10" s="483">
        <v>8</v>
      </c>
      <c r="B10" s="483" t="s">
        <v>377</v>
      </c>
      <c r="C10" s="483" t="s">
        <v>378</v>
      </c>
    </row>
    <row r="11" spans="1:3">
      <c r="A11" s="483">
        <v>9</v>
      </c>
      <c r="B11" s="483" t="s">
        <v>379</v>
      </c>
      <c r="C11" s="483" t="s">
        <v>380</v>
      </c>
    </row>
    <row r="12" spans="1:3" ht="81.75" customHeight="1">
      <c r="A12" s="1120">
        <v>10</v>
      </c>
      <c r="B12" s="1120" t="s">
        <v>381</v>
      </c>
      <c r="C12" s="484" t="s">
        <v>413</v>
      </c>
    </row>
    <row r="13" spans="1:3" ht="44.25" customHeight="1">
      <c r="A13" s="1120"/>
      <c r="B13" s="1120"/>
      <c r="C13" s="484" t="s">
        <v>414</v>
      </c>
    </row>
    <row r="14" spans="1:3" ht="57" customHeight="1">
      <c r="A14" s="1120"/>
      <c r="B14" s="1120"/>
      <c r="C14" s="484" t="s">
        <v>415</v>
      </c>
    </row>
    <row r="15" spans="1:3" ht="30" customHeight="1">
      <c r="A15" s="1120"/>
      <c r="B15" s="1120"/>
      <c r="C15" s="484" t="s">
        <v>416</v>
      </c>
    </row>
    <row r="16" spans="1:3">
      <c r="A16" s="483">
        <v>11</v>
      </c>
      <c r="B16" s="483" t="s">
        <v>385</v>
      </c>
      <c r="C16" s="483" t="s">
        <v>186</v>
      </c>
    </row>
    <row r="17" spans="1:3">
      <c r="A17" s="483">
        <v>12</v>
      </c>
      <c r="B17" s="483" t="s">
        <v>386</v>
      </c>
      <c r="C17" s="483" t="s">
        <v>403</v>
      </c>
    </row>
    <row r="18" spans="1:3">
      <c r="A18" s="483">
        <v>13</v>
      </c>
      <c r="B18" s="483" t="s">
        <v>388</v>
      </c>
      <c r="C18" s="484"/>
    </row>
    <row r="19" spans="1:3" ht="31.5" customHeight="1">
      <c r="A19" s="1120">
        <v>14</v>
      </c>
      <c r="B19" s="1120" t="s">
        <v>389</v>
      </c>
      <c r="C19" s="484" t="s">
        <v>390</v>
      </c>
    </row>
    <row r="20" spans="1:3" ht="40.5" customHeight="1">
      <c r="A20" s="1120"/>
      <c r="B20" s="1120"/>
      <c r="C20" s="484" t="s">
        <v>404</v>
      </c>
    </row>
    <row r="21" spans="1:3">
      <c r="A21" s="483">
        <v>15</v>
      </c>
      <c r="B21" s="483" t="s">
        <v>392</v>
      </c>
      <c r="C21" s="484"/>
    </row>
    <row r="22" spans="1:3">
      <c r="A22" s="483">
        <v>16</v>
      </c>
      <c r="B22" s="483" t="s">
        <v>393</v>
      </c>
      <c r="C22" s="483"/>
    </row>
    <row r="23" spans="1:3">
      <c r="A23" s="483">
        <v>17</v>
      </c>
      <c r="B23" s="483" t="s">
        <v>394</v>
      </c>
      <c r="C23" s="484"/>
    </row>
  </sheetData>
  <mergeCells count="4">
    <mergeCell ref="A12:A15"/>
    <mergeCell ref="B12:B15"/>
    <mergeCell ref="A19:A20"/>
    <mergeCell ref="B19:B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C21"/>
  <sheetViews>
    <sheetView workbookViewId="0">
      <selection activeCell="H12" sqref="H12"/>
    </sheetView>
  </sheetViews>
  <sheetFormatPr defaultColWidth="9.109375" defaultRowHeight="14.4"/>
  <cols>
    <col min="1" max="1" width="9.109375" style="469"/>
    <col min="2" max="2" width="24.6640625" style="469" customWidth="1"/>
    <col min="3" max="3" width="42.109375" style="469" customWidth="1"/>
    <col min="4" max="16384" width="9.109375" style="469"/>
  </cols>
  <sheetData>
    <row r="1" spans="1:3">
      <c r="A1" s="482" t="s">
        <v>366</v>
      </c>
      <c r="B1" s="482" t="s">
        <v>367</v>
      </c>
      <c r="C1" s="482" t="s">
        <v>368</v>
      </c>
    </row>
    <row r="2" spans="1:3">
      <c r="A2" s="483">
        <v>0</v>
      </c>
      <c r="B2" s="483" t="s">
        <v>369</v>
      </c>
      <c r="C2" s="483" t="s">
        <v>370</v>
      </c>
    </row>
    <row r="3" spans="1:3">
      <c r="A3" s="483">
        <v>1</v>
      </c>
      <c r="B3" s="482" t="s">
        <v>352</v>
      </c>
      <c r="C3" s="482" t="s">
        <v>411</v>
      </c>
    </row>
    <row r="4" spans="1:3" ht="61.2" customHeight="1">
      <c r="A4" s="483">
        <v>2</v>
      </c>
      <c r="B4" s="482" t="s">
        <v>353</v>
      </c>
      <c r="C4" s="674" t="s">
        <v>503</v>
      </c>
    </row>
    <row r="5" spans="1:3">
      <c r="A5" s="483">
        <v>3</v>
      </c>
      <c r="B5" s="483" t="s">
        <v>372</v>
      </c>
      <c r="C5" s="483" t="s">
        <v>298</v>
      </c>
    </row>
    <row r="6" spans="1:3">
      <c r="A6" s="483">
        <v>4</v>
      </c>
      <c r="B6" s="483" t="s">
        <v>373</v>
      </c>
      <c r="C6" s="483" t="s">
        <v>374</v>
      </c>
    </row>
    <row r="7" spans="1:3">
      <c r="A7" s="483">
        <v>5</v>
      </c>
      <c r="B7" s="483" t="s">
        <v>26</v>
      </c>
      <c r="C7" s="485">
        <v>0</v>
      </c>
    </row>
    <row r="8" spans="1:3">
      <c r="A8" s="483">
        <v>6</v>
      </c>
      <c r="B8" s="483" t="s">
        <v>33</v>
      </c>
      <c r="C8" s="483" t="s">
        <v>375</v>
      </c>
    </row>
    <row r="9" spans="1:3">
      <c r="A9" s="483">
        <v>7</v>
      </c>
      <c r="B9" s="483" t="s">
        <v>30</v>
      </c>
      <c r="C9" s="483" t="s">
        <v>376</v>
      </c>
    </row>
    <row r="10" spans="1:3">
      <c r="A10" s="483">
        <v>8</v>
      </c>
      <c r="B10" s="483" t="s">
        <v>377</v>
      </c>
      <c r="C10" s="483" t="s">
        <v>378</v>
      </c>
    </row>
    <row r="11" spans="1:3">
      <c r="A11" s="483">
        <v>9</v>
      </c>
      <c r="B11" s="483" t="s">
        <v>379</v>
      </c>
      <c r="C11" s="483" t="s">
        <v>380</v>
      </c>
    </row>
    <row r="12" spans="1:3" ht="250.2" customHeight="1">
      <c r="A12" s="483">
        <v>10</v>
      </c>
      <c r="B12" s="483" t="s">
        <v>381</v>
      </c>
      <c r="C12" s="677" t="s">
        <v>504</v>
      </c>
    </row>
    <row r="13" spans="1:3">
      <c r="A13" s="483">
        <v>11</v>
      </c>
      <c r="B13" s="483" t="s">
        <v>385</v>
      </c>
      <c r="C13" s="483" t="s">
        <v>34</v>
      </c>
    </row>
    <row r="14" spans="1:3">
      <c r="A14" s="483">
        <v>12</v>
      </c>
      <c r="B14" s="483" t="s">
        <v>386</v>
      </c>
      <c r="C14" s="483" t="s">
        <v>387</v>
      </c>
    </row>
    <row r="15" spans="1:3">
      <c r="A15" s="483">
        <v>13</v>
      </c>
      <c r="B15" s="483" t="s">
        <v>388</v>
      </c>
      <c r="C15" s="484"/>
    </row>
    <row r="16" spans="1:3" ht="33" customHeight="1">
      <c r="A16" s="1120">
        <v>14</v>
      </c>
      <c r="B16" s="1120" t="s">
        <v>389</v>
      </c>
      <c r="C16" s="484" t="s">
        <v>390</v>
      </c>
    </row>
    <row r="17" spans="1:3" ht="43.5" customHeight="1">
      <c r="A17" s="1120"/>
      <c r="B17" s="1120"/>
      <c r="C17" s="484" t="s">
        <v>391</v>
      </c>
    </row>
    <row r="18" spans="1:3">
      <c r="A18" s="483">
        <v>15</v>
      </c>
      <c r="B18" s="483" t="s">
        <v>392</v>
      </c>
      <c r="C18" s="484"/>
    </row>
    <row r="19" spans="1:3">
      <c r="A19" s="483">
        <v>16</v>
      </c>
      <c r="B19" s="483" t="s">
        <v>393</v>
      </c>
      <c r="C19" s="483"/>
    </row>
    <row r="20" spans="1:3">
      <c r="A20" s="483">
        <v>17</v>
      </c>
      <c r="B20" s="483" t="s">
        <v>394</v>
      </c>
      <c r="C20" s="484"/>
    </row>
    <row r="21" spans="1:3">
      <c r="A21" s="675"/>
      <c r="B21" s="676"/>
      <c r="C21" s="676"/>
    </row>
  </sheetData>
  <mergeCells count="2">
    <mergeCell ref="A16:A17"/>
    <mergeCell ref="B16:B17"/>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23"/>
  <sheetViews>
    <sheetView topLeftCell="A9" workbookViewId="0">
      <selection activeCell="C16" sqref="C16"/>
    </sheetView>
  </sheetViews>
  <sheetFormatPr defaultColWidth="9.109375" defaultRowHeight="14.4"/>
  <cols>
    <col min="1" max="1" width="9.109375" style="469"/>
    <col min="2" max="2" width="24.6640625" style="469" customWidth="1"/>
    <col min="3" max="3" width="55.109375" style="469" customWidth="1"/>
    <col min="4" max="16384" width="9.109375" style="469"/>
  </cols>
  <sheetData>
    <row r="1" spans="1:3">
      <c r="A1" s="482" t="s">
        <v>366</v>
      </c>
      <c r="B1" s="482" t="s">
        <v>367</v>
      </c>
      <c r="C1" s="482" t="s">
        <v>368</v>
      </c>
    </row>
    <row r="2" spans="1:3">
      <c r="A2" s="483">
        <v>0</v>
      </c>
      <c r="B2" s="483" t="s">
        <v>369</v>
      </c>
      <c r="C2" s="483" t="s">
        <v>370</v>
      </c>
    </row>
    <row r="3" spans="1:3">
      <c r="A3" s="483">
        <v>1</v>
      </c>
      <c r="B3" s="482" t="s">
        <v>352</v>
      </c>
      <c r="C3" s="482" t="s">
        <v>405</v>
      </c>
    </row>
    <row r="4" spans="1:3" ht="27.6">
      <c r="A4" s="483">
        <v>2</v>
      </c>
      <c r="B4" s="482" t="s">
        <v>353</v>
      </c>
      <c r="C4" s="674" t="s">
        <v>505</v>
      </c>
    </row>
    <row r="5" spans="1:3">
      <c r="A5" s="483">
        <v>3</v>
      </c>
      <c r="B5" s="483" t="s">
        <v>372</v>
      </c>
      <c r="C5" s="678" t="s">
        <v>406</v>
      </c>
    </row>
    <row r="6" spans="1:3">
      <c r="A6" s="483">
        <v>4</v>
      </c>
      <c r="B6" s="483" t="s">
        <v>373</v>
      </c>
      <c r="C6" s="483" t="s">
        <v>397</v>
      </c>
    </row>
    <row r="7" spans="1:3">
      <c r="A7" s="483">
        <v>5</v>
      </c>
      <c r="B7" s="483" t="s">
        <v>26</v>
      </c>
      <c r="C7" s="679">
        <v>0</v>
      </c>
    </row>
    <row r="8" spans="1:3">
      <c r="A8" s="483">
        <v>6</v>
      </c>
      <c r="B8" s="483" t="s">
        <v>33</v>
      </c>
      <c r="C8" s="483" t="s">
        <v>398</v>
      </c>
    </row>
    <row r="9" spans="1:3">
      <c r="A9" s="483">
        <v>7</v>
      </c>
      <c r="B9" s="483" t="s">
        <v>30</v>
      </c>
      <c r="C9" s="483" t="s">
        <v>376</v>
      </c>
    </row>
    <row r="10" spans="1:3">
      <c r="A10" s="483">
        <v>8</v>
      </c>
      <c r="B10" s="483" t="s">
        <v>377</v>
      </c>
      <c r="C10" s="483" t="s">
        <v>378</v>
      </c>
    </row>
    <row r="11" spans="1:3">
      <c r="A11" s="483">
        <v>9</v>
      </c>
      <c r="B11" s="483" t="s">
        <v>379</v>
      </c>
      <c r="C11" s="483" t="s">
        <v>380</v>
      </c>
    </row>
    <row r="12" spans="1:3" ht="81.75" customHeight="1">
      <c r="A12" s="483">
        <v>10</v>
      </c>
      <c r="B12" s="483" t="s">
        <v>381</v>
      </c>
      <c r="C12" s="674" t="s">
        <v>506</v>
      </c>
    </row>
    <row r="13" spans="1:3" ht="44.25" customHeight="1">
      <c r="A13" s="483"/>
      <c r="B13" s="483"/>
      <c r="C13" s="513" t="s">
        <v>458</v>
      </c>
    </row>
    <row r="14" spans="1:3" ht="82.95" customHeight="1">
      <c r="A14" s="483"/>
      <c r="B14" s="483"/>
      <c r="C14" s="674" t="s">
        <v>507</v>
      </c>
    </row>
    <row r="15" spans="1:3" ht="30" customHeight="1">
      <c r="A15" s="483"/>
      <c r="B15" s="483"/>
      <c r="C15" s="484"/>
    </row>
    <row r="16" spans="1:3">
      <c r="A16" s="483">
        <v>11</v>
      </c>
      <c r="B16" s="483" t="s">
        <v>385</v>
      </c>
      <c r="C16" s="678" t="s">
        <v>508</v>
      </c>
    </row>
    <row r="17" spans="1:3">
      <c r="A17" s="483">
        <v>12</v>
      </c>
      <c r="B17" s="483" t="s">
        <v>386</v>
      </c>
      <c r="C17" s="483" t="s">
        <v>387</v>
      </c>
    </row>
    <row r="18" spans="1:3">
      <c r="A18" s="483">
        <v>13</v>
      </c>
      <c r="B18" s="483" t="s">
        <v>388</v>
      </c>
      <c r="C18" s="484"/>
    </row>
    <row r="19" spans="1:3" ht="31.5" customHeight="1">
      <c r="A19" s="483">
        <v>14</v>
      </c>
      <c r="B19" s="483" t="s">
        <v>389</v>
      </c>
      <c r="C19" s="484" t="s">
        <v>390</v>
      </c>
    </row>
    <row r="20" spans="1:3" ht="40.5" customHeight="1">
      <c r="A20" s="483"/>
      <c r="B20" s="483"/>
      <c r="C20" s="484" t="s">
        <v>404</v>
      </c>
    </row>
    <row r="21" spans="1:3">
      <c r="A21" s="483">
        <v>15</v>
      </c>
      <c r="B21" s="483" t="s">
        <v>392</v>
      </c>
      <c r="C21" s="484"/>
    </row>
    <row r="22" spans="1:3">
      <c r="A22" s="483">
        <v>16</v>
      </c>
      <c r="B22" s="483" t="s">
        <v>393</v>
      </c>
      <c r="C22" s="483"/>
    </row>
    <row r="23" spans="1:3">
      <c r="A23" s="483">
        <v>17</v>
      </c>
      <c r="B23" s="483" t="s">
        <v>394</v>
      </c>
      <c r="C23" s="484"/>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1"/>
  <sheetViews>
    <sheetView workbookViewId="0">
      <selection activeCell="G17" sqref="G17"/>
    </sheetView>
  </sheetViews>
  <sheetFormatPr defaultColWidth="9.109375" defaultRowHeight="13.8"/>
  <cols>
    <col min="1" max="1" width="9.109375" style="481"/>
    <col min="2" max="2" width="24.6640625" style="481" customWidth="1"/>
    <col min="3" max="3" width="62.109375" style="481" customWidth="1"/>
    <col min="4" max="16384" width="9.109375" style="481"/>
  </cols>
  <sheetData>
    <row r="1" spans="1:3">
      <c r="A1" s="482" t="s">
        <v>366</v>
      </c>
      <c r="B1" s="482" t="s">
        <v>367</v>
      </c>
      <c r="C1" s="482" t="s">
        <v>368</v>
      </c>
    </row>
    <row r="2" spans="1:3">
      <c r="A2" s="483">
        <v>0</v>
      </c>
      <c r="B2" s="483" t="s">
        <v>369</v>
      </c>
      <c r="C2" s="483" t="s">
        <v>370</v>
      </c>
    </row>
    <row r="3" spans="1:3">
      <c r="A3" s="483">
        <v>1</v>
      </c>
      <c r="B3" s="482" t="s">
        <v>352</v>
      </c>
      <c r="C3" s="482" t="s">
        <v>411</v>
      </c>
    </row>
    <row r="4" spans="1:3" ht="27.6">
      <c r="A4" s="483">
        <v>2</v>
      </c>
      <c r="B4" s="483" t="s">
        <v>353</v>
      </c>
      <c r="C4" s="484" t="s">
        <v>445</v>
      </c>
    </row>
    <row r="5" spans="1:3">
      <c r="A5" s="483">
        <v>3</v>
      </c>
      <c r="B5" s="483" t="s">
        <v>372</v>
      </c>
      <c r="C5" s="483" t="s">
        <v>298</v>
      </c>
    </row>
    <row r="6" spans="1:3">
      <c r="A6" s="483">
        <v>4</v>
      </c>
      <c r="B6" s="483" t="s">
        <v>373</v>
      </c>
      <c r="C6" s="483" t="s">
        <v>374</v>
      </c>
    </row>
    <row r="7" spans="1:3">
      <c r="A7" s="483">
        <v>5</v>
      </c>
      <c r="B7" s="483" t="s">
        <v>26</v>
      </c>
      <c r="C7" s="485">
        <v>0</v>
      </c>
    </row>
    <row r="8" spans="1:3">
      <c r="A8" s="483">
        <v>6</v>
      </c>
      <c r="B8" s="483" t="s">
        <v>33</v>
      </c>
      <c r="C8" s="483" t="s">
        <v>375</v>
      </c>
    </row>
    <row r="9" spans="1:3">
      <c r="A9" s="483">
        <v>7</v>
      </c>
      <c r="B9" s="483" t="s">
        <v>30</v>
      </c>
      <c r="C9" s="483" t="s">
        <v>376</v>
      </c>
    </row>
    <row r="10" spans="1:3">
      <c r="A10" s="483">
        <v>8</v>
      </c>
      <c r="B10" s="483" t="s">
        <v>377</v>
      </c>
      <c r="C10" s="483" t="s">
        <v>378</v>
      </c>
    </row>
    <row r="11" spans="1:3">
      <c r="A11" s="483">
        <v>9</v>
      </c>
      <c r="B11" s="483" t="s">
        <v>379</v>
      </c>
      <c r="C11" s="483" t="s">
        <v>380</v>
      </c>
    </row>
    <row r="12" spans="1:3" ht="34.5" customHeight="1">
      <c r="A12" s="1120">
        <v>10</v>
      </c>
      <c r="B12" s="1120" t="s">
        <v>381</v>
      </c>
      <c r="C12" s="484" t="s">
        <v>417</v>
      </c>
    </row>
    <row r="13" spans="1:3" ht="57.75" customHeight="1">
      <c r="A13" s="1120"/>
      <c r="B13" s="1120"/>
      <c r="C13" s="484" t="s">
        <v>418</v>
      </c>
    </row>
    <row r="14" spans="1:3">
      <c r="A14" s="483">
        <v>11</v>
      </c>
      <c r="B14" s="483" t="s">
        <v>385</v>
      </c>
      <c r="C14" s="483" t="s">
        <v>34</v>
      </c>
    </row>
    <row r="15" spans="1:3">
      <c r="A15" s="483">
        <v>12</v>
      </c>
      <c r="B15" s="483" t="s">
        <v>386</v>
      </c>
      <c r="C15" s="483" t="s">
        <v>387</v>
      </c>
    </row>
    <row r="16" spans="1:3">
      <c r="A16" s="483">
        <v>13</v>
      </c>
      <c r="B16" s="483" t="s">
        <v>388</v>
      </c>
      <c r="C16" s="484"/>
    </row>
    <row r="17" spans="1:3" ht="24" customHeight="1">
      <c r="A17" s="1120">
        <v>14</v>
      </c>
      <c r="B17" s="1120" t="s">
        <v>389</v>
      </c>
      <c r="C17" s="484" t="s">
        <v>390</v>
      </c>
    </row>
    <row r="18" spans="1:3" ht="43.5" customHeight="1">
      <c r="A18" s="1120"/>
      <c r="B18" s="1120"/>
      <c r="C18" s="484" t="s">
        <v>391</v>
      </c>
    </row>
    <row r="19" spans="1:3">
      <c r="A19" s="483">
        <v>15</v>
      </c>
      <c r="B19" s="483" t="s">
        <v>392</v>
      </c>
      <c r="C19" s="484"/>
    </row>
    <row r="20" spans="1:3">
      <c r="A20" s="483">
        <v>16</v>
      </c>
      <c r="B20" s="483" t="s">
        <v>393</v>
      </c>
      <c r="C20" s="483"/>
    </row>
    <row r="21" spans="1:3">
      <c r="A21" s="483">
        <v>17</v>
      </c>
      <c r="B21" s="483" t="s">
        <v>394</v>
      </c>
      <c r="C21" s="484"/>
    </row>
  </sheetData>
  <mergeCells count="4">
    <mergeCell ref="A12:A13"/>
    <mergeCell ref="B12:B13"/>
    <mergeCell ref="A17:A18"/>
    <mergeCell ref="B17:B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workbookViewId="0">
      <selection activeCell="C16" sqref="C16"/>
    </sheetView>
  </sheetViews>
  <sheetFormatPr defaultColWidth="9.109375" defaultRowHeight="14.4"/>
  <cols>
    <col min="1" max="1" width="9.109375" style="469"/>
    <col min="2" max="2" width="27.6640625" style="469" customWidth="1"/>
    <col min="3" max="3" width="47.44140625" style="469" customWidth="1"/>
    <col min="4" max="16384" width="9.109375" style="469"/>
  </cols>
  <sheetData>
    <row r="1" spans="1:3">
      <c r="A1" s="482" t="s">
        <v>366</v>
      </c>
      <c r="B1" s="482" t="s">
        <v>367</v>
      </c>
      <c r="C1" s="482" t="s">
        <v>368</v>
      </c>
    </row>
    <row r="2" spans="1:3">
      <c r="A2" s="483">
        <v>0</v>
      </c>
      <c r="B2" s="483" t="s">
        <v>369</v>
      </c>
      <c r="C2" s="483" t="s">
        <v>370</v>
      </c>
    </row>
    <row r="3" spans="1:3">
      <c r="A3" s="483">
        <v>1</v>
      </c>
      <c r="B3" s="482" t="s">
        <v>352</v>
      </c>
      <c r="C3" s="482" t="s">
        <v>405</v>
      </c>
    </row>
    <row r="4" spans="1:3" ht="27.6">
      <c r="A4" s="483">
        <v>2</v>
      </c>
      <c r="B4" s="482" t="s">
        <v>353</v>
      </c>
      <c r="C4" s="484" t="s">
        <v>359</v>
      </c>
    </row>
    <row r="5" spans="1:3">
      <c r="A5" s="483">
        <v>3</v>
      </c>
      <c r="B5" s="483" t="s">
        <v>372</v>
      </c>
      <c r="C5" s="483" t="s">
        <v>305</v>
      </c>
    </row>
    <row r="6" spans="1:3">
      <c r="A6" s="483">
        <v>4</v>
      </c>
      <c r="B6" s="483" t="s">
        <v>373</v>
      </c>
      <c r="C6" s="483" t="s">
        <v>397</v>
      </c>
    </row>
    <row r="7" spans="1:3">
      <c r="A7" s="483">
        <v>5</v>
      </c>
      <c r="B7" s="483" t="s">
        <v>26</v>
      </c>
      <c r="C7" s="483" t="s">
        <v>376</v>
      </c>
    </row>
    <row r="8" spans="1:3">
      <c r="A8" s="483">
        <v>6</v>
      </c>
      <c r="B8" s="483" t="s">
        <v>33</v>
      </c>
      <c r="C8" s="483" t="s">
        <v>398</v>
      </c>
    </row>
    <row r="9" spans="1:3">
      <c r="A9" s="483">
        <v>7</v>
      </c>
      <c r="B9" s="483" t="s">
        <v>30</v>
      </c>
      <c r="C9" s="483" t="s">
        <v>376</v>
      </c>
    </row>
    <row r="10" spans="1:3">
      <c r="A10" s="483">
        <v>8</v>
      </c>
      <c r="B10" s="483" t="s">
        <v>377</v>
      </c>
      <c r="C10" s="483" t="s">
        <v>378</v>
      </c>
    </row>
    <row r="11" spans="1:3">
      <c r="A11" s="483">
        <v>9</v>
      </c>
      <c r="B11" s="483" t="s">
        <v>379</v>
      </c>
      <c r="C11" s="483" t="s">
        <v>380</v>
      </c>
    </row>
    <row r="12" spans="1:3" ht="33" customHeight="1">
      <c r="A12" s="1120">
        <v>10</v>
      </c>
      <c r="B12" s="1120" t="s">
        <v>381</v>
      </c>
      <c r="C12" s="484" t="s">
        <v>419</v>
      </c>
    </row>
    <row r="13" spans="1:3" ht="79.5" customHeight="1">
      <c r="A13" s="1120"/>
      <c r="B13" s="1120"/>
      <c r="C13" s="484" t="s">
        <v>420</v>
      </c>
    </row>
    <row r="14" spans="1:3" ht="126" customHeight="1">
      <c r="A14" s="1120"/>
      <c r="B14" s="1120"/>
      <c r="C14" s="484" t="s">
        <v>421</v>
      </c>
    </row>
    <row r="15" spans="1:3" ht="93" customHeight="1">
      <c r="A15" s="1120"/>
      <c r="B15" s="1120"/>
      <c r="C15" s="484" t="s">
        <v>422</v>
      </c>
    </row>
    <row r="16" spans="1:3" ht="42.75" customHeight="1">
      <c r="A16" s="1120"/>
      <c r="B16" s="1120"/>
      <c r="C16" s="484" t="s">
        <v>423</v>
      </c>
    </row>
    <row r="17" spans="1:3">
      <c r="A17" s="483">
        <v>11</v>
      </c>
      <c r="B17" s="483" t="s">
        <v>385</v>
      </c>
      <c r="C17" s="483" t="s">
        <v>34</v>
      </c>
    </row>
    <row r="18" spans="1:3">
      <c r="A18" s="483">
        <v>12</v>
      </c>
      <c r="B18" s="483" t="s">
        <v>386</v>
      </c>
      <c r="C18" s="483" t="s">
        <v>403</v>
      </c>
    </row>
    <row r="19" spans="1:3" ht="48.75" customHeight="1">
      <c r="A19" s="483">
        <v>13</v>
      </c>
      <c r="B19" s="483" t="s">
        <v>388</v>
      </c>
      <c r="C19" s="484" t="s">
        <v>424</v>
      </c>
    </row>
    <row r="20" spans="1:3" ht="32.25" customHeight="1">
      <c r="A20" s="1120">
        <v>14</v>
      </c>
      <c r="B20" s="1120" t="s">
        <v>389</v>
      </c>
      <c r="C20" s="484" t="s">
        <v>390</v>
      </c>
    </row>
    <row r="21" spans="1:3" ht="42" customHeight="1">
      <c r="A21" s="1120"/>
      <c r="B21" s="1120"/>
      <c r="C21" s="484" t="s">
        <v>404</v>
      </c>
    </row>
    <row r="22" spans="1:3">
      <c r="A22" s="483">
        <v>15</v>
      </c>
      <c r="B22" s="483" t="s">
        <v>392</v>
      </c>
      <c r="C22" s="484"/>
    </row>
    <row r="23" spans="1:3">
      <c r="A23" s="483">
        <v>16</v>
      </c>
      <c r="B23" s="483" t="s">
        <v>393</v>
      </c>
      <c r="C23" s="483"/>
    </row>
    <row r="24" spans="1:3">
      <c r="A24" s="483">
        <v>17</v>
      </c>
      <c r="B24" s="483" t="s">
        <v>394</v>
      </c>
      <c r="C24" s="484"/>
    </row>
  </sheetData>
  <mergeCells count="4">
    <mergeCell ref="A12:A16"/>
    <mergeCell ref="B12:B16"/>
    <mergeCell ref="A20:A21"/>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1"/>
  <sheetViews>
    <sheetView topLeftCell="H39" zoomScale="55" zoomScaleNormal="55" workbookViewId="0">
      <selection activeCell="P42" sqref="P42"/>
    </sheetView>
  </sheetViews>
  <sheetFormatPr defaultColWidth="9.109375" defaultRowHeight="14.4"/>
  <cols>
    <col min="1" max="1" width="19.109375" customWidth="1"/>
    <col min="2" max="2" width="18.33203125" style="67" customWidth="1"/>
    <col min="3" max="3" width="17.5546875" bestFit="1" customWidth="1"/>
    <col min="4" max="4" width="16" customWidth="1"/>
    <col min="5" max="5" width="20.33203125" customWidth="1"/>
    <col min="6" max="6" width="16.44140625" customWidth="1"/>
    <col min="7" max="7" width="19.109375" customWidth="1"/>
    <col min="8" max="8" width="17.109375" bestFit="1" customWidth="1"/>
    <col min="9" max="9" width="17.33203125" customWidth="1"/>
    <col min="10" max="10" width="16.44140625" customWidth="1"/>
    <col min="11" max="11" width="15.5546875" bestFit="1" customWidth="1"/>
    <col min="12" max="12" width="13.6640625" customWidth="1"/>
    <col min="13" max="13" width="14.6640625" customWidth="1"/>
    <col min="14" max="14" width="10.33203125" style="66" customWidth="1"/>
    <col min="15" max="15" width="11.6640625" style="66" customWidth="1"/>
    <col min="16" max="16" width="12.109375" customWidth="1"/>
    <col min="17" max="17" width="26.6640625" customWidth="1"/>
    <col min="18" max="18" width="77.88671875" customWidth="1"/>
    <col min="19" max="19" width="75" style="217" customWidth="1"/>
    <col min="20" max="20" width="9.109375" style="119"/>
    <col min="21" max="21" width="59.6640625" style="119" customWidth="1"/>
    <col min="22" max="22" width="15.109375" style="119" bestFit="1" customWidth="1"/>
  </cols>
  <sheetData>
    <row r="1" spans="1:22" s="113" customFormat="1">
      <c r="A1" s="893" t="s">
        <v>11</v>
      </c>
      <c r="B1" s="893"/>
      <c r="C1" s="893"/>
      <c r="D1" s="893"/>
      <c r="E1" s="893"/>
      <c r="I1" s="135" t="s">
        <v>129</v>
      </c>
      <c r="J1" s="135"/>
      <c r="K1" s="135"/>
      <c r="L1" s="135"/>
      <c r="M1" s="135"/>
      <c r="N1" s="135"/>
      <c r="O1" s="135"/>
      <c r="P1" s="135"/>
      <c r="S1" s="432"/>
      <c r="T1" s="131"/>
      <c r="U1" s="131"/>
      <c r="V1" s="131"/>
    </row>
    <row r="2" spans="1:22" s="113" customFormat="1" ht="16.5" customHeight="1">
      <c r="A2" s="113" t="s">
        <v>108</v>
      </c>
      <c r="S2" s="432"/>
      <c r="T2" s="131"/>
      <c r="U2" s="131"/>
      <c r="V2" s="131"/>
    </row>
    <row r="3" spans="1:22" s="113" customFormat="1" ht="16.5" customHeight="1">
      <c r="A3" s="899" t="s">
        <v>109</v>
      </c>
      <c r="B3" s="899"/>
      <c r="C3" s="899"/>
      <c r="D3" s="899"/>
      <c r="E3" s="899"/>
      <c r="F3" s="899"/>
      <c r="G3" s="899"/>
      <c r="J3" s="113" t="s">
        <v>128</v>
      </c>
      <c r="N3" s="114"/>
      <c r="O3" s="114"/>
      <c r="S3" s="432"/>
      <c r="T3" s="131"/>
      <c r="U3" s="131"/>
      <c r="V3" s="131"/>
    </row>
    <row r="4" spans="1:22" s="113" customFormat="1" ht="16.5" customHeight="1">
      <c r="A4" s="903" t="s">
        <v>136</v>
      </c>
      <c r="B4" s="903"/>
      <c r="C4" s="903"/>
      <c r="D4" s="903"/>
      <c r="E4" s="903"/>
      <c r="F4" s="903"/>
      <c r="G4" s="903"/>
      <c r="N4" s="114"/>
      <c r="O4" s="114"/>
      <c r="S4" s="432"/>
      <c r="T4" s="131"/>
      <c r="U4" s="131"/>
      <c r="V4" s="131"/>
    </row>
    <row r="5" spans="1:22" s="113" customFormat="1" ht="16.5" customHeight="1">
      <c r="A5" s="899" t="s">
        <v>111</v>
      </c>
      <c r="B5" s="899"/>
      <c r="C5" s="899"/>
      <c r="D5" s="899"/>
      <c r="E5" s="899"/>
      <c r="F5" s="899"/>
      <c r="G5" s="899"/>
      <c r="N5" s="114"/>
      <c r="O5" s="114"/>
      <c r="S5" s="432"/>
      <c r="T5" s="131"/>
      <c r="U5" s="131"/>
      <c r="V5" s="131"/>
    </row>
    <row r="6" spans="1:22" s="113" customFormat="1" ht="16.5" customHeight="1">
      <c r="A6" s="899" t="s">
        <v>102</v>
      </c>
      <c r="B6" s="899"/>
      <c r="C6" s="899"/>
      <c r="D6" s="899"/>
      <c r="E6" s="899"/>
      <c r="F6" s="899"/>
      <c r="G6" s="899"/>
      <c r="H6" s="899"/>
      <c r="N6" s="114"/>
      <c r="O6" s="114"/>
      <c r="S6" s="432"/>
      <c r="T6" s="131"/>
      <c r="U6" s="131"/>
      <c r="V6" s="131"/>
    </row>
    <row r="7" spans="1:22" s="113" customFormat="1" ht="16.5" customHeight="1">
      <c r="A7" s="899" t="s">
        <v>103</v>
      </c>
      <c r="B7" s="899"/>
      <c r="C7" s="899"/>
      <c r="D7" s="899"/>
      <c r="E7" s="899"/>
      <c r="F7" s="899"/>
      <c r="G7" s="899"/>
      <c r="N7" s="114"/>
      <c r="O7" s="114"/>
      <c r="S7" s="432"/>
      <c r="T7" s="131"/>
      <c r="U7" s="131"/>
      <c r="V7" s="131"/>
    </row>
    <row r="8" spans="1:22" s="113" customFormat="1" ht="16.5" customHeight="1">
      <c r="A8" s="899" t="s">
        <v>112</v>
      </c>
      <c r="B8" s="899"/>
      <c r="C8" s="899"/>
      <c r="D8" s="899"/>
      <c r="E8" s="899"/>
      <c r="F8" s="899"/>
      <c r="G8" s="899"/>
      <c r="N8" s="114"/>
      <c r="O8" s="114"/>
      <c r="S8" s="432"/>
      <c r="T8" s="131"/>
      <c r="U8" s="131"/>
      <c r="V8" s="131"/>
    </row>
    <row r="9" spans="1:22" s="113" customFormat="1" ht="16.5" customHeight="1">
      <c r="A9" s="899" t="s">
        <v>113</v>
      </c>
      <c r="B9" s="899"/>
      <c r="C9" s="899"/>
      <c r="D9" s="899"/>
      <c r="E9" s="899"/>
      <c r="F9" s="899"/>
      <c r="G9" s="899"/>
      <c r="N9" s="114"/>
      <c r="O9" s="114"/>
      <c r="S9" s="432"/>
      <c r="T9" s="131"/>
      <c r="U9" s="131"/>
      <c r="V9" s="131"/>
    </row>
    <row r="10" spans="1:22" ht="15" thickBot="1">
      <c r="A10" t="s">
        <v>135</v>
      </c>
    </row>
    <row r="11" spans="1:22" ht="15" customHeight="1">
      <c r="A11" s="908" t="s">
        <v>24</v>
      </c>
      <c r="B11" s="904" t="s">
        <v>132</v>
      </c>
      <c r="C11" s="910" t="s">
        <v>133</v>
      </c>
      <c r="D11" s="918" t="s">
        <v>4</v>
      </c>
      <c r="E11" s="919"/>
      <c r="F11" s="919"/>
      <c r="G11" s="908" t="s">
        <v>18</v>
      </c>
      <c r="H11" s="920" t="s">
        <v>19</v>
      </c>
      <c r="I11" s="920"/>
      <c r="J11" s="914" t="s">
        <v>31</v>
      </c>
      <c r="K11" s="906" t="s">
        <v>38</v>
      </c>
      <c r="L11" s="914" t="s">
        <v>32</v>
      </c>
      <c r="M11" s="919" t="s">
        <v>26</v>
      </c>
      <c r="N11" s="921"/>
      <c r="O11" s="914" t="s">
        <v>33</v>
      </c>
      <c r="P11" s="914" t="s">
        <v>30</v>
      </c>
      <c r="Q11" s="914" t="s">
        <v>39</v>
      </c>
      <c r="R11" s="916" t="s">
        <v>40</v>
      </c>
    </row>
    <row r="12" spans="1:22" ht="65.400000000000006" customHeight="1" thickBot="1">
      <c r="A12" s="909"/>
      <c r="B12" s="905"/>
      <c r="C12" s="911"/>
      <c r="D12" s="1" t="s">
        <v>7</v>
      </c>
      <c r="E12" s="6" t="s">
        <v>17</v>
      </c>
      <c r="F12" s="5" t="s">
        <v>25</v>
      </c>
      <c r="G12" s="909"/>
      <c r="H12" s="1" t="s">
        <v>20</v>
      </c>
      <c r="I12" s="2" t="s">
        <v>21</v>
      </c>
      <c r="J12" s="915"/>
      <c r="K12" s="907"/>
      <c r="L12" s="915"/>
      <c r="M12" s="2" t="s">
        <v>27</v>
      </c>
      <c r="N12" s="2" t="s">
        <v>28</v>
      </c>
      <c r="O12" s="915"/>
      <c r="P12" s="915"/>
      <c r="Q12" s="915"/>
      <c r="R12" s="917"/>
    </row>
    <row r="13" spans="1:22" ht="69.75" customHeight="1">
      <c r="A13" s="852" t="s">
        <v>63</v>
      </c>
      <c r="B13" s="149"/>
      <c r="C13" s="873">
        <v>81711019.799999997</v>
      </c>
      <c r="D13" s="894" t="s">
        <v>85</v>
      </c>
      <c r="E13" s="862">
        <v>49026611.899999999</v>
      </c>
      <c r="F13" s="763">
        <f>E13+(E13*0.3/0.7)</f>
        <v>70038017</v>
      </c>
      <c r="G13" s="934"/>
      <c r="H13" s="93" t="s">
        <v>92</v>
      </c>
      <c r="I13" s="28" t="s">
        <v>101</v>
      </c>
      <c r="J13" s="790" t="s">
        <v>84</v>
      </c>
      <c r="K13" s="785" t="s">
        <v>23</v>
      </c>
      <c r="L13" s="29" t="s">
        <v>66</v>
      </c>
      <c r="M13" s="71">
        <v>0</v>
      </c>
      <c r="N13" s="71">
        <v>2021</v>
      </c>
      <c r="O13" s="91" t="s">
        <v>8</v>
      </c>
      <c r="P13" s="91" t="s">
        <v>55</v>
      </c>
      <c r="Q13" s="72" t="s">
        <v>54</v>
      </c>
      <c r="R13" s="68"/>
    </row>
    <row r="14" spans="1:22" ht="57.6">
      <c r="A14" s="829"/>
      <c r="B14" s="150"/>
      <c r="C14" s="814"/>
      <c r="D14" s="895"/>
      <c r="E14" s="863"/>
      <c r="F14" s="825"/>
      <c r="G14" s="935"/>
      <c r="H14" s="21" t="s">
        <v>93</v>
      </c>
      <c r="I14" s="30" t="s">
        <v>99</v>
      </c>
      <c r="J14" s="791"/>
      <c r="K14" s="786"/>
      <c r="L14" s="31" t="s">
        <v>100</v>
      </c>
      <c r="M14" s="25" t="s">
        <v>62</v>
      </c>
      <c r="N14" s="14">
        <v>2021</v>
      </c>
      <c r="O14" s="26" t="s">
        <v>8</v>
      </c>
      <c r="P14" s="26" t="s">
        <v>55</v>
      </c>
      <c r="Q14" s="73" t="s">
        <v>54</v>
      </c>
      <c r="R14" s="69"/>
    </row>
    <row r="15" spans="1:22" ht="75" customHeight="1">
      <c r="A15" s="829"/>
      <c r="B15" s="150"/>
      <c r="C15" s="814"/>
      <c r="D15" s="895"/>
      <c r="E15" s="863"/>
      <c r="F15" s="825"/>
      <c r="G15" s="935"/>
      <c r="H15" s="21" t="s">
        <v>94</v>
      </c>
      <c r="I15" s="30" t="s">
        <v>96</v>
      </c>
      <c r="J15" s="791"/>
      <c r="K15" s="786"/>
      <c r="L15" s="31" t="s">
        <v>66</v>
      </c>
      <c r="M15" s="14">
        <v>0</v>
      </c>
      <c r="N15" s="8" t="s">
        <v>8</v>
      </c>
      <c r="O15" s="26" t="s">
        <v>55</v>
      </c>
      <c r="P15" s="24" t="s">
        <v>55</v>
      </c>
      <c r="Q15" s="73" t="s">
        <v>54</v>
      </c>
      <c r="R15" s="69"/>
    </row>
    <row r="16" spans="1:22" ht="43.8" thickBot="1">
      <c r="A16" s="829"/>
      <c r="B16" s="150"/>
      <c r="C16" s="814"/>
      <c r="D16" s="895"/>
      <c r="E16" s="863"/>
      <c r="F16" s="825"/>
      <c r="G16" s="935"/>
      <c r="H16" s="21" t="s">
        <v>95</v>
      </c>
      <c r="I16" s="30" t="s">
        <v>97</v>
      </c>
      <c r="J16" s="791"/>
      <c r="K16" s="786"/>
      <c r="L16" s="30" t="s">
        <v>98</v>
      </c>
      <c r="M16" s="14">
        <v>0</v>
      </c>
      <c r="N16" s="8" t="s">
        <v>8</v>
      </c>
      <c r="O16" s="8" t="s">
        <v>71</v>
      </c>
      <c r="P16" s="24" t="s">
        <v>55</v>
      </c>
      <c r="Q16" s="73" t="s">
        <v>54</v>
      </c>
      <c r="R16" s="69"/>
    </row>
    <row r="17" spans="1:18" ht="43.8" thickBot="1">
      <c r="A17" s="829"/>
      <c r="B17" s="150"/>
      <c r="C17" s="814"/>
      <c r="D17" s="896"/>
      <c r="E17" s="864"/>
      <c r="F17" s="800"/>
      <c r="G17" s="936"/>
      <c r="H17" s="88" t="s">
        <v>72</v>
      </c>
      <c r="I17" s="34" t="s">
        <v>82</v>
      </c>
      <c r="J17" s="792"/>
      <c r="K17" s="787"/>
      <c r="L17" s="37" t="s">
        <v>83</v>
      </c>
      <c r="M17" s="116" t="s">
        <v>55</v>
      </c>
      <c r="N17" s="16">
        <v>2021</v>
      </c>
      <c r="O17" s="17" t="s">
        <v>8</v>
      </c>
      <c r="P17" s="17" t="s">
        <v>55</v>
      </c>
      <c r="Q17" s="70" t="s">
        <v>54</v>
      </c>
      <c r="R17" s="78"/>
    </row>
    <row r="18" spans="1:18" ht="81.75" customHeight="1">
      <c r="A18" s="829"/>
      <c r="B18" s="150"/>
      <c r="C18" s="863"/>
      <c r="D18" s="897" t="s">
        <v>86</v>
      </c>
      <c r="E18" s="898">
        <v>32684407.899999999</v>
      </c>
      <c r="F18" s="769">
        <f>E18+(E18*0.3/0.7)</f>
        <v>46692011.285714284</v>
      </c>
      <c r="G18" s="937"/>
      <c r="H18" s="93" t="s">
        <v>92</v>
      </c>
      <c r="I18" s="28" t="s">
        <v>101</v>
      </c>
      <c r="J18" s="790" t="s">
        <v>84</v>
      </c>
      <c r="K18" s="785" t="s">
        <v>23</v>
      </c>
      <c r="L18" s="29" t="s">
        <v>66</v>
      </c>
      <c r="M18" s="71">
        <v>0</v>
      </c>
      <c r="N18" s="71">
        <v>2021</v>
      </c>
      <c r="O18" s="91" t="s">
        <v>8</v>
      </c>
      <c r="P18" s="91" t="s">
        <v>55</v>
      </c>
      <c r="Q18" s="72" t="s">
        <v>54</v>
      </c>
      <c r="R18" s="68"/>
    </row>
    <row r="19" spans="1:18" ht="57.6">
      <c r="A19" s="829"/>
      <c r="B19" s="150"/>
      <c r="C19" s="863"/>
      <c r="D19" s="848"/>
      <c r="E19" s="848"/>
      <c r="F19" s="848"/>
      <c r="G19" s="938"/>
      <c r="H19" s="21" t="s">
        <v>93</v>
      </c>
      <c r="I19" s="30" t="s">
        <v>99</v>
      </c>
      <c r="J19" s="791"/>
      <c r="K19" s="786"/>
      <c r="L19" s="31" t="s">
        <v>100</v>
      </c>
      <c r="M19" s="25" t="s">
        <v>62</v>
      </c>
      <c r="N19" s="14">
        <v>2021</v>
      </c>
      <c r="O19" s="26" t="s">
        <v>8</v>
      </c>
      <c r="P19" s="26" t="s">
        <v>55</v>
      </c>
      <c r="Q19" s="73" t="s">
        <v>54</v>
      </c>
      <c r="R19" s="69"/>
    </row>
    <row r="20" spans="1:18" ht="81.900000000000006" customHeight="1">
      <c r="A20" s="829"/>
      <c r="B20" s="150"/>
      <c r="C20" s="863"/>
      <c r="D20" s="848"/>
      <c r="E20" s="848"/>
      <c r="F20" s="848"/>
      <c r="G20" s="938"/>
      <c r="H20" s="21" t="s">
        <v>94</v>
      </c>
      <c r="I20" s="30" t="s">
        <v>96</v>
      </c>
      <c r="J20" s="791"/>
      <c r="K20" s="786"/>
      <c r="L20" s="31" t="s">
        <v>66</v>
      </c>
      <c r="M20" s="14">
        <v>0</v>
      </c>
      <c r="N20" s="8" t="s">
        <v>8</v>
      </c>
      <c r="O20" s="26" t="s">
        <v>55</v>
      </c>
      <c r="P20" s="24" t="s">
        <v>55</v>
      </c>
      <c r="Q20" s="73" t="s">
        <v>54</v>
      </c>
      <c r="R20" s="69"/>
    </row>
    <row r="21" spans="1:18" ht="43.2">
      <c r="A21" s="829"/>
      <c r="B21" s="150"/>
      <c r="C21" s="863"/>
      <c r="D21" s="848"/>
      <c r="E21" s="848"/>
      <c r="F21" s="848"/>
      <c r="G21" s="938"/>
      <c r="H21" s="21" t="s">
        <v>95</v>
      </c>
      <c r="I21" s="30" t="s">
        <v>97</v>
      </c>
      <c r="J21" s="791"/>
      <c r="K21" s="786"/>
      <c r="L21" s="30" t="s">
        <v>98</v>
      </c>
      <c r="M21" s="14">
        <v>0</v>
      </c>
      <c r="N21" s="8" t="s">
        <v>8</v>
      </c>
      <c r="O21" s="8" t="s">
        <v>71</v>
      </c>
      <c r="P21" s="24" t="s">
        <v>55</v>
      </c>
      <c r="Q21" s="73" t="s">
        <v>54</v>
      </c>
      <c r="R21" s="69"/>
    </row>
    <row r="22" spans="1:18" ht="43.8" thickBot="1">
      <c r="A22" s="855"/>
      <c r="B22" s="150"/>
      <c r="C22" s="863"/>
      <c r="D22" s="848"/>
      <c r="E22" s="848"/>
      <c r="F22" s="848"/>
      <c r="G22" s="938"/>
      <c r="H22" s="94" t="s">
        <v>72</v>
      </c>
      <c r="I22" s="32" t="s">
        <v>82</v>
      </c>
      <c r="J22" s="792"/>
      <c r="K22" s="787"/>
      <c r="L22" s="33" t="s">
        <v>83</v>
      </c>
      <c r="M22" s="117" t="s">
        <v>55</v>
      </c>
      <c r="N22" s="74">
        <v>2021</v>
      </c>
      <c r="O22" s="92" t="s">
        <v>8</v>
      </c>
      <c r="P22" s="92" t="s">
        <v>55</v>
      </c>
      <c r="Q22" s="77" t="s">
        <v>54</v>
      </c>
      <c r="R22" s="75"/>
    </row>
    <row r="23" spans="1:18" ht="113.25" customHeight="1" thickBot="1">
      <c r="A23" s="922" t="s">
        <v>73</v>
      </c>
      <c r="B23" s="141"/>
      <c r="C23" s="900">
        <v>15014039</v>
      </c>
      <c r="D23" s="925" t="s">
        <v>60</v>
      </c>
      <c r="E23" s="873">
        <v>3002807.8</v>
      </c>
      <c r="F23" s="753">
        <f>E23+(E23*0.3/0.7)</f>
        <v>4289725.4285714282</v>
      </c>
      <c r="G23" s="875"/>
      <c r="H23" s="887" t="s">
        <v>94</v>
      </c>
      <c r="I23" s="928" t="s">
        <v>96</v>
      </c>
      <c r="J23" s="790" t="s">
        <v>84</v>
      </c>
      <c r="K23" s="785" t="s">
        <v>23</v>
      </c>
      <c r="L23" s="928" t="s">
        <v>66</v>
      </c>
      <c r="M23" s="19">
        <v>0</v>
      </c>
      <c r="N23" s="18" t="s">
        <v>8</v>
      </c>
      <c r="O23" s="36" t="s">
        <v>55</v>
      </c>
      <c r="P23" s="89" t="s">
        <v>55</v>
      </c>
      <c r="Q23" s="20" t="s">
        <v>54</v>
      </c>
      <c r="R23" s="76"/>
    </row>
    <row r="24" spans="1:18" ht="12.6" hidden="1" customHeight="1">
      <c r="A24" s="923"/>
      <c r="B24" s="142"/>
      <c r="C24" s="901"/>
      <c r="D24" s="926"/>
      <c r="E24" s="814"/>
      <c r="F24" s="754"/>
      <c r="G24" s="876"/>
      <c r="H24" s="889"/>
      <c r="I24" s="776"/>
      <c r="J24" s="791"/>
      <c r="K24" s="786"/>
      <c r="L24" s="776"/>
      <c r="M24" s="14">
        <v>0</v>
      </c>
      <c r="N24" s="8" t="s">
        <v>8</v>
      </c>
      <c r="O24" s="26" t="s">
        <v>55</v>
      </c>
      <c r="P24" s="24" t="s">
        <v>55</v>
      </c>
      <c r="Q24" s="73" t="s">
        <v>53</v>
      </c>
      <c r="R24" s="69"/>
    </row>
    <row r="25" spans="1:18" ht="0.9" hidden="1" customHeight="1">
      <c r="A25" s="923"/>
      <c r="B25" s="142"/>
      <c r="C25" s="901"/>
      <c r="D25" s="926"/>
      <c r="E25" s="814"/>
      <c r="F25" s="754"/>
      <c r="G25" s="876"/>
      <c r="H25" s="889"/>
      <c r="I25" s="776"/>
      <c r="J25" s="791"/>
      <c r="K25" s="786"/>
      <c r="L25" s="776"/>
      <c r="M25" s="14">
        <v>0</v>
      </c>
      <c r="N25" s="8" t="s">
        <v>8</v>
      </c>
      <c r="O25" s="26" t="s">
        <v>55</v>
      </c>
      <c r="P25" s="24" t="s">
        <v>55</v>
      </c>
      <c r="Q25" s="73" t="s">
        <v>53</v>
      </c>
      <c r="R25" s="69"/>
    </row>
    <row r="26" spans="1:18" ht="78" customHeight="1" thickBot="1">
      <c r="A26" s="923"/>
      <c r="B26" s="142"/>
      <c r="C26" s="902"/>
      <c r="D26" s="927"/>
      <c r="E26" s="874"/>
      <c r="F26" s="778"/>
      <c r="G26" s="877"/>
      <c r="H26" s="88" t="s">
        <v>72</v>
      </c>
      <c r="I26" s="34" t="s">
        <v>82</v>
      </c>
      <c r="J26" s="792"/>
      <c r="K26" s="787"/>
      <c r="L26" s="37" t="s">
        <v>83</v>
      </c>
      <c r="M26" s="118" t="s">
        <v>55</v>
      </c>
      <c r="N26" s="16">
        <v>2021</v>
      </c>
      <c r="O26" s="17" t="s">
        <v>8</v>
      </c>
      <c r="P26" s="17" t="s">
        <v>55</v>
      </c>
      <c r="Q26" s="70" t="s">
        <v>54</v>
      </c>
      <c r="R26" s="78"/>
    </row>
    <row r="27" spans="1:18" ht="57.9" customHeight="1">
      <c r="A27" s="923"/>
      <c r="B27" s="142"/>
      <c r="C27" s="900"/>
      <c r="D27" s="870" t="s">
        <v>87</v>
      </c>
      <c r="E27" s="873">
        <v>6005615.5999999996</v>
      </c>
      <c r="F27" s="753">
        <f>E27+(E27*0.3/0.7)</f>
        <v>8579450.8571428563</v>
      </c>
      <c r="G27" s="875"/>
      <c r="H27" s="885" t="s">
        <v>94</v>
      </c>
      <c r="I27" s="883" t="s">
        <v>96</v>
      </c>
      <c r="J27" s="790" t="s">
        <v>84</v>
      </c>
      <c r="K27" s="785" t="s">
        <v>23</v>
      </c>
      <c r="L27" s="883" t="s">
        <v>66</v>
      </c>
      <c r="M27" s="775">
        <v>0</v>
      </c>
      <c r="N27" s="884" t="s">
        <v>8</v>
      </c>
      <c r="O27" s="884" t="s">
        <v>55</v>
      </c>
      <c r="P27" s="775" t="s">
        <v>55</v>
      </c>
      <c r="Q27" s="753" t="s">
        <v>54</v>
      </c>
      <c r="R27" s="878"/>
    </row>
    <row r="28" spans="1:18" ht="15.6" customHeight="1">
      <c r="A28" s="923"/>
      <c r="B28" s="142"/>
      <c r="C28" s="901"/>
      <c r="D28" s="871"/>
      <c r="E28" s="814"/>
      <c r="F28" s="754"/>
      <c r="G28" s="876"/>
      <c r="H28" s="886"/>
      <c r="I28" s="882"/>
      <c r="J28" s="791"/>
      <c r="K28" s="786"/>
      <c r="L28" s="882"/>
      <c r="M28" s="776"/>
      <c r="N28" s="843"/>
      <c r="O28" s="843"/>
      <c r="P28" s="776"/>
      <c r="Q28" s="754"/>
      <c r="R28" s="879"/>
    </row>
    <row r="29" spans="1:18" ht="15" customHeight="1" thickBot="1">
      <c r="A29" s="923"/>
      <c r="B29" s="142"/>
      <c r="C29" s="901"/>
      <c r="D29" s="871"/>
      <c r="E29" s="814"/>
      <c r="F29" s="754"/>
      <c r="G29" s="876"/>
      <c r="H29" s="887"/>
      <c r="I29" s="882"/>
      <c r="J29" s="791"/>
      <c r="K29" s="786"/>
      <c r="L29" s="882"/>
      <c r="M29" s="776"/>
      <c r="N29" s="843"/>
      <c r="O29" s="843"/>
      <c r="P29" s="776"/>
      <c r="Q29" s="754"/>
      <c r="R29" s="879"/>
    </row>
    <row r="30" spans="1:18" ht="75" customHeight="1" thickBot="1">
      <c r="A30" s="923"/>
      <c r="B30" s="142"/>
      <c r="C30" s="902"/>
      <c r="D30" s="872"/>
      <c r="E30" s="874"/>
      <c r="F30" s="778"/>
      <c r="G30" s="877"/>
      <c r="H30" s="88" t="s">
        <v>72</v>
      </c>
      <c r="I30" s="34" t="s">
        <v>82</v>
      </c>
      <c r="J30" s="792"/>
      <c r="K30" s="787"/>
      <c r="L30" s="37" t="s">
        <v>83</v>
      </c>
      <c r="M30" s="118" t="s">
        <v>55</v>
      </c>
      <c r="N30" s="16">
        <v>2021</v>
      </c>
      <c r="O30" s="17" t="s">
        <v>55</v>
      </c>
      <c r="P30" s="17" t="s">
        <v>55</v>
      </c>
      <c r="Q30" s="70" t="s">
        <v>54</v>
      </c>
      <c r="R30" s="78"/>
    </row>
    <row r="31" spans="1:18" ht="65.400000000000006" customHeight="1">
      <c r="A31" s="923"/>
      <c r="B31" s="142"/>
      <c r="C31" s="900"/>
      <c r="D31" s="870" t="s">
        <v>88</v>
      </c>
      <c r="E31" s="873">
        <v>6005615.5999999996</v>
      </c>
      <c r="F31" s="753">
        <f>E31+(E31*0.3/0.7)</f>
        <v>8579450.8571428563</v>
      </c>
      <c r="G31" s="875"/>
      <c r="H31" s="888" t="s">
        <v>72</v>
      </c>
      <c r="I31" s="883" t="s">
        <v>82</v>
      </c>
      <c r="J31" s="790" t="s">
        <v>84</v>
      </c>
      <c r="K31" s="785" t="s">
        <v>23</v>
      </c>
      <c r="L31" s="890" t="s">
        <v>83</v>
      </c>
      <c r="M31" s="891" t="s">
        <v>55</v>
      </c>
      <c r="N31" s="775">
        <v>2021</v>
      </c>
      <c r="O31" s="884" t="s">
        <v>8</v>
      </c>
      <c r="P31" s="775" t="s">
        <v>55</v>
      </c>
      <c r="Q31" s="72" t="s">
        <v>54</v>
      </c>
      <c r="R31" s="878"/>
    </row>
    <row r="32" spans="1:18" ht="52.5" hidden="1" customHeight="1">
      <c r="A32" s="923"/>
      <c r="B32" s="142"/>
      <c r="C32" s="901"/>
      <c r="D32" s="871"/>
      <c r="E32" s="814"/>
      <c r="F32" s="754"/>
      <c r="G32" s="876"/>
      <c r="H32" s="889"/>
      <c r="I32" s="776"/>
      <c r="J32" s="791"/>
      <c r="K32" s="786"/>
      <c r="L32" s="776"/>
      <c r="M32" s="892"/>
      <c r="N32" s="776"/>
      <c r="O32" s="843"/>
      <c r="P32" s="776"/>
      <c r="Q32" s="73" t="s">
        <v>53</v>
      </c>
      <c r="R32" s="879"/>
    </row>
    <row r="33" spans="1:37" ht="59.1" customHeight="1">
      <c r="A33" s="923"/>
      <c r="B33" s="142"/>
      <c r="C33" s="901"/>
      <c r="D33" s="871"/>
      <c r="E33" s="814"/>
      <c r="F33" s="754"/>
      <c r="G33" s="876"/>
      <c r="H33" s="880" t="s">
        <v>94</v>
      </c>
      <c r="I33" s="882" t="s">
        <v>96</v>
      </c>
      <c r="J33" s="791"/>
      <c r="K33" s="786"/>
      <c r="L33" s="882" t="s">
        <v>66</v>
      </c>
      <c r="M33" s="776">
        <v>0</v>
      </c>
      <c r="N33" s="776" t="s">
        <v>8</v>
      </c>
      <c r="O33" s="843" t="s">
        <v>55</v>
      </c>
      <c r="P33" s="776" t="s">
        <v>55</v>
      </c>
      <c r="Q33" s="754" t="s">
        <v>54</v>
      </c>
      <c r="R33" s="879"/>
    </row>
    <row r="34" spans="1:37" ht="15" thickBot="1">
      <c r="A34" s="924"/>
      <c r="B34" s="143"/>
      <c r="C34" s="902"/>
      <c r="D34" s="872"/>
      <c r="E34" s="874"/>
      <c r="F34" s="778"/>
      <c r="G34" s="877"/>
      <c r="H34" s="881"/>
      <c r="I34" s="842"/>
      <c r="J34" s="792"/>
      <c r="K34" s="787"/>
      <c r="L34" s="842"/>
      <c r="M34" s="842"/>
      <c r="N34" s="842"/>
      <c r="O34" s="844"/>
      <c r="P34" s="842"/>
      <c r="Q34" s="842"/>
      <c r="R34" s="826"/>
    </row>
    <row r="35" spans="1:37" ht="75" customHeight="1">
      <c r="A35" s="852" t="s">
        <v>110</v>
      </c>
      <c r="B35" s="151"/>
      <c r="C35" s="856">
        <v>32049198.600000001</v>
      </c>
      <c r="D35" s="859" t="s">
        <v>87</v>
      </c>
      <c r="E35" s="862">
        <v>32049198.600000001</v>
      </c>
      <c r="F35" s="763">
        <f>E35+(E35*0.3/0.7)</f>
        <v>45784569.428571433</v>
      </c>
      <c r="G35" s="865"/>
      <c r="H35" s="93" t="s">
        <v>93</v>
      </c>
      <c r="I35" s="28" t="s">
        <v>99</v>
      </c>
      <c r="J35" s="790" t="s">
        <v>84</v>
      </c>
      <c r="K35" s="785" t="s">
        <v>23</v>
      </c>
      <c r="L35" s="38" t="s">
        <v>100</v>
      </c>
      <c r="M35" s="87" t="s">
        <v>62</v>
      </c>
      <c r="N35" s="71">
        <v>2021</v>
      </c>
      <c r="O35" s="91" t="s">
        <v>8</v>
      </c>
      <c r="P35" s="91" t="s">
        <v>55</v>
      </c>
      <c r="Q35" s="72" t="s">
        <v>54</v>
      </c>
      <c r="R35" s="68"/>
    </row>
    <row r="36" spans="1:37" ht="72">
      <c r="A36" s="829"/>
      <c r="B36" s="152"/>
      <c r="C36" s="857"/>
      <c r="D36" s="860"/>
      <c r="E36" s="863"/>
      <c r="F36" s="825"/>
      <c r="G36" s="866"/>
      <c r="H36" s="21" t="s">
        <v>92</v>
      </c>
      <c r="I36" s="30" t="s">
        <v>101</v>
      </c>
      <c r="J36" s="791"/>
      <c r="K36" s="786"/>
      <c r="L36" s="31" t="s">
        <v>66</v>
      </c>
      <c r="M36" s="14">
        <v>0</v>
      </c>
      <c r="N36" s="14">
        <v>2021</v>
      </c>
      <c r="O36" s="26" t="s">
        <v>8</v>
      </c>
      <c r="P36" s="26" t="s">
        <v>55</v>
      </c>
      <c r="Q36" s="73" t="s">
        <v>54</v>
      </c>
      <c r="R36" s="69"/>
    </row>
    <row r="37" spans="1:37" ht="14.4" customHeight="1">
      <c r="A37" s="853"/>
      <c r="B37" s="152"/>
      <c r="C37" s="857"/>
      <c r="D37" s="860"/>
      <c r="E37" s="863"/>
      <c r="F37" s="825"/>
      <c r="G37" s="866"/>
      <c r="H37" s="816" t="s">
        <v>94</v>
      </c>
      <c r="I37" s="869" t="s">
        <v>96</v>
      </c>
      <c r="J37" s="791"/>
      <c r="K37" s="786"/>
      <c r="L37" s="845" t="s">
        <v>66</v>
      </c>
      <c r="M37" s="842">
        <v>0</v>
      </c>
      <c r="N37" s="844" t="s">
        <v>8</v>
      </c>
      <c r="O37" s="844" t="s">
        <v>55</v>
      </c>
      <c r="P37" s="842" t="s">
        <v>55</v>
      </c>
      <c r="Q37" s="769" t="s">
        <v>54</v>
      </c>
      <c r="R37" s="826"/>
    </row>
    <row r="38" spans="1:37" ht="22.5" customHeight="1">
      <c r="A38" s="854"/>
      <c r="B38" s="152"/>
      <c r="C38" s="857"/>
      <c r="D38" s="860"/>
      <c r="E38" s="863"/>
      <c r="F38" s="825"/>
      <c r="G38" s="866"/>
      <c r="H38" s="868"/>
      <c r="I38" s="786"/>
      <c r="J38" s="791"/>
      <c r="K38" s="786"/>
      <c r="L38" s="846"/>
      <c r="M38" s="848"/>
      <c r="N38" s="850"/>
      <c r="O38" s="850"/>
      <c r="P38" s="848"/>
      <c r="Q38" s="825"/>
      <c r="R38" s="827"/>
    </row>
    <row r="39" spans="1:37" ht="27.75" customHeight="1">
      <c r="A39" s="829"/>
      <c r="B39" s="152"/>
      <c r="C39" s="857"/>
      <c r="D39" s="860"/>
      <c r="E39" s="863"/>
      <c r="F39" s="825"/>
      <c r="G39" s="866"/>
      <c r="H39" s="868"/>
      <c r="I39" s="786"/>
      <c r="J39" s="791"/>
      <c r="K39" s="786"/>
      <c r="L39" s="846"/>
      <c r="M39" s="848"/>
      <c r="N39" s="850"/>
      <c r="O39" s="850"/>
      <c r="P39" s="848"/>
      <c r="Q39" s="825"/>
      <c r="R39" s="827"/>
    </row>
    <row r="40" spans="1:37" ht="66.75" customHeight="1" thickBot="1">
      <c r="A40" s="855"/>
      <c r="B40" s="152"/>
      <c r="C40" s="858"/>
      <c r="D40" s="861"/>
      <c r="E40" s="864"/>
      <c r="F40" s="764"/>
      <c r="G40" s="867"/>
      <c r="H40" s="817"/>
      <c r="I40" s="787"/>
      <c r="J40" s="792"/>
      <c r="K40" s="787"/>
      <c r="L40" s="847"/>
      <c r="M40" s="849"/>
      <c r="N40" s="851"/>
      <c r="O40" s="851"/>
      <c r="P40" s="849"/>
      <c r="Q40" s="770"/>
      <c r="R40" s="828"/>
    </row>
    <row r="41" spans="1:37" ht="112.2" customHeight="1">
      <c r="A41" s="755" t="s">
        <v>102</v>
      </c>
      <c r="B41" s="751">
        <f>F41</f>
        <v>126618185.41176471</v>
      </c>
      <c r="C41" s="758">
        <f>0.8*'Intervencijų lėšos (2)'!J3</f>
        <v>107625457.60000001</v>
      </c>
      <c r="D41" s="760" t="s">
        <v>137</v>
      </c>
      <c r="E41" s="763">
        <f>C41/0.85*0.15</f>
        <v>18992727.81176471</v>
      </c>
      <c r="F41" s="758">
        <f>C41+E41</f>
        <v>126618185.41176471</v>
      </c>
      <c r="G41" s="765">
        <f>F41</f>
        <v>126618185.41176471</v>
      </c>
      <c r="H41" s="125" t="s">
        <v>141</v>
      </c>
      <c r="I41" s="145" t="s">
        <v>183</v>
      </c>
      <c r="J41" s="760" t="s">
        <v>45</v>
      </c>
      <c r="K41" s="760" t="s">
        <v>41</v>
      </c>
      <c r="L41" s="145" t="s">
        <v>184</v>
      </c>
      <c r="M41" s="145" t="s">
        <v>8</v>
      </c>
      <c r="N41" s="145" t="s">
        <v>46</v>
      </c>
      <c r="O41" s="174">
        <f>P41*0.1</f>
        <v>158.2727317647059</v>
      </c>
      <c r="P41" s="174">
        <f>G41/80000</f>
        <v>1582.727317647059</v>
      </c>
      <c r="Q41" s="145" t="s">
        <v>34</v>
      </c>
      <c r="R41" s="429" t="s">
        <v>282</v>
      </c>
      <c r="S41" s="460" t="s">
        <v>309</v>
      </c>
      <c r="T41" s="198"/>
      <c r="U41" s="198"/>
      <c r="V41" s="198"/>
      <c r="W41" s="148"/>
      <c r="X41" s="148"/>
      <c r="Y41" s="148"/>
      <c r="Z41" s="148"/>
      <c r="AA41" s="148"/>
      <c r="AB41" s="11"/>
      <c r="AC41" s="11"/>
      <c r="AD41" s="11"/>
      <c r="AE41" s="11"/>
      <c r="AF41" s="11"/>
      <c r="AG41" s="11"/>
      <c r="AH41" s="11"/>
      <c r="AI41" s="11"/>
      <c r="AJ41" s="11"/>
      <c r="AK41" s="11"/>
    </row>
    <row r="42" spans="1:37" ht="202.2" customHeight="1">
      <c r="A42" s="756"/>
      <c r="B42" s="752"/>
      <c r="C42" s="759"/>
      <c r="D42" s="761"/>
      <c r="E42" s="764"/>
      <c r="F42" s="759"/>
      <c r="G42" s="766"/>
      <c r="H42" s="123" t="s">
        <v>72</v>
      </c>
      <c r="I42" s="124" t="s">
        <v>82</v>
      </c>
      <c r="J42" s="800"/>
      <c r="K42" s="793"/>
      <c r="L42" s="37" t="s">
        <v>83</v>
      </c>
      <c r="M42" s="440">
        <f>6.21/1000*0.955</f>
        <v>5.9305499999999997E-3</v>
      </c>
      <c r="N42" s="146" t="s">
        <v>46</v>
      </c>
      <c r="O42" s="155" t="s">
        <v>8</v>
      </c>
      <c r="P42" s="440">
        <f>131.51/1000*0.955</f>
        <v>0.12559204999999998</v>
      </c>
      <c r="Q42" s="146" t="s">
        <v>34</v>
      </c>
      <c r="R42" s="455" t="s">
        <v>283</v>
      </c>
      <c r="S42" s="461" t="s">
        <v>310</v>
      </c>
      <c r="T42" s="198"/>
      <c r="U42" s="198"/>
      <c r="V42" s="198"/>
      <c r="W42" s="148"/>
      <c r="X42" s="148"/>
      <c r="Y42" s="148"/>
      <c r="Z42" s="148"/>
      <c r="AA42" s="148"/>
      <c r="AB42" s="11"/>
      <c r="AC42" s="11"/>
      <c r="AD42" s="11"/>
      <c r="AE42" s="11"/>
      <c r="AF42" s="11"/>
      <c r="AG42" s="11"/>
      <c r="AH42" s="11"/>
      <c r="AI42" s="11"/>
      <c r="AJ42" s="11"/>
      <c r="AK42" s="11"/>
    </row>
    <row r="43" spans="1:37" ht="97.95" customHeight="1">
      <c r="A43" s="756"/>
      <c r="B43" s="773">
        <f>F43</f>
        <v>6023529.4117647056</v>
      </c>
      <c r="C43" s="767">
        <f>0.8*'Intervencijų lėšos (2)'!J4</f>
        <v>5120000</v>
      </c>
      <c r="D43" s="761"/>
      <c r="E43" s="769">
        <f>(C43*100/85)-C43</f>
        <v>903529.41176470555</v>
      </c>
      <c r="F43" s="771">
        <f>C43+E43</f>
        <v>6023529.4117647056</v>
      </c>
      <c r="G43" s="771">
        <f>F43</f>
        <v>6023529.4117647056</v>
      </c>
      <c r="H43" s="123" t="s">
        <v>138</v>
      </c>
      <c r="I43" s="146" t="s">
        <v>183</v>
      </c>
      <c r="J43" s="801" t="s">
        <v>84</v>
      </c>
      <c r="K43" s="794" t="s">
        <v>297</v>
      </c>
      <c r="L43" s="146" t="s">
        <v>184</v>
      </c>
      <c r="M43" s="146" t="s">
        <v>8</v>
      </c>
      <c r="N43" s="146" t="s">
        <v>46</v>
      </c>
      <c r="O43" s="115">
        <f>P43*0.1</f>
        <v>7.5294117647058831</v>
      </c>
      <c r="P43" s="115">
        <f>G43/80000</f>
        <v>75.294117647058826</v>
      </c>
      <c r="Q43" s="146" t="s">
        <v>34</v>
      </c>
      <c r="R43" s="456" t="s">
        <v>284</v>
      </c>
      <c r="S43" s="460" t="s">
        <v>308</v>
      </c>
      <c r="T43" s="198"/>
      <c r="U43" s="198"/>
      <c r="V43" s="198"/>
      <c r="W43" s="148"/>
      <c r="X43" s="148"/>
      <c r="Y43" s="148"/>
      <c r="Z43" s="148"/>
      <c r="AA43" s="148"/>
      <c r="AB43" s="11"/>
      <c r="AC43" s="11"/>
      <c r="AD43" s="11"/>
      <c r="AE43" s="11"/>
      <c r="AF43" s="11"/>
      <c r="AG43" s="11"/>
      <c r="AH43" s="11"/>
      <c r="AI43" s="11"/>
      <c r="AJ43" s="11"/>
      <c r="AK43" s="11"/>
    </row>
    <row r="44" spans="1:37" ht="168.6" customHeight="1" thickBot="1">
      <c r="A44" s="757"/>
      <c r="B44" s="774"/>
      <c r="C44" s="768"/>
      <c r="D44" s="762"/>
      <c r="E44" s="770"/>
      <c r="F44" s="772"/>
      <c r="G44" s="772"/>
      <c r="H44" s="156" t="s">
        <v>57</v>
      </c>
      <c r="I44" s="147" t="s">
        <v>82</v>
      </c>
      <c r="J44" s="802"/>
      <c r="K44" s="762"/>
      <c r="L44" s="33" t="s">
        <v>83</v>
      </c>
      <c r="M44" s="441">
        <f>6.21/1000*0.045</f>
        <v>2.7944999999999999E-4</v>
      </c>
      <c r="N44" s="147" t="s">
        <v>46</v>
      </c>
      <c r="O44" s="261" t="s">
        <v>8</v>
      </c>
      <c r="P44" s="441">
        <f>131.51/1000*0.045</f>
        <v>5.9179499999999991E-3</v>
      </c>
      <c r="Q44" s="147" t="s">
        <v>34</v>
      </c>
      <c r="R44" s="457" t="s">
        <v>285</v>
      </c>
      <c r="S44" s="462" t="s">
        <v>281</v>
      </c>
      <c r="T44" s="198"/>
      <c r="U44" s="450"/>
      <c r="V44" s="262"/>
      <c r="W44" s="148"/>
      <c r="X44" s="148"/>
      <c r="Y44" s="148"/>
      <c r="Z44" s="148"/>
      <c r="AA44" s="148"/>
      <c r="AB44" s="11"/>
      <c r="AC44" s="11"/>
      <c r="AD44" s="11"/>
      <c r="AE44" s="11"/>
      <c r="AF44" s="11"/>
      <c r="AG44" s="11"/>
      <c r="AH44" s="11"/>
      <c r="AI44" s="11"/>
      <c r="AJ44" s="11"/>
      <c r="AK44" s="11"/>
    </row>
    <row r="45" spans="1:37" ht="78" customHeight="1" thickBot="1">
      <c r="A45" s="782" t="s">
        <v>103</v>
      </c>
      <c r="B45" s="753">
        <f>F45</f>
        <v>31654546.352941178</v>
      </c>
      <c r="C45" s="795">
        <f>0.2*'Intervencijų lėšos (2)'!J3</f>
        <v>26906364.400000002</v>
      </c>
      <c r="D45" s="775" t="s">
        <v>137</v>
      </c>
      <c r="E45" s="753">
        <f>C45/0.85*0.15</f>
        <v>4748181.9529411774</v>
      </c>
      <c r="F45" s="795">
        <f>C45+E45</f>
        <v>31654546.352941178</v>
      </c>
      <c r="G45" s="795">
        <f>F45</f>
        <v>31654546.352941178</v>
      </c>
      <c r="H45" s="125" t="s">
        <v>72</v>
      </c>
      <c r="I45" s="145" t="s">
        <v>82</v>
      </c>
      <c r="J45" s="797" t="s">
        <v>45</v>
      </c>
      <c r="K45" s="798" t="s">
        <v>41</v>
      </c>
      <c r="L45" s="260" t="s">
        <v>83</v>
      </c>
      <c r="M45" s="145"/>
      <c r="N45" s="145" t="s">
        <v>46</v>
      </c>
      <c r="O45" s="72" t="s">
        <v>8</v>
      </c>
      <c r="P45" s="145"/>
      <c r="Q45" s="145" t="s">
        <v>34</v>
      </c>
      <c r="R45" s="458" t="s">
        <v>306</v>
      </c>
      <c r="S45" s="929" t="s">
        <v>307</v>
      </c>
      <c r="T45" s="198"/>
      <c r="U45" s="198"/>
      <c r="V45" s="198"/>
      <c r="W45" s="148"/>
      <c r="X45" s="148"/>
      <c r="Y45" s="148"/>
      <c r="Z45" s="148"/>
      <c r="AA45" s="148"/>
      <c r="AB45" s="11"/>
      <c r="AC45" s="11"/>
      <c r="AD45" s="11"/>
      <c r="AE45" s="11"/>
      <c r="AF45" s="11"/>
      <c r="AG45" s="11"/>
      <c r="AH45" s="11"/>
      <c r="AI45" s="11"/>
      <c r="AJ45" s="11"/>
      <c r="AK45" s="11"/>
    </row>
    <row r="46" spans="1:37" ht="109.5" customHeight="1" thickBot="1">
      <c r="A46" s="783"/>
      <c r="B46" s="754"/>
      <c r="C46" s="796"/>
      <c r="D46" s="776"/>
      <c r="E46" s="754"/>
      <c r="F46" s="779"/>
      <c r="G46" s="796"/>
      <c r="H46" s="123" t="s">
        <v>52</v>
      </c>
      <c r="I46" s="146" t="s">
        <v>139</v>
      </c>
      <c r="J46" s="776"/>
      <c r="K46" s="799"/>
      <c r="L46" s="146" t="s">
        <v>299</v>
      </c>
      <c r="M46" s="146"/>
      <c r="N46" s="146"/>
      <c r="O46" s="73"/>
      <c r="P46" s="146"/>
      <c r="Q46" s="146" t="s">
        <v>34</v>
      </c>
      <c r="R46" s="458" t="s">
        <v>306</v>
      </c>
      <c r="S46" s="929"/>
      <c r="T46" s="198"/>
      <c r="U46" s="198"/>
      <c r="V46" s="198"/>
      <c r="W46" s="148"/>
      <c r="X46" s="148"/>
      <c r="Y46" s="148"/>
      <c r="Z46" s="148"/>
      <c r="AA46" s="148"/>
      <c r="AB46" s="11"/>
      <c r="AC46" s="11"/>
      <c r="AD46" s="11"/>
      <c r="AE46" s="11"/>
      <c r="AF46" s="11"/>
      <c r="AG46" s="11"/>
      <c r="AH46" s="11"/>
      <c r="AI46" s="11"/>
      <c r="AJ46" s="11"/>
      <c r="AK46" s="11"/>
    </row>
    <row r="47" spans="1:37" ht="109.5" customHeight="1" thickBot="1">
      <c r="A47" s="783"/>
      <c r="B47" s="754">
        <f>F47</f>
        <v>1505882.3529411764</v>
      </c>
      <c r="C47" s="779">
        <f>0.2*'Intervencijų lėšos (2)'!J4</f>
        <v>1280000</v>
      </c>
      <c r="D47" s="776"/>
      <c r="E47" s="754">
        <f>C47/0.85*0.15</f>
        <v>225882.35294117648</v>
      </c>
      <c r="F47" s="779">
        <f>C47+E47</f>
        <v>1505882.3529411764</v>
      </c>
      <c r="G47" s="779">
        <f>F47</f>
        <v>1505882.3529411764</v>
      </c>
      <c r="H47" s="123" t="s">
        <v>72</v>
      </c>
      <c r="I47" s="146" t="s">
        <v>82</v>
      </c>
      <c r="J47" s="805" t="s">
        <v>84</v>
      </c>
      <c r="K47" s="803" t="s">
        <v>297</v>
      </c>
      <c r="L47" s="136" t="s">
        <v>83</v>
      </c>
      <c r="M47" s="146"/>
      <c r="N47" s="146"/>
      <c r="O47" s="73"/>
      <c r="P47" s="146"/>
      <c r="Q47" s="146" t="s">
        <v>34</v>
      </c>
      <c r="R47" s="458" t="s">
        <v>306</v>
      </c>
      <c r="S47" s="929"/>
      <c r="T47" s="198"/>
      <c r="U47" s="198"/>
      <c r="V47" s="198"/>
      <c r="W47" s="148"/>
      <c r="X47" s="148"/>
      <c r="Y47" s="148"/>
      <c r="Z47" s="148"/>
      <c r="AA47" s="148"/>
      <c r="AB47" s="11"/>
      <c r="AC47" s="11"/>
      <c r="AD47" s="11"/>
      <c r="AE47" s="11"/>
      <c r="AF47" s="11"/>
      <c r="AG47" s="11"/>
      <c r="AH47" s="11"/>
      <c r="AI47" s="11"/>
      <c r="AJ47" s="11"/>
      <c r="AK47" s="11"/>
    </row>
    <row r="48" spans="1:37" ht="109.5" customHeight="1" thickBot="1">
      <c r="A48" s="784"/>
      <c r="B48" s="778"/>
      <c r="C48" s="781"/>
      <c r="D48" s="777"/>
      <c r="E48" s="778"/>
      <c r="F48" s="781"/>
      <c r="G48" s="780"/>
      <c r="H48" s="156" t="s">
        <v>52</v>
      </c>
      <c r="I48" s="147" t="s">
        <v>139</v>
      </c>
      <c r="J48" s="806"/>
      <c r="K48" s="804"/>
      <c r="L48" s="147" t="s">
        <v>298</v>
      </c>
      <c r="M48" s="147"/>
      <c r="N48" s="147"/>
      <c r="O48" s="77"/>
      <c r="P48" s="147"/>
      <c r="Q48" s="147" t="s">
        <v>34</v>
      </c>
      <c r="R48" s="459" t="s">
        <v>306</v>
      </c>
      <c r="S48" s="929"/>
      <c r="T48" s="198"/>
      <c r="U48" s="198"/>
      <c r="V48" s="198"/>
      <c r="W48" s="148"/>
      <c r="X48" s="148"/>
      <c r="Y48" s="148"/>
      <c r="Z48" s="148"/>
      <c r="AA48" s="148"/>
      <c r="AB48" s="11"/>
      <c r="AC48" s="11"/>
      <c r="AD48" s="11"/>
      <c r="AE48" s="11"/>
      <c r="AF48" s="11"/>
      <c r="AG48" s="11"/>
      <c r="AH48" s="11"/>
      <c r="AI48" s="11"/>
      <c r="AJ48" s="11"/>
      <c r="AK48" s="11"/>
    </row>
    <row r="49" spans="1:18" ht="57.6">
      <c r="A49" s="829" t="s">
        <v>104</v>
      </c>
      <c r="B49" s="150"/>
      <c r="C49" s="807">
        <v>46197043</v>
      </c>
      <c r="D49" s="831" t="s">
        <v>89</v>
      </c>
      <c r="E49" s="807">
        <v>11549260.699999999</v>
      </c>
      <c r="F49" s="764">
        <f>E49+(E49*0.3/0.7)</f>
        <v>16498943.857142856</v>
      </c>
      <c r="G49" s="833"/>
      <c r="H49" s="210" t="s">
        <v>93</v>
      </c>
      <c r="I49" s="209" t="s">
        <v>99</v>
      </c>
      <c r="J49" s="791" t="s">
        <v>84</v>
      </c>
      <c r="K49" s="786" t="s">
        <v>23</v>
      </c>
      <c r="L49" s="211" t="s">
        <v>100</v>
      </c>
      <c r="M49" s="23" t="s">
        <v>62</v>
      </c>
      <c r="N49" s="19">
        <v>2021</v>
      </c>
      <c r="O49" s="36" t="s">
        <v>8</v>
      </c>
      <c r="P49" s="36" t="s">
        <v>55</v>
      </c>
      <c r="Q49" s="20" t="s">
        <v>54</v>
      </c>
      <c r="R49" s="76"/>
    </row>
    <row r="50" spans="1:18" ht="72">
      <c r="A50" s="829"/>
      <c r="B50" s="150"/>
      <c r="C50" s="808"/>
      <c r="D50" s="832"/>
      <c r="E50" s="808"/>
      <c r="F50" s="754"/>
      <c r="G50" s="834"/>
      <c r="H50" s="108" t="s">
        <v>92</v>
      </c>
      <c r="I50" s="30" t="s">
        <v>101</v>
      </c>
      <c r="J50" s="791"/>
      <c r="K50" s="786"/>
      <c r="L50" s="31" t="s">
        <v>66</v>
      </c>
      <c r="M50" s="14">
        <v>0</v>
      </c>
      <c r="N50" s="14">
        <v>2021</v>
      </c>
      <c r="O50" s="26" t="s">
        <v>8</v>
      </c>
      <c r="P50" s="26" t="s">
        <v>55</v>
      </c>
      <c r="Q50" s="73" t="s">
        <v>54</v>
      </c>
      <c r="R50" s="69"/>
    </row>
    <row r="51" spans="1:18" ht="74.400000000000006" customHeight="1">
      <c r="A51" s="829"/>
      <c r="B51" s="150"/>
      <c r="C51" s="808"/>
      <c r="D51" s="832"/>
      <c r="E51" s="808"/>
      <c r="F51" s="754"/>
      <c r="G51" s="834"/>
      <c r="H51" s="912" t="s">
        <v>94</v>
      </c>
      <c r="I51" s="882" t="s">
        <v>96</v>
      </c>
      <c r="J51" s="791"/>
      <c r="K51" s="786"/>
      <c r="L51" s="840" t="s">
        <v>66</v>
      </c>
      <c r="M51" s="776">
        <v>0</v>
      </c>
      <c r="N51" s="843" t="s">
        <v>8</v>
      </c>
      <c r="O51" s="843" t="s">
        <v>55</v>
      </c>
      <c r="P51" s="776" t="s">
        <v>55</v>
      </c>
      <c r="Q51" s="754" t="s">
        <v>54</v>
      </c>
      <c r="R51" s="932"/>
    </row>
    <row r="52" spans="1:18" ht="15" thickBot="1">
      <c r="A52" s="829"/>
      <c r="B52" s="150"/>
      <c r="C52" s="808"/>
      <c r="D52" s="832"/>
      <c r="E52" s="808"/>
      <c r="F52" s="754"/>
      <c r="G52" s="834"/>
      <c r="H52" s="913"/>
      <c r="I52" s="842"/>
      <c r="J52" s="792"/>
      <c r="K52" s="787"/>
      <c r="L52" s="841"/>
      <c r="M52" s="842"/>
      <c r="N52" s="844"/>
      <c r="O52" s="844"/>
      <c r="P52" s="842"/>
      <c r="Q52" s="842"/>
      <c r="R52" s="933"/>
    </row>
    <row r="53" spans="1:18" ht="72">
      <c r="A53" s="829"/>
      <c r="B53" s="150"/>
      <c r="C53" s="809"/>
      <c r="D53" s="832" t="s">
        <v>90</v>
      </c>
      <c r="E53" s="808">
        <v>9239408.5999999996</v>
      </c>
      <c r="F53" s="754">
        <f>E53+(E53*0.3/0.7)</f>
        <v>13199155.142857142</v>
      </c>
      <c r="G53" s="834"/>
      <c r="H53" s="107" t="s">
        <v>92</v>
      </c>
      <c r="I53" s="28" t="s">
        <v>101</v>
      </c>
      <c r="J53" s="790" t="s">
        <v>84</v>
      </c>
      <c r="K53" s="785" t="s">
        <v>23</v>
      </c>
      <c r="L53" s="29" t="s">
        <v>66</v>
      </c>
      <c r="M53" s="71">
        <v>0</v>
      </c>
      <c r="N53" s="71">
        <v>2021</v>
      </c>
      <c r="O53" s="91" t="s">
        <v>8</v>
      </c>
      <c r="P53" s="91" t="s">
        <v>55</v>
      </c>
      <c r="Q53" s="72" t="s">
        <v>54</v>
      </c>
      <c r="R53" s="68"/>
    </row>
    <row r="54" spans="1:18" ht="57.6">
      <c r="A54" s="829"/>
      <c r="B54" s="150"/>
      <c r="C54" s="809"/>
      <c r="D54" s="832"/>
      <c r="E54" s="808"/>
      <c r="F54" s="754"/>
      <c r="G54" s="834"/>
      <c r="H54" s="108" t="s">
        <v>93</v>
      </c>
      <c r="I54" s="30" t="s">
        <v>99</v>
      </c>
      <c r="J54" s="791"/>
      <c r="K54" s="786"/>
      <c r="L54" s="90" t="s">
        <v>100</v>
      </c>
      <c r="M54" s="25" t="s">
        <v>62</v>
      </c>
      <c r="N54" s="14">
        <v>2021</v>
      </c>
      <c r="O54" s="26" t="s">
        <v>8</v>
      </c>
      <c r="P54" s="26" t="s">
        <v>55</v>
      </c>
      <c r="Q54" s="73" t="s">
        <v>54</v>
      </c>
      <c r="R54" s="69"/>
    </row>
    <row r="55" spans="1:18" ht="51.9" customHeight="1" thickBot="1">
      <c r="A55" s="829"/>
      <c r="B55" s="150"/>
      <c r="C55" s="809"/>
      <c r="D55" s="832"/>
      <c r="E55" s="808"/>
      <c r="F55" s="754"/>
      <c r="G55" s="834"/>
      <c r="H55" s="109" t="s">
        <v>94</v>
      </c>
      <c r="I55" s="41" t="s">
        <v>96</v>
      </c>
      <c r="J55" s="791"/>
      <c r="K55" s="786"/>
      <c r="L55" s="39" t="s">
        <v>66</v>
      </c>
      <c r="M55" s="14">
        <v>0</v>
      </c>
      <c r="N55" s="14">
        <v>2021</v>
      </c>
      <c r="O55" s="26" t="s">
        <v>55</v>
      </c>
      <c r="P55" s="24" t="s">
        <v>55</v>
      </c>
      <c r="Q55" s="73" t="s">
        <v>54</v>
      </c>
      <c r="R55" s="69"/>
    </row>
    <row r="56" spans="1:18" ht="43.8" thickBot="1">
      <c r="A56" s="829"/>
      <c r="B56" s="150"/>
      <c r="C56" s="809"/>
      <c r="D56" s="832"/>
      <c r="E56" s="808"/>
      <c r="F56" s="754"/>
      <c r="G56" s="834"/>
      <c r="H56" s="110" t="s">
        <v>72</v>
      </c>
      <c r="I56" s="42" t="s">
        <v>82</v>
      </c>
      <c r="J56" s="792"/>
      <c r="K56" s="787"/>
      <c r="L56" s="42" t="s">
        <v>83</v>
      </c>
      <c r="M56" s="118" t="s">
        <v>55</v>
      </c>
      <c r="N56" s="16">
        <v>2021</v>
      </c>
      <c r="O56" s="17" t="s">
        <v>8</v>
      </c>
      <c r="P56" s="17" t="s">
        <v>55</v>
      </c>
      <c r="Q56" s="70" t="s">
        <v>54</v>
      </c>
      <c r="R56" s="78"/>
    </row>
    <row r="57" spans="1:18" ht="57.6">
      <c r="A57" s="829"/>
      <c r="B57" s="150"/>
      <c r="C57" s="810"/>
      <c r="D57" s="832" t="s">
        <v>91</v>
      </c>
      <c r="E57" s="808">
        <v>11549260.699999999</v>
      </c>
      <c r="F57" s="754">
        <f>E57+(E57*0.3/0.7)</f>
        <v>16498943.857142856</v>
      </c>
      <c r="G57" s="837"/>
      <c r="H57" s="97" t="s">
        <v>93</v>
      </c>
      <c r="I57" s="98" t="s">
        <v>99</v>
      </c>
      <c r="J57" s="790" t="s">
        <v>84</v>
      </c>
      <c r="K57" s="785" t="s">
        <v>23</v>
      </c>
      <c r="L57" s="43" t="s">
        <v>100</v>
      </c>
      <c r="M57" s="87" t="s">
        <v>62</v>
      </c>
      <c r="N57" s="71">
        <v>2021</v>
      </c>
      <c r="O57" s="91" t="s">
        <v>8</v>
      </c>
      <c r="P57" s="91" t="s">
        <v>55</v>
      </c>
      <c r="Q57" s="72" t="s">
        <v>54</v>
      </c>
      <c r="R57" s="68"/>
    </row>
    <row r="58" spans="1:18" ht="72">
      <c r="A58" s="829"/>
      <c r="B58" s="150"/>
      <c r="C58" s="811"/>
      <c r="D58" s="832"/>
      <c r="E58" s="808"/>
      <c r="F58" s="754"/>
      <c r="G58" s="838"/>
      <c r="H58" s="95" t="s">
        <v>92</v>
      </c>
      <c r="I58" s="41" t="s">
        <v>101</v>
      </c>
      <c r="J58" s="791"/>
      <c r="K58" s="786"/>
      <c r="L58" s="39" t="s">
        <v>66</v>
      </c>
      <c r="M58" s="14">
        <v>0</v>
      </c>
      <c r="N58" s="14">
        <v>2021</v>
      </c>
      <c r="O58" s="26" t="s">
        <v>8</v>
      </c>
      <c r="P58" s="26" t="s">
        <v>55</v>
      </c>
      <c r="Q58" s="73" t="s">
        <v>54</v>
      </c>
      <c r="R58" s="69"/>
    </row>
    <row r="59" spans="1:18" ht="72.599999999999994" thickBot="1">
      <c r="A59" s="829"/>
      <c r="B59" s="150"/>
      <c r="C59" s="811"/>
      <c r="D59" s="832"/>
      <c r="E59" s="808"/>
      <c r="F59" s="754"/>
      <c r="G59" s="838"/>
      <c r="H59" s="95" t="s">
        <v>94</v>
      </c>
      <c r="I59" s="41" t="s">
        <v>96</v>
      </c>
      <c r="J59" s="791"/>
      <c r="K59" s="786"/>
      <c r="L59" s="39" t="s">
        <v>66</v>
      </c>
      <c r="M59" s="40">
        <v>0</v>
      </c>
      <c r="N59" s="14">
        <v>2021</v>
      </c>
      <c r="O59" s="26" t="s">
        <v>55</v>
      </c>
      <c r="P59" s="24" t="s">
        <v>55</v>
      </c>
      <c r="Q59" s="73" t="s">
        <v>54</v>
      </c>
      <c r="R59" s="69"/>
    </row>
    <row r="60" spans="1:18" ht="43.8" thickBot="1">
      <c r="A60" s="829"/>
      <c r="B60" s="150"/>
      <c r="C60" s="811"/>
      <c r="D60" s="835"/>
      <c r="E60" s="836"/>
      <c r="F60" s="769"/>
      <c r="G60" s="839"/>
      <c r="H60" s="96" t="s">
        <v>72</v>
      </c>
      <c r="I60" s="42" t="s">
        <v>82</v>
      </c>
      <c r="J60" s="792"/>
      <c r="K60" s="787"/>
      <c r="L60" s="42" t="s">
        <v>83</v>
      </c>
      <c r="M60" s="118" t="s">
        <v>55</v>
      </c>
      <c r="N60" s="16">
        <v>2021</v>
      </c>
      <c r="O60" s="17" t="s">
        <v>8</v>
      </c>
      <c r="P60" s="17" t="s">
        <v>55</v>
      </c>
      <c r="Q60" s="70" t="s">
        <v>54</v>
      </c>
      <c r="R60" s="78"/>
    </row>
    <row r="61" spans="1:18" ht="83.25" customHeight="1">
      <c r="A61" s="829"/>
      <c r="B61" s="150"/>
      <c r="C61" s="810"/>
      <c r="D61" s="813" t="s">
        <v>60</v>
      </c>
      <c r="E61" s="814">
        <v>13859112.9</v>
      </c>
      <c r="F61" s="754">
        <f>E61+(E61*0.3/0.7)</f>
        <v>19798732.714285716</v>
      </c>
      <c r="G61" s="815"/>
      <c r="H61" s="111" t="s">
        <v>93</v>
      </c>
      <c r="I61" s="98" t="s">
        <v>99</v>
      </c>
      <c r="J61" s="790" t="s">
        <v>84</v>
      </c>
      <c r="K61" s="785" t="s">
        <v>23</v>
      </c>
      <c r="L61" s="43" t="s">
        <v>100</v>
      </c>
      <c r="M61" s="87" t="s">
        <v>62</v>
      </c>
      <c r="N61" s="71">
        <v>2021</v>
      </c>
      <c r="O61" s="91" t="s">
        <v>8</v>
      </c>
      <c r="P61" s="91" t="s">
        <v>55</v>
      </c>
      <c r="Q61" s="72" t="s">
        <v>54</v>
      </c>
      <c r="R61" s="68"/>
    </row>
    <row r="62" spans="1:18" ht="71.400000000000006" customHeight="1">
      <c r="A62" s="829"/>
      <c r="B62" s="150"/>
      <c r="C62" s="811"/>
      <c r="D62" s="813"/>
      <c r="E62" s="814"/>
      <c r="F62" s="754"/>
      <c r="G62" s="815"/>
      <c r="H62" s="109" t="s">
        <v>92</v>
      </c>
      <c r="I62" s="41" t="s">
        <v>101</v>
      </c>
      <c r="J62" s="791"/>
      <c r="K62" s="786"/>
      <c r="L62" s="39" t="s">
        <v>66</v>
      </c>
      <c r="M62" s="14">
        <v>0</v>
      </c>
      <c r="N62" s="14">
        <v>2021</v>
      </c>
      <c r="O62" s="26" t="s">
        <v>8</v>
      </c>
      <c r="P62" s="26" t="s">
        <v>55</v>
      </c>
      <c r="Q62" s="73" t="s">
        <v>54</v>
      </c>
      <c r="R62" s="99"/>
    </row>
    <row r="63" spans="1:18" ht="71.400000000000006" customHeight="1" thickBot="1">
      <c r="A63" s="829"/>
      <c r="B63" s="150"/>
      <c r="C63" s="811"/>
      <c r="D63" s="776"/>
      <c r="E63" s="776"/>
      <c r="F63" s="776"/>
      <c r="G63" s="776"/>
      <c r="H63" s="109" t="s">
        <v>94</v>
      </c>
      <c r="I63" s="41" t="s">
        <v>96</v>
      </c>
      <c r="J63" s="791"/>
      <c r="K63" s="786"/>
      <c r="L63" s="39" t="s">
        <v>66</v>
      </c>
      <c r="M63" s="40">
        <v>0</v>
      </c>
      <c r="N63" s="14">
        <v>2021</v>
      </c>
      <c r="O63" s="26" t="s">
        <v>55</v>
      </c>
      <c r="P63" s="24" t="s">
        <v>55</v>
      </c>
      <c r="Q63" s="73" t="s">
        <v>54</v>
      </c>
      <c r="R63" s="45"/>
    </row>
    <row r="64" spans="1:18" ht="71.400000000000006" customHeight="1" thickBot="1">
      <c r="A64" s="830"/>
      <c r="B64" s="153"/>
      <c r="C64" s="824"/>
      <c r="D64" s="776"/>
      <c r="E64" s="776"/>
      <c r="F64" s="776"/>
      <c r="G64" s="776"/>
      <c r="H64" s="110" t="s">
        <v>72</v>
      </c>
      <c r="I64" s="42" t="s">
        <v>82</v>
      </c>
      <c r="J64" s="792"/>
      <c r="K64" s="787"/>
      <c r="L64" s="42" t="s">
        <v>83</v>
      </c>
      <c r="M64" s="118" t="s">
        <v>55</v>
      </c>
      <c r="N64" s="44">
        <v>2021</v>
      </c>
      <c r="O64" s="17" t="s">
        <v>8</v>
      </c>
      <c r="P64" s="17" t="s">
        <v>55</v>
      </c>
      <c r="Q64" s="70" t="s">
        <v>54</v>
      </c>
      <c r="R64" s="100"/>
    </row>
    <row r="65" spans="1:18" ht="60" customHeight="1">
      <c r="A65" s="816" t="s">
        <v>114</v>
      </c>
      <c r="B65" s="140"/>
      <c r="C65" s="818">
        <v>51971673.399999999</v>
      </c>
      <c r="D65" s="820" t="s">
        <v>76</v>
      </c>
      <c r="E65" s="818">
        <v>51971673.399999999</v>
      </c>
      <c r="F65" s="771">
        <f>E65+(E65*0.3/0.7)</f>
        <v>74245247.714285716</v>
      </c>
      <c r="G65" s="822"/>
      <c r="H65" s="101" t="s">
        <v>61</v>
      </c>
      <c r="I65" s="102" t="s">
        <v>77</v>
      </c>
      <c r="J65" s="930" t="s">
        <v>43</v>
      </c>
      <c r="K65" s="788" t="s">
        <v>16</v>
      </c>
      <c r="L65" s="103" t="s">
        <v>22</v>
      </c>
      <c r="M65" s="104">
        <v>0</v>
      </c>
      <c r="N65" s="104">
        <v>2021</v>
      </c>
      <c r="O65" s="104"/>
      <c r="P65" s="104"/>
      <c r="Q65" s="72" t="s">
        <v>54</v>
      </c>
      <c r="R65" s="105"/>
    </row>
    <row r="66" spans="1:18" ht="79.5" customHeight="1" thickBot="1">
      <c r="A66" s="817"/>
      <c r="B66" s="154"/>
      <c r="C66" s="819"/>
      <c r="D66" s="821"/>
      <c r="E66" s="819"/>
      <c r="F66" s="772"/>
      <c r="G66" s="823"/>
      <c r="H66" s="106" t="s">
        <v>61</v>
      </c>
      <c r="I66" s="49" t="s">
        <v>78</v>
      </c>
      <c r="J66" s="931"/>
      <c r="K66" s="789"/>
      <c r="L66" s="50" t="s">
        <v>79</v>
      </c>
      <c r="M66" s="48">
        <v>0</v>
      </c>
      <c r="N66" s="48">
        <v>2021</v>
      </c>
      <c r="O66" s="48"/>
      <c r="P66" s="48"/>
      <c r="Q66" s="77" t="s">
        <v>54</v>
      </c>
      <c r="R66" s="51"/>
    </row>
    <row r="67" spans="1:18">
      <c r="C67" s="178">
        <f>C41+C45</f>
        <v>134531822</v>
      </c>
      <c r="D67" s="80"/>
      <c r="E67" s="81"/>
      <c r="F67" s="66"/>
      <c r="G67" s="66"/>
      <c r="H67" s="52"/>
      <c r="I67" s="53"/>
      <c r="J67" s="53"/>
      <c r="K67" s="52"/>
      <c r="L67" s="82"/>
    </row>
    <row r="68" spans="1:18">
      <c r="C68" s="178">
        <f>C41+C45</f>
        <v>134531822</v>
      </c>
      <c r="D68" s="80"/>
      <c r="E68" s="81"/>
      <c r="F68" s="66"/>
      <c r="G68" s="66"/>
      <c r="H68" s="52"/>
      <c r="I68" s="53"/>
      <c r="J68" s="53"/>
      <c r="K68" s="52"/>
    </row>
    <row r="69" spans="1:18">
      <c r="C69" s="178"/>
      <c r="D69" s="80"/>
      <c r="E69" s="81"/>
      <c r="F69" s="66"/>
      <c r="G69" s="66"/>
      <c r="H69" s="52"/>
      <c r="I69" s="53"/>
      <c r="J69" s="53"/>
      <c r="K69" s="52"/>
    </row>
    <row r="70" spans="1:18">
      <c r="A70" s="812"/>
      <c r="C70" s="79"/>
      <c r="D70" s="80"/>
      <c r="E70" s="81"/>
      <c r="F70" s="66"/>
      <c r="G70" s="66"/>
      <c r="H70" s="52"/>
      <c r="I70" s="53"/>
      <c r="J70" s="53"/>
      <c r="K70" s="52"/>
    </row>
    <row r="71" spans="1:18">
      <c r="A71" s="812"/>
      <c r="C71" s="79"/>
      <c r="D71" s="80"/>
      <c r="E71" s="81"/>
      <c r="F71" s="66"/>
      <c r="G71" s="66"/>
      <c r="H71" s="52"/>
      <c r="I71" s="53"/>
      <c r="J71" s="53"/>
      <c r="K71" s="52"/>
    </row>
    <row r="72" spans="1:18">
      <c r="A72" s="812"/>
      <c r="C72" s="79"/>
      <c r="D72" s="80"/>
      <c r="E72" s="81"/>
      <c r="F72" s="66"/>
      <c r="G72" s="66"/>
      <c r="H72" s="52"/>
      <c r="I72" s="53"/>
      <c r="J72" s="53"/>
      <c r="K72" s="52"/>
    </row>
    <row r="73" spans="1:18">
      <c r="A73" s="83"/>
      <c r="C73" s="79"/>
      <c r="D73" s="80"/>
      <c r="E73" s="81"/>
      <c r="F73" s="66"/>
      <c r="G73" s="66"/>
      <c r="H73" s="52"/>
      <c r="I73" s="53"/>
      <c r="J73" s="53"/>
      <c r="K73" s="52"/>
    </row>
    <row r="74" spans="1:18">
      <c r="A74" s="83"/>
      <c r="C74" s="79"/>
      <c r="D74" s="80"/>
      <c r="E74" s="81"/>
      <c r="F74" s="66"/>
      <c r="G74" s="66"/>
      <c r="H74" s="52"/>
      <c r="I74" s="53"/>
      <c r="J74" s="53"/>
      <c r="K74" s="52"/>
    </row>
    <row r="75" spans="1:18">
      <c r="C75" s="79"/>
      <c r="D75" s="80"/>
      <c r="E75" s="81"/>
      <c r="F75" s="66"/>
      <c r="G75" s="66"/>
      <c r="H75" s="52"/>
      <c r="I75" s="53"/>
      <c r="J75" s="53"/>
      <c r="K75" s="52"/>
    </row>
    <row r="76" spans="1:18">
      <c r="C76" s="79"/>
      <c r="D76" s="80"/>
      <c r="E76" s="81"/>
      <c r="F76" s="66"/>
      <c r="G76" s="66"/>
      <c r="H76" s="52"/>
      <c r="I76" s="53"/>
      <c r="J76" s="53"/>
      <c r="K76" s="52"/>
    </row>
    <row r="77" spans="1:18">
      <c r="A77" s="84"/>
      <c r="B77" s="85"/>
      <c r="C77" s="79"/>
      <c r="D77" s="80"/>
      <c r="E77" s="81"/>
      <c r="F77" s="66"/>
      <c r="G77" s="66"/>
      <c r="H77" s="52"/>
      <c r="I77" s="53"/>
      <c r="J77" s="53"/>
      <c r="K77" s="52"/>
    </row>
    <row r="78" spans="1:18" ht="28.8">
      <c r="A78" s="15" t="s">
        <v>5</v>
      </c>
      <c r="B78" s="27" t="s">
        <v>6</v>
      </c>
      <c r="C78" s="15" t="s">
        <v>1</v>
      </c>
      <c r="D78" s="15" t="s">
        <v>9</v>
      </c>
      <c r="E78" s="15" t="s">
        <v>15</v>
      </c>
      <c r="F78" s="15" t="s">
        <v>14</v>
      </c>
      <c r="G78" s="15" t="s">
        <v>10</v>
      </c>
      <c r="H78" s="15" t="s">
        <v>2</v>
      </c>
      <c r="I78" s="15" t="s">
        <v>3</v>
      </c>
      <c r="J78" s="53"/>
      <c r="K78" s="52"/>
    </row>
    <row r="79" spans="1:18" ht="57.6">
      <c r="A79" s="15" t="s">
        <v>57</v>
      </c>
      <c r="B79" s="27" t="s">
        <v>58</v>
      </c>
      <c r="C79" s="15" t="s">
        <v>80</v>
      </c>
      <c r="D79" s="54">
        <v>0</v>
      </c>
      <c r="E79" s="55" t="s">
        <v>50</v>
      </c>
      <c r="F79" s="15" t="s">
        <v>23</v>
      </c>
      <c r="G79" s="55">
        <v>2021</v>
      </c>
      <c r="H79" s="15"/>
      <c r="I79" s="15"/>
      <c r="J79" s="53"/>
      <c r="K79" s="52"/>
    </row>
    <row r="80" spans="1:18" ht="43.2">
      <c r="A80" s="14" t="s">
        <v>67</v>
      </c>
      <c r="B80" s="56" t="s">
        <v>65</v>
      </c>
      <c r="C80" s="22" t="s">
        <v>66</v>
      </c>
      <c r="D80" s="54">
        <v>0</v>
      </c>
      <c r="E80" s="55" t="s">
        <v>50</v>
      </c>
      <c r="F80" s="57" t="s">
        <v>23</v>
      </c>
      <c r="G80" s="55">
        <v>2021</v>
      </c>
      <c r="H80" s="57"/>
      <c r="I80" s="57"/>
    </row>
    <row r="81" spans="1:15" ht="72">
      <c r="A81" s="14" t="s">
        <v>64</v>
      </c>
      <c r="B81" s="56" t="s">
        <v>74</v>
      </c>
      <c r="C81" s="22" t="s">
        <v>56</v>
      </c>
      <c r="D81" s="55">
        <v>0</v>
      </c>
      <c r="E81" s="55" t="s">
        <v>50</v>
      </c>
      <c r="F81" s="55" t="s">
        <v>23</v>
      </c>
      <c r="G81" s="57">
        <v>2021</v>
      </c>
      <c r="H81" s="57"/>
      <c r="I81" s="57"/>
      <c r="J81" s="86"/>
    </row>
    <row r="82" spans="1:15" ht="28.8">
      <c r="A82" s="14" t="s">
        <v>68</v>
      </c>
      <c r="B82" s="56" t="s">
        <v>75</v>
      </c>
      <c r="C82" s="22" t="s">
        <v>66</v>
      </c>
      <c r="D82" s="55">
        <v>0</v>
      </c>
      <c r="E82" s="55" t="s">
        <v>50</v>
      </c>
      <c r="F82" s="55" t="s">
        <v>23</v>
      </c>
      <c r="G82" s="57">
        <v>2021</v>
      </c>
      <c r="H82" s="57"/>
      <c r="I82" s="57"/>
      <c r="J82" s="86"/>
      <c r="K82" s="86"/>
    </row>
    <row r="83" spans="1:15" ht="28.8">
      <c r="A83" s="16" t="s">
        <v>69</v>
      </c>
      <c r="B83" s="58" t="s">
        <v>70</v>
      </c>
      <c r="C83" s="35" t="s">
        <v>70</v>
      </c>
      <c r="D83" s="59">
        <v>0</v>
      </c>
      <c r="E83" s="59" t="s">
        <v>50</v>
      </c>
      <c r="F83" s="59" t="s">
        <v>23</v>
      </c>
      <c r="G83" s="60">
        <v>2021</v>
      </c>
      <c r="H83" s="25" t="s">
        <v>62</v>
      </c>
      <c r="I83" s="60"/>
      <c r="J83" s="86"/>
      <c r="N83"/>
      <c r="O83"/>
    </row>
    <row r="84" spans="1:15" ht="43.2">
      <c r="A84" s="46" t="s">
        <v>61</v>
      </c>
      <c r="B84" s="61" t="s">
        <v>77</v>
      </c>
      <c r="C84" s="62" t="s">
        <v>22</v>
      </c>
      <c r="D84" s="63">
        <v>0</v>
      </c>
      <c r="E84" s="47" t="s">
        <v>59</v>
      </c>
      <c r="F84" s="64" t="s">
        <v>16</v>
      </c>
      <c r="G84" s="9">
        <v>2021</v>
      </c>
      <c r="H84" s="46"/>
      <c r="I84" s="46"/>
      <c r="J84" s="86"/>
      <c r="N84"/>
      <c r="O84"/>
    </row>
    <row r="85" spans="1:15" ht="43.2">
      <c r="A85" s="46" t="s">
        <v>61</v>
      </c>
      <c r="B85" s="61" t="s">
        <v>78</v>
      </c>
      <c r="C85" s="62" t="s">
        <v>79</v>
      </c>
      <c r="D85" s="9">
        <v>0</v>
      </c>
      <c r="E85" s="9" t="s">
        <v>59</v>
      </c>
      <c r="F85" s="46" t="s">
        <v>16</v>
      </c>
      <c r="G85" s="46">
        <v>2021</v>
      </c>
      <c r="H85" s="47"/>
      <c r="I85" s="65"/>
      <c r="J85" s="86"/>
      <c r="N85"/>
      <c r="O85"/>
    </row>
    <row r="86" spans="1:15" ht="57.6">
      <c r="A86" s="14" t="s">
        <v>72</v>
      </c>
      <c r="B86" s="204" t="s">
        <v>58</v>
      </c>
      <c r="C86" s="205" t="s">
        <v>80</v>
      </c>
      <c r="D86" s="263">
        <f>M42+M45</f>
        <v>5.9305499999999997E-3</v>
      </c>
      <c r="E86" s="212" t="s">
        <v>59</v>
      </c>
      <c r="F86" s="193" t="s">
        <v>41</v>
      </c>
      <c r="G86" s="138">
        <v>2021</v>
      </c>
      <c r="H86" s="193" t="s">
        <v>8</v>
      </c>
      <c r="I86" s="216">
        <f>P42+P45</f>
        <v>0.12559204999999998</v>
      </c>
      <c r="J86" s="776" t="s">
        <v>35</v>
      </c>
      <c r="N86"/>
      <c r="O86"/>
    </row>
    <row r="87" spans="1:15" ht="57.6">
      <c r="A87" s="14" t="s">
        <v>72</v>
      </c>
      <c r="B87" s="206" t="s">
        <v>58</v>
      </c>
      <c r="C87" s="207" t="s">
        <v>80</v>
      </c>
      <c r="D87" s="263">
        <f>M44+M47</f>
        <v>2.7944999999999999E-4</v>
      </c>
      <c r="E87" s="212" t="s">
        <v>50</v>
      </c>
      <c r="F87" s="193" t="s">
        <v>23</v>
      </c>
      <c r="G87" s="138">
        <v>2021</v>
      </c>
      <c r="H87" s="193" t="s">
        <v>8</v>
      </c>
      <c r="I87" s="216">
        <f>P44+P47</f>
        <v>5.9179499999999991E-3</v>
      </c>
      <c r="J87" s="776"/>
      <c r="N87"/>
      <c r="O87"/>
    </row>
    <row r="88" spans="1:15" ht="57.6">
      <c r="A88" s="14" t="s">
        <v>138</v>
      </c>
      <c r="B88" s="146" t="s">
        <v>183</v>
      </c>
      <c r="C88" s="146" t="s">
        <v>184</v>
      </c>
      <c r="D88" s="73" t="s">
        <v>8</v>
      </c>
      <c r="E88" s="193" t="s">
        <v>50</v>
      </c>
      <c r="F88" s="193" t="s">
        <v>41</v>
      </c>
      <c r="G88" s="138">
        <v>2021</v>
      </c>
      <c r="H88" s="203">
        <f>O41</f>
        <v>158.2727317647059</v>
      </c>
      <c r="I88" s="203">
        <f>P41</f>
        <v>1582.727317647059</v>
      </c>
      <c r="J88" s="776"/>
      <c r="N88"/>
      <c r="O88"/>
    </row>
    <row r="89" spans="1:15" ht="57.6">
      <c r="A89" s="14" t="s">
        <v>138</v>
      </c>
      <c r="B89" s="163" t="s">
        <v>183</v>
      </c>
      <c r="C89" s="163" t="s">
        <v>184</v>
      </c>
      <c r="D89" s="73" t="s">
        <v>8</v>
      </c>
      <c r="E89" s="193" t="s">
        <v>50</v>
      </c>
      <c r="F89" s="193" t="s">
        <v>23</v>
      </c>
      <c r="G89" s="138">
        <v>2021</v>
      </c>
      <c r="H89" s="203">
        <f>O43</f>
        <v>7.5294117647058831</v>
      </c>
      <c r="I89" s="203">
        <f>P43</f>
        <v>75.294117647058826</v>
      </c>
      <c r="J89" s="776"/>
      <c r="N89"/>
      <c r="O89"/>
    </row>
    <row r="90" spans="1:15" ht="72">
      <c r="A90" s="14" t="s">
        <v>52</v>
      </c>
      <c r="B90" s="195" t="s">
        <v>139</v>
      </c>
      <c r="C90" s="196" t="s">
        <v>140</v>
      </c>
      <c r="D90" s="73" t="s">
        <v>8</v>
      </c>
      <c r="E90" s="193" t="s">
        <v>50</v>
      </c>
      <c r="F90" s="193" t="s">
        <v>23</v>
      </c>
      <c r="G90" s="138">
        <v>2021</v>
      </c>
      <c r="H90" s="73" t="str">
        <f>O45</f>
        <v>n/a</v>
      </c>
      <c r="I90" s="203">
        <f>P46</f>
        <v>0</v>
      </c>
      <c r="J90" s="776"/>
      <c r="N90"/>
      <c r="O90"/>
    </row>
    <row r="91" spans="1:15" ht="72">
      <c r="A91" s="14" t="s">
        <v>52</v>
      </c>
      <c r="B91" s="195" t="s">
        <v>139</v>
      </c>
      <c r="C91" s="196" t="s">
        <v>140</v>
      </c>
      <c r="D91" s="73" t="s">
        <v>8</v>
      </c>
      <c r="E91" s="193" t="s">
        <v>50</v>
      </c>
      <c r="F91" s="193" t="s">
        <v>23</v>
      </c>
      <c r="G91" s="138">
        <v>2021</v>
      </c>
      <c r="H91" s="73">
        <f>O46</f>
        <v>0</v>
      </c>
      <c r="I91" s="203">
        <f>P48</f>
        <v>0</v>
      </c>
      <c r="J91" s="776"/>
      <c r="N91"/>
      <c r="O91"/>
    </row>
    <row r="92" spans="1:15">
      <c r="B92" s="201"/>
      <c r="C92" s="200"/>
      <c r="D92" s="213"/>
      <c r="E92" s="214"/>
      <c r="F92" s="214"/>
      <c r="G92" s="4"/>
      <c r="H92" s="215"/>
      <c r="I92" s="215"/>
      <c r="N92"/>
      <c r="O92"/>
    </row>
    <row r="93" spans="1:15">
      <c r="B93" s="201"/>
      <c r="C93" s="200"/>
      <c r="D93" s="213"/>
      <c r="E93" s="214"/>
      <c r="F93" s="214"/>
      <c r="G93" s="4"/>
      <c r="H93" s="215"/>
      <c r="I93" s="215"/>
      <c r="N93"/>
      <c r="O93"/>
    </row>
    <row r="94" spans="1:15">
      <c r="B94" s="201"/>
      <c r="C94" s="199"/>
      <c r="D94" s="12"/>
      <c r="E94" s="202"/>
      <c r="F94" s="14"/>
      <c r="G94" s="3"/>
      <c r="H94" s="13"/>
      <c r="I94" s="13"/>
      <c r="N94"/>
      <c r="O94"/>
    </row>
    <row r="95" spans="1:15">
      <c r="B95" s="201"/>
      <c r="C95" s="199"/>
      <c r="D95" s="12"/>
      <c r="E95" s="202"/>
      <c r="F95" s="14"/>
      <c r="G95" s="3"/>
      <c r="H95" s="13"/>
      <c r="I95" s="13"/>
      <c r="N95"/>
      <c r="O95"/>
    </row>
    <row r="96" spans="1:15">
      <c r="B96" s="201"/>
      <c r="C96" s="199"/>
      <c r="D96" s="12"/>
      <c r="E96" s="202"/>
      <c r="F96" s="14"/>
      <c r="G96" s="3"/>
      <c r="H96" s="13"/>
      <c r="I96" s="13"/>
      <c r="N96"/>
      <c r="O96"/>
    </row>
    <row r="97" spans="2:15">
      <c r="B97" s="201"/>
      <c r="C97" s="112"/>
      <c r="D97" s="12"/>
      <c r="E97" s="202"/>
      <c r="F97" s="14"/>
      <c r="G97" s="3"/>
      <c r="H97" s="13"/>
      <c r="I97" s="13"/>
      <c r="N97"/>
      <c r="O97"/>
    </row>
    <row r="98" spans="2:15">
      <c r="B98" s="201"/>
      <c r="C98" s="3"/>
      <c r="D98" s="3"/>
      <c r="E98" s="3"/>
      <c r="F98" s="3"/>
      <c r="G98" s="3"/>
      <c r="H98" s="3"/>
      <c r="I98" s="3"/>
      <c r="N98"/>
      <c r="O98"/>
    </row>
    <row r="99" spans="2:15">
      <c r="B99" s="201"/>
      <c r="C99" s="3"/>
      <c r="D99" s="3"/>
      <c r="E99" s="3"/>
      <c r="F99" s="3"/>
      <c r="G99" s="3"/>
      <c r="H99" s="3"/>
      <c r="I99" s="3"/>
      <c r="N99"/>
      <c r="O99"/>
    </row>
    <row r="100" spans="2:15">
      <c r="C100" s="84"/>
      <c r="D100" s="84"/>
      <c r="E100" s="84"/>
      <c r="F100" s="84"/>
      <c r="G100" s="84"/>
      <c r="H100" s="84"/>
      <c r="I100" s="84"/>
      <c r="N100"/>
      <c r="O100"/>
    </row>
    <row r="101" spans="2:15">
      <c r="N101"/>
      <c r="O101"/>
    </row>
    <row r="102" spans="2:15">
      <c r="N102"/>
      <c r="O102"/>
    </row>
    <row r="103" spans="2:15">
      <c r="C103" s="86"/>
      <c r="N103"/>
      <c r="O103"/>
    </row>
    <row r="104" spans="2:15">
      <c r="N104"/>
      <c r="O104"/>
    </row>
    <row r="105" spans="2:15">
      <c r="C105" s="86"/>
      <c r="N105"/>
      <c r="O105"/>
    </row>
    <row r="106" spans="2:15">
      <c r="N106"/>
      <c r="O106"/>
    </row>
    <row r="107" spans="2:15">
      <c r="N107"/>
      <c r="O107"/>
    </row>
    <row r="108" spans="2:15">
      <c r="N108"/>
      <c r="O108"/>
    </row>
    <row r="109" spans="2:15">
      <c r="N109"/>
      <c r="O109"/>
    </row>
    <row r="110" spans="2:15">
      <c r="N110"/>
      <c r="O110"/>
    </row>
    <row r="111" spans="2:15">
      <c r="N111"/>
      <c r="O111"/>
    </row>
  </sheetData>
  <mergeCells count="186">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A70:A72"/>
    <mergeCell ref="D61:D64"/>
    <mergeCell ref="E61:E64"/>
    <mergeCell ref="F61:F64"/>
    <mergeCell ref="G61:G64"/>
    <mergeCell ref="A65:A66"/>
    <mergeCell ref="C65:C66"/>
    <mergeCell ref="D65:D66"/>
    <mergeCell ref="E65:E66"/>
    <mergeCell ref="F65:F66"/>
    <mergeCell ref="G65:G66"/>
    <mergeCell ref="C61:C64"/>
    <mergeCell ref="K13:K17"/>
    <mergeCell ref="K18:K22"/>
    <mergeCell ref="K23:K26"/>
    <mergeCell ref="K27:K30"/>
    <mergeCell ref="K31:K34"/>
    <mergeCell ref="K35:K40"/>
    <mergeCell ref="K49:K52"/>
    <mergeCell ref="K53:K56"/>
    <mergeCell ref="K57:K60"/>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s>
  <phoneticPr fontId="50"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1"/>
  <sheetViews>
    <sheetView topLeftCell="A6" zoomScale="55" zoomScaleNormal="55" workbookViewId="0">
      <selection activeCell="P42" sqref="P42"/>
    </sheetView>
  </sheetViews>
  <sheetFormatPr defaultRowHeight="14.4"/>
  <cols>
    <col min="1" max="1" width="24.5546875" customWidth="1"/>
    <col min="2" max="2" width="17.88671875" customWidth="1"/>
    <col min="3" max="3" width="17.109375" customWidth="1"/>
    <col min="4" max="4" width="15.33203125" customWidth="1"/>
    <col min="5" max="5" width="17.33203125" customWidth="1"/>
    <col min="6" max="6" width="14.88671875" customWidth="1"/>
    <col min="7" max="7" width="17.6640625" customWidth="1"/>
    <col min="8" max="8" width="12.5546875" customWidth="1"/>
    <col min="9" max="9" width="26.33203125" customWidth="1"/>
    <col min="10" max="10" width="13.6640625" customWidth="1"/>
    <col min="12" max="12" width="20" customWidth="1"/>
    <col min="13" max="13" width="16" customWidth="1"/>
    <col min="14" max="14" width="17.33203125" customWidth="1"/>
    <col min="15" max="15" width="17" customWidth="1"/>
    <col min="16" max="16" width="20.88671875" customWidth="1"/>
    <col min="17" max="17" width="37" customWidth="1"/>
    <col min="18" max="18" width="92.6640625" customWidth="1"/>
    <col min="19" max="19" width="81" customWidth="1"/>
    <col min="20" max="20" width="60.5546875" customWidth="1"/>
    <col min="21" max="21" width="14.109375" style="119" bestFit="1" customWidth="1"/>
    <col min="22" max="23" width="8.88671875" style="119"/>
    <col min="24" max="24" width="10.44140625" bestFit="1" customWidth="1"/>
  </cols>
  <sheetData>
    <row r="1" spans="1:37">
      <c r="A1" s="10" t="s">
        <v>12</v>
      </c>
      <c r="L1" s="134" t="s">
        <v>130</v>
      </c>
    </row>
    <row r="2" spans="1:37">
      <c r="A2" t="s">
        <v>105</v>
      </c>
    </row>
    <row r="3" spans="1:37">
      <c r="A3" t="s">
        <v>106</v>
      </c>
    </row>
    <row r="4" spans="1:37" ht="15" thickBot="1">
      <c r="A4" s="10" t="s">
        <v>35</v>
      </c>
    </row>
    <row r="5" spans="1:37" ht="15" customHeight="1">
      <c r="A5" s="963" t="s">
        <v>0</v>
      </c>
      <c r="B5" s="904" t="s">
        <v>132</v>
      </c>
      <c r="C5" s="910" t="s">
        <v>133</v>
      </c>
      <c r="D5" s="958" t="s">
        <v>4</v>
      </c>
      <c r="E5" s="958"/>
      <c r="F5" s="958"/>
      <c r="G5" s="961" t="s">
        <v>18</v>
      </c>
      <c r="H5" s="959" t="s">
        <v>145</v>
      </c>
      <c r="I5" s="959"/>
      <c r="J5" s="958" t="s">
        <v>15</v>
      </c>
      <c r="K5" s="958" t="s">
        <v>14</v>
      </c>
      <c r="L5" s="958" t="s">
        <v>1</v>
      </c>
      <c r="M5" s="958" t="s">
        <v>146</v>
      </c>
      <c r="N5" s="958"/>
      <c r="O5" s="961" t="s">
        <v>2</v>
      </c>
      <c r="P5" s="958" t="s">
        <v>3</v>
      </c>
      <c r="Q5" s="958" t="s">
        <v>147</v>
      </c>
      <c r="R5" s="956" t="s">
        <v>148</v>
      </c>
      <c r="S5" s="148"/>
      <c r="T5" s="148"/>
      <c r="U5" s="198"/>
      <c r="V5" s="198"/>
      <c r="W5" s="198"/>
      <c r="X5" s="148"/>
      <c r="Y5" s="148"/>
      <c r="Z5" s="148"/>
      <c r="AA5" s="148"/>
      <c r="AB5" s="11"/>
      <c r="AC5" s="11"/>
      <c r="AD5" s="11"/>
      <c r="AE5" s="11"/>
      <c r="AF5" s="11"/>
      <c r="AG5" s="11"/>
      <c r="AH5" s="11"/>
      <c r="AI5" s="11"/>
      <c r="AJ5" s="11"/>
      <c r="AK5" s="11"/>
    </row>
    <row r="6" spans="1:37" ht="84" customHeight="1" thickBot="1">
      <c r="A6" s="964"/>
      <c r="B6" s="905"/>
      <c r="C6" s="911"/>
      <c r="D6" s="159" t="s">
        <v>7</v>
      </c>
      <c r="E6" s="160" t="s">
        <v>17</v>
      </c>
      <c r="F6" s="161" t="s">
        <v>149</v>
      </c>
      <c r="G6" s="962"/>
      <c r="H6" s="159" t="s">
        <v>5</v>
      </c>
      <c r="I6" s="159" t="s">
        <v>6</v>
      </c>
      <c r="J6" s="960"/>
      <c r="K6" s="960"/>
      <c r="L6" s="960"/>
      <c r="M6" s="159" t="s">
        <v>150</v>
      </c>
      <c r="N6" s="159" t="s">
        <v>151</v>
      </c>
      <c r="O6" s="962"/>
      <c r="P6" s="960"/>
      <c r="Q6" s="960"/>
      <c r="R6" s="957"/>
      <c r="S6" s="148"/>
      <c r="T6" s="148"/>
      <c r="U6" s="198"/>
      <c r="V6" s="198"/>
      <c r="W6" s="198"/>
      <c r="X6" s="148"/>
      <c r="Y6" s="148"/>
      <c r="Z6" s="148"/>
      <c r="AA6" s="148"/>
      <c r="AB6" s="11"/>
      <c r="AC6" s="11"/>
      <c r="AD6" s="11"/>
      <c r="AE6" s="11"/>
      <c r="AF6" s="11"/>
      <c r="AG6" s="11"/>
      <c r="AH6" s="11"/>
      <c r="AI6" s="11"/>
      <c r="AJ6" s="11"/>
      <c r="AK6" s="11"/>
    </row>
    <row r="7" spans="1:37" ht="115.2" customHeight="1">
      <c r="A7" s="949" t="s">
        <v>105</v>
      </c>
      <c r="B7" s="758">
        <f>F7</f>
        <v>143212698.82352942</v>
      </c>
      <c r="C7" s="765">
        <f>'Intervencijų lėšos (2)'!J5</f>
        <v>121730794</v>
      </c>
      <c r="D7" s="952" t="s">
        <v>157</v>
      </c>
      <c r="E7" s="953">
        <f>C7/0.85*0.15</f>
        <v>21481904.823529411</v>
      </c>
      <c r="F7" s="765">
        <f>C7+E7</f>
        <v>143212698.82352942</v>
      </c>
      <c r="G7" s="765">
        <f>F7</f>
        <v>143212698.82352942</v>
      </c>
      <c r="H7" s="125" t="s">
        <v>72</v>
      </c>
      <c r="I7" s="126" t="s">
        <v>82</v>
      </c>
      <c r="J7" s="965" t="s">
        <v>84</v>
      </c>
      <c r="K7" s="760" t="s">
        <v>297</v>
      </c>
      <c r="L7" s="145" t="s">
        <v>181</v>
      </c>
      <c r="M7" s="259">
        <f>60.96/1000</f>
        <v>6.096E-2</v>
      </c>
      <c r="N7" s="145" t="s">
        <v>46</v>
      </c>
      <c r="O7" s="219" t="s">
        <v>8</v>
      </c>
      <c r="P7" s="259">
        <f>223.54/1000</f>
        <v>0.22353999999999999</v>
      </c>
      <c r="Q7" s="145" t="s">
        <v>34</v>
      </c>
      <c r="R7" s="429" t="s">
        <v>188</v>
      </c>
      <c r="S7" s="451" t="s">
        <v>293</v>
      </c>
      <c r="T7" s="148"/>
      <c r="U7" s="198"/>
      <c r="V7" s="198"/>
      <c r="W7" s="198"/>
      <c r="X7" s="148"/>
      <c r="Y7" s="148"/>
      <c r="Z7" s="148"/>
      <c r="AA7" s="148"/>
      <c r="AB7" s="11"/>
      <c r="AC7" s="11"/>
      <c r="AD7" s="11"/>
      <c r="AE7" s="11"/>
      <c r="AF7" s="11"/>
      <c r="AG7" s="11"/>
      <c r="AH7" s="11"/>
      <c r="AI7" s="11"/>
      <c r="AJ7" s="11"/>
      <c r="AK7" s="11"/>
    </row>
    <row r="8" spans="1:37" ht="88.95" customHeight="1">
      <c r="A8" s="950"/>
      <c r="B8" s="948"/>
      <c r="C8" s="939"/>
      <c r="D8" s="761"/>
      <c r="E8" s="954"/>
      <c r="F8" s="939"/>
      <c r="G8" s="939"/>
      <c r="H8" s="146" t="s">
        <v>52</v>
      </c>
      <c r="I8" s="146" t="s">
        <v>286</v>
      </c>
      <c r="J8" s="966"/>
      <c r="K8" s="761"/>
      <c r="L8" s="146" t="s">
        <v>299</v>
      </c>
      <c r="M8" s="146" t="s">
        <v>8</v>
      </c>
      <c r="N8" s="194" t="s">
        <v>46</v>
      </c>
      <c r="O8" s="115">
        <f>P8*0.1</f>
        <v>5.1000000000000005</v>
      </c>
      <c r="P8" s="115">
        <f>ROUND(G7*0.67/1900000,0)</f>
        <v>51</v>
      </c>
      <c r="Q8" s="146" t="s">
        <v>34</v>
      </c>
      <c r="R8" s="430" t="s">
        <v>288</v>
      </c>
      <c r="S8" s="452" t="s">
        <v>290</v>
      </c>
      <c r="T8" s="442"/>
      <c r="U8" s="198"/>
      <c r="V8" s="198"/>
      <c r="W8" s="198"/>
      <c r="X8" s="148"/>
      <c r="Y8" s="148"/>
      <c r="Z8" s="148"/>
      <c r="AA8" s="148"/>
      <c r="AB8" s="11"/>
      <c r="AC8" s="11"/>
      <c r="AD8" s="11"/>
      <c r="AE8" s="11"/>
      <c r="AF8" s="11"/>
      <c r="AG8" s="11"/>
      <c r="AH8" s="11"/>
      <c r="AI8" s="11"/>
      <c r="AJ8" s="11"/>
      <c r="AK8" s="11"/>
    </row>
    <row r="9" spans="1:37" ht="78.599999999999994" customHeight="1" thickBot="1">
      <c r="A9" s="951"/>
      <c r="B9" s="772"/>
      <c r="C9" s="940"/>
      <c r="D9" s="762"/>
      <c r="E9" s="955"/>
      <c r="F9" s="940"/>
      <c r="G9" s="940"/>
      <c r="H9" s="162" t="s">
        <v>52</v>
      </c>
      <c r="I9" s="162" t="s">
        <v>287</v>
      </c>
      <c r="J9" s="967"/>
      <c r="K9" s="762"/>
      <c r="L9" s="162" t="s">
        <v>299</v>
      </c>
      <c r="M9" s="162" t="s">
        <v>8</v>
      </c>
      <c r="N9" s="218" t="s">
        <v>46</v>
      </c>
      <c r="O9" s="443">
        <f>P9*0.1</f>
        <v>2.5</v>
      </c>
      <c r="P9" s="444">
        <f>ROUND(G7*0.33/1900000,0)</f>
        <v>25</v>
      </c>
      <c r="Q9" s="162" t="s">
        <v>34</v>
      </c>
      <c r="R9" s="445" t="s">
        <v>289</v>
      </c>
      <c r="S9" s="452" t="s">
        <v>291</v>
      </c>
      <c r="T9" s="442"/>
      <c r="U9" s="198"/>
      <c r="V9" s="198"/>
      <c r="W9" s="198"/>
      <c r="X9" s="148"/>
      <c r="Y9" s="148"/>
      <c r="Z9" s="148"/>
      <c r="AA9" s="148"/>
      <c r="AB9" s="11"/>
      <c r="AC9" s="11"/>
      <c r="AD9" s="11"/>
      <c r="AE9" s="11"/>
      <c r="AF9" s="11"/>
      <c r="AG9" s="11"/>
      <c r="AH9" s="11"/>
      <c r="AI9" s="11"/>
      <c r="AJ9" s="11"/>
      <c r="AK9" s="11"/>
    </row>
    <row r="10" spans="1:37" ht="91.2" customHeight="1" thickBot="1">
      <c r="A10" s="949" t="s">
        <v>106</v>
      </c>
      <c r="B10" s="758">
        <f>F10</f>
        <v>53764705.882352941</v>
      </c>
      <c r="C10" s="758">
        <v>45700000</v>
      </c>
      <c r="D10" s="952" t="s">
        <v>158</v>
      </c>
      <c r="E10" s="953">
        <f>C10/0.85*0.15</f>
        <v>8064705.8823529407</v>
      </c>
      <c r="F10" s="758">
        <f>C10+E10</f>
        <v>53764705.882352941</v>
      </c>
      <c r="G10" s="758">
        <f>F10</f>
        <v>53764705.882352941</v>
      </c>
      <c r="H10" s="145" t="s">
        <v>152</v>
      </c>
      <c r="I10" s="145" t="s">
        <v>177</v>
      </c>
      <c r="J10" s="965" t="s">
        <v>84</v>
      </c>
      <c r="K10" s="760" t="s">
        <v>297</v>
      </c>
      <c r="L10" s="126" t="s">
        <v>180</v>
      </c>
      <c r="M10" s="145" t="s">
        <v>8</v>
      </c>
      <c r="N10" s="126" t="s">
        <v>46</v>
      </c>
      <c r="O10" s="174">
        <f>P10*0.1</f>
        <v>990</v>
      </c>
      <c r="P10" s="126" t="s">
        <v>182</v>
      </c>
      <c r="Q10" s="145" t="s">
        <v>34</v>
      </c>
      <c r="R10" s="157" t="s">
        <v>185</v>
      </c>
      <c r="S10" s="453" t="s">
        <v>292</v>
      </c>
      <c r="T10" s="158"/>
      <c r="U10" s="198"/>
      <c r="V10" s="198"/>
      <c r="W10" s="198"/>
      <c r="X10" s="148"/>
      <c r="Y10" s="148"/>
      <c r="Z10" s="148"/>
      <c r="AA10" s="148"/>
      <c r="AB10" s="11"/>
      <c r="AC10" s="11"/>
      <c r="AD10" s="11"/>
      <c r="AE10" s="11"/>
      <c r="AF10" s="11"/>
      <c r="AG10" s="11"/>
      <c r="AH10" s="11"/>
      <c r="AI10" s="11"/>
      <c r="AJ10" s="11"/>
      <c r="AK10" s="11"/>
    </row>
    <row r="11" spans="1:37" ht="72" customHeight="1">
      <c r="A11" s="950"/>
      <c r="B11" s="948"/>
      <c r="C11" s="948"/>
      <c r="D11" s="761"/>
      <c r="E11" s="954"/>
      <c r="F11" s="948"/>
      <c r="G11" s="948"/>
      <c r="H11" s="146" t="s">
        <v>72</v>
      </c>
      <c r="I11" s="146" t="s">
        <v>82</v>
      </c>
      <c r="J11" s="966"/>
      <c r="K11" s="848"/>
      <c r="L11" s="145" t="s">
        <v>181</v>
      </c>
      <c r="M11" s="163" t="s">
        <v>42</v>
      </c>
      <c r="N11" s="124" t="s">
        <v>46</v>
      </c>
      <c r="O11" s="164" t="s">
        <v>8</v>
      </c>
      <c r="P11" s="446">
        <f>99*0.005/1000</f>
        <v>4.95E-4</v>
      </c>
      <c r="Q11" s="146" t="s">
        <v>34</v>
      </c>
      <c r="R11" s="177" t="s">
        <v>189</v>
      </c>
      <c r="S11" s="454" t="s">
        <v>294</v>
      </c>
      <c r="T11" s="158"/>
      <c r="U11" s="198"/>
      <c r="V11" s="198"/>
      <c r="W11" s="198"/>
      <c r="X11" s="148"/>
      <c r="Y11" s="148"/>
      <c r="Z11" s="148"/>
      <c r="AA11" s="148"/>
      <c r="AB11" s="11"/>
      <c r="AC11" s="11"/>
      <c r="AD11" s="11"/>
      <c r="AE11" s="11"/>
      <c r="AF11" s="11"/>
      <c r="AG11" s="11"/>
      <c r="AH11" s="11"/>
      <c r="AI11" s="11"/>
      <c r="AJ11" s="11"/>
      <c r="AK11" s="11"/>
    </row>
    <row r="12" spans="1:37" ht="103.2" customHeight="1" thickBot="1">
      <c r="A12" s="950"/>
      <c r="B12" s="948"/>
      <c r="C12" s="759"/>
      <c r="D12" s="793"/>
      <c r="E12" s="968"/>
      <c r="F12" s="759"/>
      <c r="G12" s="759"/>
      <c r="H12" s="124" t="s">
        <v>153</v>
      </c>
      <c r="I12" s="124" t="s">
        <v>178</v>
      </c>
      <c r="J12" s="967"/>
      <c r="K12" s="800"/>
      <c r="L12" s="124" t="s">
        <v>179</v>
      </c>
      <c r="M12" s="124" t="s">
        <v>42</v>
      </c>
      <c r="N12" s="124" t="s">
        <v>46</v>
      </c>
      <c r="O12" s="447" t="s">
        <v>8</v>
      </c>
      <c r="P12" s="257">
        <f>39013*99</f>
        <v>3862287</v>
      </c>
      <c r="Q12" s="124" t="s">
        <v>296</v>
      </c>
      <c r="R12" s="258" t="s">
        <v>300</v>
      </c>
      <c r="S12" s="148" t="s">
        <v>304</v>
      </c>
      <c r="T12" s="148"/>
      <c r="U12" s="198"/>
      <c r="V12" s="198"/>
      <c r="W12" s="198"/>
      <c r="X12" s="198"/>
      <c r="Y12" s="148"/>
      <c r="Z12" s="148"/>
      <c r="AA12" s="148"/>
      <c r="AB12" s="11"/>
      <c r="AC12" s="11"/>
      <c r="AD12" s="11"/>
      <c r="AE12" s="11"/>
      <c r="AF12" s="11"/>
      <c r="AG12" s="11"/>
      <c r="AH12" s="11"/>
      <c r="AI12" s="11"/>
      <c r="AJ12" s="11"/>
      <c r="AK12" s="11"/>
    </row>
    <row r="13" spans="1:37" ht="42" hidden="1" customHeight="1">
      <c r="A13" s="950"/>
      <c r="B13" s="175"/>
      <c r="C13" s="941">
        <f>'[1]Intervencijų lėšos'!I8</f>
        <v>10000000</v>
      </c>
      <c r="D13" s="943" t="s">
        <v>137</v>
      </c>
      <c r="E13" s="945">
        <f>(C13*100/70)-C13</f>
        <v>4285714.2857142854</v>
      </c>
      <c r="F13" s="947">
        <f>C13+E13</f>
        <v>14285714.285714285</v>
      </c>
      <c r="G13" s="166">
        <f>F13</f>
        <v>14285714.285714285</v>
      </c>
      <c r="H13" s="167" t="s">
        <v>57</v>
      </c>
      <c r="I13" s="167" t="s">
        <v>58</v>
      </c>
      <c r="J13" s="168" t="s">
        <v>120</v>
      </c>
      <c r="K13" s="168" t="s">
        <v>23</v>
      </c>
      <c r="L13" s="167" t="s">
        <v>80</v>
      </c>
      <c r="M13" s="167"/>
      <c r="N13" s="167"/>
      <c r="O13" s="169"/>
      <c r="P13" s="167"/>
      <c r="Q13" s="167" t="s">
        <v>34</v>
      </c>
      <c r="R13" s="165"/>
      <c r="S13" s="148"/>
      <c r="T13" s="148"/>
      <c r="U13" s="198"/>
      <c r="V13" s="198"/>
      <c r="W13" s="198"/>
      <c r="X13" s="148"/>
      <c r="Y13" s="148"/>
      <c r="Z13" s="148"/>
      <c r="AA13" s="148"/>
      <c r="AB13" s="11"/>
      <c r="AC13" s="11"/>
      <c r="AD13" s="11"/>
      <c r="AE13" s="11"/>
      <c r="AF13" s="11"/>
      <c r="AG13" s="11"/>
      <c r="AH13" s="11"/>
      <c r="AI13" s="11"/>
      <c r="AJ13" s="11"/>
      <c r="AK13" s="11"/>
    </row>
    <row r="14" spans="1:37" ht="35.4" hidden="1" customHeight="1">
      <c r="A14" s="951"/>
      <c r="B14" s="176"/>
      <c r="C14" s="942"/>
      <c r="D14" s="944"/>
      <c r="E14" s="946"/>
      <c r="F14" s="942"/>
      <c r="G14" s="170"/>
      <c r="H14" s="171"/>
      <c r="I14" s="171"/>
      <c r="J14" s="171"/>
      <c r="K14" s="171"/>
      <c r="L14" s="171"/>
      <c r="M14" s="171"/>
      <c r="N14" s="171"/>
      <c r="O14" s="172"/>
      <c r="P14" s="171"/>
      <c r="Q14" s="171" t="s">
        <v>34</v>
      </c>
      <c r="R14" s="173"/>
      <c r="S14" s="148"/>
      <c r="T14" s="148"/>
      <c r="U14" s="198"/>
      <c r="V14" s="198"/>
      <c r="W14" s="198"/>
      <c r="X14" s="148"/>
      <c r="Y14" s="148"/>
      <c r="Z14" s="148"/>
      <c r="AA14" s="148"/>
      <c r="AB14" s="11"/>
      <c r="AC14" s="11"/>
      <c r="AD14" s="11"/>
      <c r="AE14" s="11"/>
      <c r="AF14" s="11"/>
      <c r="AG14" s="11"/>
      <c r="AH14" s="11"/>
      <c r="AI14" s="11"/>
      <c r="AJ14" s="11"/>
      <c r="AK14" s="11"/>
    </row>
    <row r="15" spans="1:37">
      <c r="B15" s="119"/>
      <c r="C15" s="119">
        <f>C10+C7</f>
        <v>167430794</v>
      </c>
    </row>
    <row r="16" spans="1:37">
      <c r="C16" s="119"/>
    </row>
    <row r="17" spans="1:22">
      <c r="C17" s="119">
        <f>C7+C10</f>
        <v>167430794</v>
      </c>
    </row>
    <row r="20" spans="1:22" customFormat="1" ht="43.2">
      <c r="A20" s="15" t="s">
        <v>5</v>
      </c>
      <c r="B20" s="27" t="s">
        <v>6</v>
      </c>
      <c r="C20" s="15" t="s">
        <v>1</v>
      </c>
      <c r="D20" s="15" t="s">
        <v>9</v>
      </c>
      <c r="E20" s="15" t="s">
        <v>15</v>
      </c>
      <c r="F20" s="15" t="s">
        <v>14</v>
      </c>
      <c r="G20" s="15" t="s">
        <v>10</v>
      </c>
      <c r="H20" s="15" t="s">
        <v>2</v>
      </c>
      <c r="I20" s="15" t="s">
        <v>3</v>
      </c>
      <c r="J20" s="53"/>
      <c r="K20" s="52"/>
      <c r="N20" s="66"/>
      <c r="O20" s="66"/>
      <c r="T20" s="119"/>
      <c r="U20" s="119"/>
      <c r="V20" s="119"/>
    </row>
    <row r="21" spans="1:22" customFormat="1" ht="57.6">
      <c r="A21" s="14" t="s">
        <v>72</v>
      </c>
      <c r="B21" s="206" t="s">
        <v>58</v>
      </c>
      <c r="C21" s="207" t="s">
        <v>80</v>
      </c>
      <c r="D21" s="155">
        <f>M7+M11</f>
        <v>6.096E-2</v>
      </c>
      <c r="E21" s="55" t="s">
        <v>50</v>
      </c>
      <c r="F21" s="193" t="s">
        <v>23</v>
      </c>
      <c r="G21" s="14">
        <v>2021</v>
      </c>
      <c r="H21" s="14" t="s">
        <v>8</v>
      </c>
      <c r="I21" s="216">
        <f>P7+P11</f>
        <v>0.22403499999999998</v>
      </c>
      <c r="J21" s="776" t="s">
        <v>35</v>
      </c>
      <c r="S21" t="s">
        <v>278</v>
      </c>
      <c r="T21" s="119"/>
      <c r="U21" s="119"/>
      <c r="V21" s="119"/>
    </row>
    <row r="22" spans="1:22" customFormat="1" ht="43.2">
      <c r="A22" s="146" t="s">
        <v>52</v>
      </c>
      <c r="B22" s="146" t="s">
        <v>142</v>
      </c>
      <c r="C22" s="146" t="s">
        <v>140</v>
      </c>
      <c r="D22" s="73" t="s">
        <v>8</v>
      </c>
      <c r="E22" s="14" t="s">
        <v>50</v>
      </c>
      <c r="F22" s="14" t="s">
        <v>23</v>
      </c>
      <c r="G22" s="14">
        <v>2021</v>
      </c>
      <c r="H22" s="203">
        <f t="shared" ref="H22:I24" si="0">O8</f>
        <v>5.1000000000000005</v>
      </c>
      <c r="I22" s="203">
        <f t="shared" si="0"/>
        <v>51</v>
      </c>
      <c r="J22" s="776"/>
      <c r="T22" s="119"/>
      <c r="U22" s="119"/>
      <c r="V22" s="119"/>
    </row>
    <row r="23" spans="1:22" customFormat="1" ht="70.95" customHeight="1">
      <c r="A23" s="146" t="s">
        <v>52</v>
      </c>
      <c r="B23" s="146" t="s">
        <v>143</v>
      </c>
      <c r="C23" s="196" t="s">
        <v>140</v>
      </c>
      <c r="D23" s="73" t="s">
        <v>8</v>
      </c>
      <c r="E23" s="14" t="s">
        <v>50</v>
      </c>
      <c r="F23" s="14" t="s">
        <v>23</v>
      </c>
      <c r="G23" s="14">
        <v>2021</v>
      </c>
      <c r="H23" s="203">
        <f t="shared" si="0"/>
        <v>2.5</v>
      </c>
      <c r="I23" s="203">
        <f t="shared" si="0"/>
        <v>25</v>
      </c>
      <c r="J23" s="776"/>
      <c r="T23" s="119"/>
      <c r="U23" s="119"/>
      <c r="V23" s="119"/>
    </row>
    <row r="24" spans="1:22" customFormat="1" ht="72">
      <c r="A24" s="146" t="s">
        <v>152</v>
      </c>
      <c r="B24" s="146" t="s">
        <v>177</v>
      </c>
      <c r="C24" s="194" t="s">
        <v>180</v>
      </c>
      <c r="D24" s="73" t="str">
        <f>M10</f>
        <v>n/a</v>
      </c>
      <c r="E24" s="14" t="s">
        <v>50</v>
      </c>
      <c r="F24" s="14" t="s">
        <v>23</v>
      </c>
      <c r="G24" s="14">
        <v>2021</v>
      </c>
      <c r="H24" s="203">
        <f t="shared" si="0"/>
        <v>990</v>
      </c>
      <c r="I24" s="203" t="str">
        <f t="shared" si="0"/>
        <v>9900</v>
      </c>
      <c r="J24" s="776"/>
      <c r="T24" s="119"/>
      <c r="U24" s="119"/>
      <c r="V24" s="119"/>
    </row>
    <row r="25" spans="1:22" ht="43.2">
      <c r="A25" s="146" t="s">
        <v>153</v>
      </c>
      <c r="B25" s="146" t="s">
        <v>178</v>
      </c>
      <c r="C25" s="146" t="s">
        <v>179</v>
      </c>
      <c r="D25" s="193" t="str">
        <f>M12</f>
        <v>0</v>
      </c>
      <c r="E25" s="14" t="s">
        <v>50</v>
      </c>
      <c r="F25" s="14" t="s">
        <v>23</v>
      </c>
      <c r="G25" s="14">
        <v>2021</v>
      </c>
      <c r="H25" s="138" t="str">
        <f>O12</f>
        <v>n/a</v>
      </c>
      <c r="I25" s="138">
        <f>P12</f>
        <v>3862287</v>
      </c>
      <c r="J25" s="776"/>
    </row>
    <row r="26" spans="1:22">
      <c r="A26" s="3"/>
      <c r="B26" s="3"/>
      <c r="C26" s="3"/>
      <c r="D26" s="4"/>
      <c r="E26" s="3"/>
      <c r="F26" s="3"/>
      <c r="G26" s="3"/>
      <c r="H26" s="3"/>
      <c r="I26" s="3"/>
      <c r="J26" s="776"/>
    </row>
    <row r="27" spans="1:22">
      <c r="A27" s="3"/>
      <c r="B27" s="3"/>
      <c r="C27" s="3"/>
      <c r="D27" s="4"/>
      <c r="E27" s="3"/>
      <c r="F27" s="3"/>
      <c r="G27" s="3"/>
      <c r="H27" s="3"/>
      <c r="I27" s="3"/>
      <c r="J27" s="776"/>
    </row>
    <row r="28" spans="1:22">
      <c r="A28" s="3"/>
      <c r="B28" s="3"/>
      <c r="C28" s="3"/>
      <c r="D28" s="4"/>
      <c r="E28" s="3"/>
      <c r="F28" s="3"/>
      <c r="G28" s="3"/>
      <c r="H28" s="3"/>
      <c r="I28" s="3"/>
      <c r="J28" s="776"/>
    </row>
    <row r="29" spans="1:22">
      <c r="A29" s="3"/>
      <c r="B29" s="3"/>
      <c r="C29" s="3"/>
      <c r="D29" s="4"/>
      <c r="E29" s="3"/>
      <c r="F29" s="3"/>
      <c r="G29" s="3"/>
      <c r="H29" s="3"/>
      <c r="I29" s="3"/>
      <c r="J29" s="776"/>
    </row>
    <row r="30" spans="1:22">
      <c r="A30" s="3"/>
      <c r="B30" s="3"/>
      <c r="C30" s="3"/>
      <c r="D30" s="4"/>
      <c r="E30" s="3"/>
      <c r="F30" s="3"/>
      <c r="G30" s="3"/>
      <c r="H30" s="3"/>
      <c r="I30" s="3"/>
      <c r="J30" s="776"/>
    </row>
    <row r="31" spans="1:22">
      <c r="A31" s="3"/>
      <c r="B31" s="3"/>
      <c r="C31" s="3"/>
      <c r="D31" s="4"/>
      <c r="E31" s="3"/>
      <c r="F31" s="3"/>
      <c r="G31" s="3"/>
      <c r="H31" s="3"/>
      <c r="I31" s="3"/>
      <c r="J31" s="776"/>
    </row>
    <row r="32" spans="1:22">
      <c r="A32" s="3"/>
      <c r="B32" s="3"/>
      <c r="C32" s="3"/>
      <c r="D32" s="4"/>
      <c r="E32" s="3"/>
      <c r="F32" s="3"/>
      <c r="G32" s="3"/>
      <c r="H32" s="3"/>
      <c r="I32" s="3"/>
      <c r="J32" s="776"/>
    </row>
    <row r="33" spans="4:4">
      <c r="D33" s="119"/>
    </row>
    <row r="34" spans="4:4">
      <c r="D34" s="119"/>
    </row>
    <row r="35" spans="4:4">
      <c r="D35" s="119"/>
    </row>
    <row r="36" spans="4:4">
      <c r="D36" s="119"/>
    </row>
    <row r="37" spans="4:4">
      <c r="D37" s="119"/>
    </row>
    <row r="38" spans="4:4">
      <c r="D38" s="119"/>
    </row>
    <row r="39" spans="4:4">
      <c r="D39" s="119"/>
    </row>
    <row r="40" spans="4:4">
      <c r="D40" s="119"/>
    </row>
    <row r="41" spans="4:4">
      <c r="D41" s="119"/>
    </row>
  </sheetData>
  <mergeCells count="37">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 ref="R5:R6"/>
    <mergeCell ref="D5:F5"/>
    <mergeCell ref="H5:I5"/>
    <mergeCell ref="J5:J6"/>
    <mergeCell ref="M5:N5"/>
    <mergeCell ref="O5:O6"/>
    <mergeCell ref="L5:L6"/>
    <mergeCell ref="P5:P6"/>
    <mergeCell ref="K5:K6"/>
    <mergeCell ref="B10:B12"/>
    <mergeCell ref="A7:A9"/>
    <mergeCell ref="C7:C9"/>
    <mergeCell ref="D7:D9"/>
    <mergeCell ref="E7:E9"/>
    <mergeCell ref="B7:B9"/>
    <mergeCell ref="G7:G9"/>
    <mergeCell ref="C13:C14"/>
    <mergeCell ref="D13:D14"/>
    <mergeCell ref="E13:E14"/>
    <mergeCell ref="F13:F14"/>
    <mergeCell ref="F7:F9"/>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topLeftCell="A28" zoomScale="55" zoomScaleNormal="55" workbookViewId="0">
      <selection activeCell="P42" sqref="P42"/>
    </sheetView>
  </sheetViews>
  <sheetFormatPr defaultRowHeight="14.4"/>
  <cols>
    <col min="1" max="1" width="17.5546875" customWidth="1"/>
    <col min="2" max="2" width="16.33203125" customWidth="1"/>
    <col min="3" max="3" width="15.6640625" customWidth="1"/>
    <col min="4" max="4" width="21.33203125" customWidth="1"/>
    <col min="5" max="5" width="16.6640625" customWidth="1"/>
    <col min="6" max="6" width="15.33203125" customWidth="1"/>
    <col min="7" max="7" width="17" customWidth="1"/>
    <col min="8" max="8" width="15.109375" customWidth="1"/>
    <col min="9" max="9" width="19.44140625" customWidth="1"/>
    <col min="10" max="10" width="12.6640625" customWidth="1"/>
    <col min="11" max="11" width="13.33203125" customWidth="1"/>
    <col min="12" max="12" width="12.44140625" customWidth="1"/>
    <col min="13" max="13" width="14.109375" customWidth="1"/>
    <col min="14" max="14" width="11.44140625" customWidth="1"/>
    <col min="15" max="15" width="17.6640625" customWidth="1"/>
    <col min="16" max="16" width="20.88671875" style="226" customWidth="1"/>
    <col min="17" max="17" width="33.109375" customWidth="1"/>
    <col min="18" max="18" width="51.88671875" customWidth="1"/>
    <col min="19" max="19" width="52.6640625" customWidth="1"/>
    <col min="20" max="20" width="68" customWidth="1"/>
  </cols>
  <sheetData>
    <row r="1" spans="1:20">
      <c r="A1" s="10" t="s">
        <v>13</v>
      </c>
      <c r="E1" s="134" t="s">
        <v>131</v>
      </c>
    </row>
    <row r="2" spans="1:20">
      <c r="A2" t="s">
        <v>107</v>
      </c>
    </row>
    <row r="3" spans="1:20" ht="15" thickBot="1">
      <c r="A3" t="s">
        <v>35</v>
      </c>
    </row>
    <row r="4" spans="1:20" ht="15" customHeight="1">
      <c r="A4" s="909" t="s">
        <v>24</v>
      </c>
      <c r="B4" s="904" t="s">
        <v>132</v>
      </c>
      <c r="C4" s="910" t="s">
        <v>133</v>
      </c>
      <c r="D4" s="919" t="s">
        <v>4</v>
      </c>
      <c r="E4" s="1013"/>
      <c r="F4" s="921"/>
      <c r="G4" s="909" t="s">
        <v>18</v>
      </c>
      <c r="H4" s="1014" t="s">
        <v>19</v>
      </c>
      <c r="I4" s="1015"/>
      <c r="J4" s="914" t="s">
        <v>31</v>
      </c>
      <c r="K4" s="906" t="s">
        <v>38</v>
      </c>
      <c r="L4" s="914" t="s">
        <v>32</v>
      </c>
      <c r="M4" s="919" t="s">
        <v>26</v>
      </c>
      <c r="N4" s="921"/>
      <c r="O4" s="914" t="s">
        <v>29</v>
      </c>
      <c r="P4" s="1023" t="s">
        <v>30</v>
      </c>
      <c r="Q4" s="914" t="s">
        <v>39</v>
      </c>
      <c r="R4" s="916" t="s">
        <v>40</v>
      </c>
    </row>
    <row r="5" spans="1:20" ht="29.4" thickBot="1">
      <c r="A5" s="1003"/>
      <c r="B5" s="905"/>
      <c r="C5" s="911"/>
      <c r="D5" s="1" t="s">
        <v>7</v>
      </c>
      <c r="E5" s="6" t="s">
        <v>17</v>
      </c>
      <c r="F5" s="5" t="s">
        <v>25</v>
      </c>
      <c r="G5" s="1003"/>
      <c r="H5" s="1" t="s">
        <v>44</v>
      </c>
      <c r="I5" s="2" t="s">
        <v>51</v>
      </c>
      <c r="J5" s="905"/>
      <c r="K5" s="1025"/>
      <c r="L5" s="905"/>
      <c r="M5" s="2" t="s">
        <v>27</v>
      </c>
      <c r="N5" s="2" t="s">
        <v>48</v>
      </c>
      <c r="O5" s="905"/>
      <c r="P5" s="1024"/>
      <c r="Q5" s="1028"/>
      <c r="R5" s="1029"/>
    </row>
    <row r="6" spans="1:20" ht="116.4" customHeight="1">
      <c r="A6" s="949" t="s">
        <v>107</v>
      </c>
      <c r="B6" s="983">
        <f>F6</f>
        <v>14009564.705882352</v>
      </c>
      <c r="C6" s="993">
        <v>11908130</v>
      </c>
      <c r="D6" s="760" t="s">
        <v>161</v>
      </c>
      <c r="E6" s="983">
        <f>C6/0.85*0.15</f>
        <v>2101434.7058823528</v>
      </c>
      <c r="F6" s="1009">
        <f>C6+E6</f>
        <v>14009564.705882352</v>
      </c>
      <c r="G6" s="1000">
        <f>F6</f>
        <v>14009564.705882352</v>
      </c>
      <c r="H6" s="242" t="s">
        <v>159</v>
      </c>
      <c r="I6" s="224" t="s">
        <v>173</v>
      </c>
      <c r="J6" s="1020" t="s">
        <v>45</v>
      </c>
      <c r="K6" s="760" t="s">
        <v>41</v>
      </c>
      <c r="L6" s="244" t="s">
        <v>81</v>
      </c>
      <c r="M6" s="224" t="s">
        <v>42</v>
      </c>
      <c r="N6" s="424" t="s">
        <v>270</v>
      </c>
      <c r="O6" s="245">
        <f>P6*0.2</f>
        <v>1900</v>
      </c>
      <c r="P6" s="245">
        <v>9500</v>
      </c>
      <c r="Q6" s="224" t="s">
        <v>34</v>
      </c>
      <c r="R6" s="974" t="s">
        <v>336</v>
      </c>
      <c r="S6" s="1030" t="s">
        <v>337</v>
      </c>
      <c r="T6" s="969"/>
    </row>
    <row r="7" spans="1:20" ht="200.4" customHeight="1">
      <c r="A7" s="950"/>
      <c r="B7" s="982"/>
      <c r="C7" s="994"/>
      <c r="D7" s="761"/>
      <c r="E7" s="982"/>
      <c r="F7" s="985"/>
      <c r="G7" s="1001"/>
      <c r="H7" s="238" t="s">
        <v>160</v>
      </c>
      <c r="I7" s="239" t="s">
        <v>174</v>
      </c>
      <c r="J7" s="1021"/>
      <c r="K7" s="761"/>
      <c r="L7" s="246" t="s">
        <v>36</v>
      </c>
      <c r="M7" s="239" t="s">
        <v>42</v>
      </c>
      <c r="N7" s="425" t="s">
        <v>270</v>
      </c>
      <c r="O7" s="247">
        <f>P7*0.2</f>
        <v>950</v>
      </c>
      <c r="P7" s="247">
        <v>4750</v>
      </c>
      <c r="Q7" s="239" t="s">
        <v>34</v>
      </c>
      <c r="R7" s="971"/>
      <c r="S7" s="1030"/>
      <c r="T7" s="969"/>
    </row>
    <row r="8" spans="1:20" ht="130.94999999999999" customHeight="1">
      <c r="A8" s="950"/>
      <c r="B8" s="982"/>
      <c r="C8" s="994"/>
      <c r="D8" s="761"/>
      <c r="E8" s="982"/>
      <c r="F8" s="985"/>
      <c r="G8" s="1001"/>
      <c r="H8" s="243" t="s">
        <v>167</v>
      </c>
      <c r="I8" s="239" t="s">
        <v>175</v>
      </c>
      <c r="J8" s="1021"/>
      <c r="K8" s="761"/>
      <c r="L8" s="246" t="s">
        <v>81</v>
      </c>
      <c r="M8" s="239" t="s">
        <v>42</v>
      </c>
      <c r="N8" s="425" t="s">
        <v>270</v>
      </c>
      <c r="O8" s="248" t="s">
        <v>8</v>
      </c>
      <c r="P8" s="247">
        <f>P6*0.8</f>
        <v>7600</v>
      </c>
      <c r="Q8" s="225" t="s">
        <v>34</v>
      </c>
      <c r="R8" s="241" t="s">
        <v>334</v>
      </c>
      <c r="S8" s="431" t="s">
        <v>338</v>
      </c>
    </row>
    <row r="9" spans="1:20" ht="141.6" customHeight="1">
      <c r="A9" s="950"/>
      <c r="B9" s="984"/>
      <c r="C9" s="995"/>
      <c r="D9" s="761"/>
      <c r="E9" s="982"/>
      <c r="F9" s="1010"/>
      <c r="G9" s="1002"/>
      <c r="H9" s="238" t="s">
        <v>168</v>
      </c>
      <c r="I9" s="225" t="s">
        <v>176</v>
      </c>
      <c r="J9" s="1021"/>
      <c r="K9" s="761"/>
      <c r="L9" s="223" t="s">
        <v>36</v>
      </c>
      <c r="M9" s="249" t="s">
        <v>42</v>
      </c>
      <c r="N9" s="426" t="s">
        <v>270</v>
      </c>
      <c r="O9" s="248" t="s">
        <v>8</v>
      </c>
      <c r="P9" s="250">
        <f>P7*0.8</f>
        <v>3800</v>
      </c>
      <c r="Q9" s="251" t="s">
        <v>34</v>
      </c>
      <c r="R9" s="241" t="s">
        <v>335</v>
      </c>
      <c r="S9" s="431" t="s">
        <v>333</v>
      </c>
    </row>
    <row r="10" spans="1:20" ht="132" customHeight="1">
      <c r="A10" s="950"/>
      <c r="B10" s="978">
        <f>F10</f>
        <v>1176400</v>
      </c>
      <c r="C10" s="986">
        <v>588200</v>
      </c>
      <c r="D10" s="761"/>
      <c r="E10" s="989">
        <f>C10/0.5*0.5</f>
        <v>588200</v>
      </c>
      <c r="F10" s="986">
        <f>C10+E10</f>
        <v>1176400</v>
      </c>
      <c r="G10" s="986">
        <f>F10</f>
        <v>1176400</v>
      </c>
      <c r="H10" s="237" t="s">
        <v>159</v>
      </c>
      <c r="I10" s="229" t="s">
        <v>173</v>
      </c>
      <c r="J10" s="990" t="s">
        <v>37</v>
      </c>
      <c r="K10" s="761"/>
      <c r="L10" s="231" t="s">
        <v>81</v>
      </c>
      <c r="M10" s="228" t="s">
        <v>42</v>
      </c>
      <c r="N10" s="423" t="s">
        <v>270</v>
      </c>
      <c r="O10" s="232">
        <f>P10*0.2</f>
        <v>160</v>
      </c>
      <c r="P10" s="232">
        <f>ROUND(48*25*0.667,0)</f>
        <v>800</v>
      </c>
      <c r="Q10" s="228" t="s">
        <v>34</v>
      </c>
      <c r="R10" s="972" t="s">
        <v>332</v>
      </c>
      <c r="S10" s="1026" t="s">
        <v>331</v>
      </c>
    </row>
    <row r="11" spans="1:20" ht="160.94999999999999" customHeight="1">
      <c r="A11" s="950"/>
      <c r="B11" s="979"/>
      <c r="C11" s="987"/>
      <c r="D11" s="761"/>
      <c r="E11" s="989"/>
      <c r="F11" s="987"/>
      <c r="G11" s="987"/>
      <c r="H11" s="227" t="s">
        <v>160</v>
      </c>
      <c r="I11" s="229" t="s">
        <v>174</v>
      </c>
      <c r="J11" s="991"/>
      <c r="K11" s="761"/>
      <c r="L11" s="222" t="s">
        <v>36</v>
      </c>
      <c r="M11" s="228" t="s">
        <v>42</v>
      </c>
      <c r="N11" s="423" t="s">
        <v>270</v>
      </c>
      <c r="O11" s="232">
        <f>P11*0.2</f>
        <v>80</v>
      </c>
      <c r="P11" s="232">
        <f>ROUND(48*25*0.333,0)</f>
        <v>400</v>
      </c>
      <c r="Q11" s="228" t="s">
        <v>34</v>
      </c>
      <c r="R11" s="973"/>
      <c r="S11" s="1026"/>
    </row>
    <row r="12" spans="1:20" ht="144" customHeight="1">
      <c r="A12" s="950"/>
      <c r="B12" s="979"/>
      <c r="C12" s="987"/>
      <c r="D12" s="761"/>
      <c r="E12" s="989"/>
      <c r="F12" s="987"/>
      <c r="G12" s="987"/>
      <c r="H12" s="233" t="s">
        <v>167</v>
      </c>
      <c r="I12" s="229" t="s">
        <v>175</v>
      </c>
      <c r="J12" s="991"/>
      <c r="K12" s="761"/>
      <c r="L12" s="222" t="s">
        <v>81</v>
      </c>
      <c r="M12" s="228" t="s">
        <v>42</v>
      </c>
      <c r="N12" s="423" t="s">
        <v>270</v>
      </c>
      <c r="O12" s="232" t="s">
        <v>8</v>
      </c>
      <c r="P12" s="232">
        <f>P10*0.8</f>
        <v>640</v>
      </c>
      <c r="Q12" s="228" t="s">
        <v>34</v>
      </c>
      <c r="R12" s="234" t="s">
        <v>271</v>
      </c>
      <c r="S12" s="431" t="s">
        <v>275</v>
      </c>
    </row>
    <row r="13" spans="1:20" ht="146.4" customHeight="1">
      <c r="A13" s="950"/>
      <c r="B13" s="980"/>
      <c r="C13" s="988"/>
      <c r="D13" s="793"/>
      <c r="E13" s="989"/>
      <c r="F13" s="988"/>
      <c r="G13" s="988"/>
      <c r="H13" s="233" t="s">
        <v>168</v>
      </c>
      <c r="I13" s="228" t="s">
        <v>176</v>
      </c>
      <c r="J13" s="992"/>
      <c r="K13" s="793"/>
      <c r="L13" s="221" t="s">
        <v>36</v>
      </c>
      <c r="M13" s="228" t="s">
        <v>42</v>
      </c>
      <c r="N13" s="423" t="s">
        <v>270</v>
      </c>
      <c r="O13" s="232" t="s">
        <v>8</v>
      </c>
      <c r="P13" s="232">
        <f>P11*0.8</f>
        <v>320</v>
      </c>
      <c r="Q13" s="228" t="s">
        <v>34</v>
      </c>
      <c r="R13" s="235" t="s">
        <v>272</v>
      </c>
      <c r="S13" s="431" t="s">
        <v>329</v>
      </c>
    </row>
    <row r="14" spans="1:20" ht="110.4" customHeight="1">
      <c r="A14" s="950"/>
      <c r="B14" s="981">
        <f>F14</f>
        <v>7012070.5882352944</v>
      </c>
      <c r="C14" s="996">
        <v>5960260</v>
      </c>
      <c r="D14" s="997" t="s">
        <v>162</v>
      </c>
      <c r="E14" s="1022">
        <f>C14/0.85*0.15</f>
        <v>1051810.5882352942</v>
      </c>
      <c r="F14" s="985">
        <f t="shared" ref="F14" si="0">C14+E14</f>
        <v>7012070.5882352944</v>
      </c>
      <c r="G14" s="1010">
        <f>F14</f>
        <v>7012070.5882352944</v>
      </c>
      <c r="H14" s="238" t="s">
        <v>159</v>
      </c>
      <c r="I14" s="239" t="s">
        <v>173</v>
      </c>
      <c r="J14" s="1018" t="s">
        <v>45</v>
      </c>
      <c r="K14" s="794" t="s">
        <v>41</v>
      </c>
      <c r="L14" s="220" t="s">
        <v>81</v>
      </c>
      <c r="M14" s="225" t="s">
        <v>42</v>
      </c>
      <c r="N14" s="427" t="s">
        <v>270</v>
      </c>
      <c r="O14" s="240">
        <f>P14*0.2</f>
        <v>940</v>
      </c>
      <c r="P14" s="240">
        <v>4700</v>
      </c>
      <c r="Q14" s="225" t="s">
        <v>34</v>
      </c>
      <c r="R14" s="970" t="s">
        <v>328</v>
      </c>
      <c r="S14" s="1030" t="s">
        <v>330</v>
      </c>
    </row>
    <row r="15" spans="1:20" ht="185.4" customHeight="1">
      <c r="A15" s="950"/>
      <c r="B15" s="982"/>
      <c r="C15" s="994"/>
      <c r="D15" s="998"/>
      <c r="E15" s="1022"/>
      <c r="F15" s="985"/>
      <c r="G15" s="1001"/>
      <c r="H15" s="238" t="s">
        <v>160</v>
      </c>
      <c r="I15" s="239" t="s">
        <v>174</v>
      </c>
      <c r="J15" s="1019"/>
      <c r="K15" s="761"/>
      <c r="L15" s="220" t="s">
        <v>36</v>
      </c>
      <c r="M15" s="225" t="s">
        <v>42</v>
      </c>
      <c r="N15" s="427" t="s">
        <v>270</v>
      </c>
      <c r="O15" s="240">
        <f>P15*0.2</f>
        <v>460</v>
      </c>
      <c r="P15" s="240">
        <v>2300</v>
      </c>
      <c r="Q15" s="225" t="s">
        <v>34</v>
      </c>
      <c r="R15" s="971"/>
      <c r="S15" s="1030"/>
    </row>
    <row r="16" spans="1:20" ht="132" customHeight="1">
      <c r="A16" s="950"/>
      <c r="B16" s="982"/>
      <c r="C16" s="994"/>
      <c r="D16" s="998"/>
      <c r="E16" s="1022"/>
      <c r="F16" s="985"/>
      <c r="G16" s="1001"/>
      <c r="H16" s="238" t="s">
        <v>167</v>
      </c>
      <c r="I16" s="239" t="s">
        <v>175</v>
      </c>
      <c r="J16" s="1019"/>
      <c r="K16" s="761"/>
      <c r="L16" s="220" t="s">
        <v>81</v>
      </c>
      <c r="M16" s="225" t="s">
        <v>42</v>
      </c>
      <c r="N16" s="427" t="s">
        <v>270</v>
      </c>
      <c r="O16" s="240" t="s">
        <v>8</v>
      </c>
      <c r="P16" s="240">
        <f>P14*0.8</f>
        <v>3760</v>
      </c>
      <c r="Q16" s="225" t="s">
        <v>34</v>
      </c>
      <c r="R16" s="241" t="s">
        <v>339</v>
      </c>
      <c r="S16" s="431" t="s">
        <v>276</v>
      </c>
    </row>
    <row r="17" spans="1:20" ht="139.19999999999999" customHeight="1">
      <c r="A17" s="950"/>
      <c r="B17" s="982"/>
      <c r="C17" s="995"/>
      <c r="D17" s="998"/>
      <c r="E17" s="1022"/>
      <c r="F17" s="985"/>
      <c r="G17" s="1002"/>
      <c r="H17" s="238" t="s">
        <v>168</v>
      </c>
      <c r="I17" s="225" t="s">
        <v>176</v>
      </c>
      <c r="J17" s="1019"/>
      <c r="K17" s="761"/>
      <c r="L17" s="220" t="s">
        <v>36</v>
      </c>
      <c r="M17" s="225" t="s">
        <v>42</v>
      </c>
      <c r="N17" s="427" t="s">
        <v>270</v>
      </c>
      <c r="O17" s="240" t="s">
        <v>8</v>
      </c>
      <c r="P17" s="240">
        <f>P15*0.8</f>
        <v>1840</v>
      </c>
      <c r="Q17" s="225" t="s">
        <v>34</v>
      </c>
      <c r="R17" s="241" t="s">
        <v>340</v>
      </c>
      <c r="S17" s="431" t="s">
        <v>277</v>
      </c>
    </row>
    <row r="18" spans="1:20" ht="119.4" customHeight="1">
      <c r="A18" s="950"/>
      <c r="B18" s="978">
        <f>F18</f>
        <v>582400</v>
      </c>
      <c r="C18" s="986">
        <v>291200</v>
      </c>
      <c r="D18" s="998"/>
      <c r="E18" s="989">
        <f>C18/0.5*0.5</f>
        <v>291200</v>
      </c>
      <c r="F18" s="1004">
        <f>C18+E18</f>
        <v>582400</v>
      </c>
      <c r="G18" s="1004">
        <f>F18</f>
        <v>582400</v>
      </c>
      <c r="H18" s="227" t="s">
        <v>159</v>
      </c>
      <c r="I18" s="229" t="s">
        <v>173</v>
      </c>
      <c r="J18" s="990" t="s">
        <v>37</v>
      </c>
      <c r="K18" s="761"/>
      <c r="L18" s="231" t="s">
        <v>81</v>
      </c>
      <c r="M18" s="228" t="s">
        <v>42</v>
      </c>
      <c r="N18" s="423" t="s">
        <v>270</v>
      </c>
      <c r="O18" s="232">
        <f>P18*0.2</f>
        <v>80</v>
      </c>
      <c r="P18" s="232">
        <f>ROUND(30/2*40*0.667,0)</f>
        <v>400</v>
      </c>
      <c r="Q18" s="228" t="s">
        <v>34</v>
      </c>
      <c r="R18" s="975" t="s">
        <v>273</v>
      </c>
      <c r="S18" s="1026" t="s">
        <v>313</v>
      </c>
    </row>
    <row r="19" spans="1:20" ht="175.95" customHeight="1">
      <c r="A19" s="950"/>
      <c r="B19" s="979"/>
      <c r="C19" s="987"/>
      <c r="D19" s="998"/>
      <c r="E19" s="989"/>
      <c r="F19" s="1004"/>
      <c r="G19" s="1004"/>
      <c r="H19" s="227" t="s">
        <v>160</v>
      </c>
      <c r="I19" s="229" t="s">
        <v>174</v>
      </c>
      <c r="J19" s="991"/>
      <c r="K19" s="761"/>
      <c r="L19" s="231" t="s">
        <v>36</v>
      </c>
      <c r="M19" s="228" t="s">
        <v>42</v>
      </c>
      <c r="N19" s="423" t="s">
        <v>270</v>
      </c>
      <c r="O19" s="232">
        <f>P19*0.2</f>
        <v>40</v>
      </c>
      <c r="P19" s="232">
        <f>ROUND(30/2*40*0.333,0)</f>
        <v>200</v>
      </c>
      <c r="Q19" s="228" t="s">
        <v>34</v>
      </c>
      <c r="R19" s="976"/>
      <c r="S19" s="1027"/>
    </row>
    <row r="20" spans="1:20" ht="141.6" customHeight="1">
      <c r="A20" s="950"/>
      <c r="B20" s="979"/>
      <c r="C20" s="987"/>
      <c r="D20" s="998"/>
      <c r="E20" s="989"/>
      <c r="F20" s="1004"/>
      <c r="G20" s="1004"/>
      <c r="H20" s="227" t="s">
        <v>167</v>
      </c>
      <c r="I20" s="229" t="s">
        <v>175</v>
      </c>
      <c r="J20" s="991"/>
      <c r="K20" s="761"/>
      <c r="L20" s="231" t="s">
        <v>81</v>
      </c>
      <c r="M20" s="228" t="s">
        <v>42</v>
      </c>
      <c r="N20" s="423" t="s">
        <v>270</v>
      </c>
      <c r="O20" s="232" t="s">
        <v>8</v>
      </c>
      <c r="P20" s="232">
        <f>P18*0.8</f>
        <v>320</v>
      </c>
      <c r="Q20" s="228" t="s">
        <v>34</v>
      </c>
      <c r="R20" s="234" t="s">
        <v>315</v>
      </c>
      <c r="S20" s="431" t="s">
        <v>314</v>
      </c>
    </row>
    <row r="21" spans="1:20" ht="135.6" customHeight="1">
      <c r="A21" s="950"/>
      <c r="B21" s="980"/>
      <c r="C21" s="988"/>
      <c r="D21" s="999"/>
      <c r="E21" s="989"/>
      <c r="F21" s="1004"/>
      <c r="G21" s="1004"/>
      <c r="H21" s="227" t="s">
        <v>168</v>
      </c>
      <c r="I21" s="228" t="s">
        <v>176</v>
      </c>
      <c r="J21" s="992"/>
      <c r="K21" s="793"/>
      <c r="L21" s="231" t="s">
        <v>36</v>
      </c>
      <c r="M21" s="228" t="s">
        <v>42</v>
      </c>
      <c r="N21" s="423" t="s">
        <v>270</v>
      </c>
      <c r="O21" s="232" t="s">
        <v>8</v>
      </c>
      <c r="P21" s="232">
        <f>P19*0.8</f>
        <v>160</v>
      </c>
      <c r="Q21" s="228" t="s">
        <v>34</v>
      </c>
      <c r="R21" s="234" t="s">
        <v>274</v>
      </c>
      <c r="S21" s="431" t="s">
        <v>316</v>
      </c>
    </row>
    <row r="22" spans="1:20" ht="141" customHeight="1">
      <c r="A22" s="950"/>
      <c r="B22" s="1007">
        <f>F22</f>
        <v>7013776.4705882352</v>
      </c>
      <c r="C22" s="1008">
        <v>5961710</v>
      </c>
      <c r="D22" s="799" t="s">
        <v>163</v>
      </c>
      <c r="E22" s="1007">
        <f>C22/0.85*0.15</f>
        <v>1052066.4705882352</v>
      </c>
      <c r="F22" s="1008">
        <f>C22+E22</f>
        <v>7013776.4705882352</v>
      </c>
      <c r="G22" s="1008">
        <f>F22</f>
        <v>7013776.4705882352</v>
      </c>
      <c r="H22" s="238" t="s">
        <v>159</v>
      </c>
      <c r="I22" s="239" t="s">
        <v>173</v>
      </c>
      <c r="J22" s="1018" t="s">
        <v>45</v>
      </c>
      <c r="K22" s="794" t="s">
        <v>41</v>
      </c>
      <c r="L22" s="220" t="s">
        <v>81</v>
      </c>
      <c r="M22" s="225" t="s">
        <v>42</v>
      </c>
      <c r="N22" s="427" t="s">
        <v>270</v>
      </c>
      <c r="O22" s="240">
        <f>P22*0.2</f>
        <v>960</v>
      </c>
      <c r="P22" s="240">
        <v>4800</v>
      </c>
      <c r="Q22" s="225" t="s">
        <v>34</v>
      </c>
      <c r="R22" s="970" t="s">
        <v>312</v>
      </c>
      <c r="S22" s="1026" t="s">
        <v>317</v>
      </c>
      <c r="T22" s="977"/>
    </row>
    <row r="23" spans="1:20" ht="184.2" customHeight="1">
      <c r="A23" s="950"/>
      <c r="B23" s="1007"/>
      <c r="C23" s="1008"/>
      <c r="D23" s="799"/>
      <c r="E23" s="1007"/>
      <c r="F23" s="1008"/>
      <c r="G23" s="1008"/>
      <c r="H23" s="238" t="s">
        <v>160</v>
      </c>
      <c r="I23" s="239" t="s">
        <v>174</v>
      </c>
      <c r="J23" s="1019"/>
      <c r="K23" s="761"/>
      <c r="L23" s="220" t="s">
        <v>36</v>
      </c>
      <c r="M23" s="225" t="s">
        <v>42</v>
      </c>
      <c r="N23" s="427" t="s">
        <v>270</v>
      </c>
      <c r="O23" s="240">
        <f>P23*0.2</f>
        <v>480</v>
      </c>
      <c r="P23" s="240">
        <v>2400</v>
      </c>
      <c r="Q23" s="225" t="s">
        <v>34</v>
      </c>
      <c r="R23" s="971"/>
      <c r="S23" s="1027"/>
      <c r="T23" s="977"/>
    </row>
    <row r="24" spans="1:20" ht="133.94999999999999" customHeight="1">
      <c r="A24" s="950"/>
      <c r="B24" s="1007"/>
      <c r="C24" s="1008"/>
      <c r="D24" s="799"/>
      <c r="E24" s="1007"/>
      <c r="F24" s="1008"/>
      <c r="G24" s="1008"/>
      <c r="H24" s="238" t="s">
        <v>167</v>
      </c>
      <c r="I24" s="239" t="s">
        <v>175</v>
      </c>
      <c r="J24" s="1019"/>
      <c r="K24" s="761"/>
      <c r="L24" s="220" t="s">
        <v>81</v>
      </c>
      <c r="M24" s="225" t="s">
        <v>42</v>
      </c>
      <c r="N24" s="427" t="s">
        <v>270</v>
      </c>
      <c r="O24" s="240" t="s">
        <v>8</v>
      </c>
      <c r="P24" s="240">
        <f>P22*0.8</f>
        <v>3840</v>
      </c>
      <c r="Q24" s="225" t="s">
        <v>34</v>
      </c>
      <c r="R24" s="241" t="s">
        <v>318</v>
      </c>
      <c r="S24" s="431" t="s">
        <v>319</v>
      </c>
    </row>
    <row r="25" spans="1:20" ht="132" customHeight="1">
      <c r="A25" s="950"/>
      <c r="B25" s="1007"/>
      <c r="C25" s="1008"/>
      <c r="D25" s="799"/>
      <c r="E25" s="1007"/>
      <c r="F25" s="1008"/>
      <c r="G25" s="1008"/>
      <c r="H25" s="238" t="s">
        <v>168</v>
      </c>
      <c r="I25" s="225" t="s">
        <v>176</v>
      </c>
      <c r="J25" s="1019"/>
      <c r="K25" s="761"/>
      <c r="L25" s="220" t="s">
        <v>36</v>
      </c>
      <c r="M25" s="225" t="s">
        <v>42</v>
      </c>
      <c r="N25" s="427" t="s">
        <v>270</v>
      </c>
      <c r="O25" s="240" t="s">
        <v>8</v>
      </c>
      <c r="P25" s="240">
        <f>P23*0.8</f>
        <v>1920</v>
      </c>
      <c r="Q25" s="225" t="s">
        <v>34</v>
      </c>
      <c r="R25" s="241" t="s">
        <v>321</v>
      </c>
      <c r="S25" s="431" t="s">
        <v>320</v>
      </c>
    </row>
    <row r="26" spans="1:20" ht="125.4" customHeight="1">
      <c r="A26" s="950"/>
      <c r="B26" s="1011">
        <f>F26</f>
        <v>581000</v>
      </c>
      <c r="C26" s="1004">
        <v>290500</v>
      </c>
      <c r="D26" s="799"/>
      <c r="E26" s="989">
        <f>C26/0.5*0.5</f>
        <v>290500</v>
      </c>
      <c r="F26" s="1004">
        <f>C26+E26</f>
        <v>581000</v>
      </c>
      <c r="G26" s="1004">
        <f>F26</f>
        <v>581000</v>
      </c>
      <c r="H26" s="227" t="s">
        <v>159</v>
      </c>
      <c r="I26" s="228" t="s">
        <v>173</v>
      </c>
      <c r="J26" s="990" t="s">
        <v>37</v>
      </c>
      <c r="K26" s="761"/>
      <c r="L26" s="231" t="s">
        <v>81</v>
      </c>
      <c r="M26" s="228" t="s">
        <v>42</v>
      </c>
      <c r="N26" s="423" t="s">
        <v>270</v>
      </c>
      <c r="O26" s="232">
        <f>P26*0.2</f>
        <v>76.800000000000011</v>
      </c>
      <c r="P26" s="232">
        <f>ROUND(32/5*90*0.667,0)</f>
        <v>384</v>
      </c>
      <c r="Q26" s="228" t="s">
        <v>34</v>
      </c>
      <c r="R26" s="975" t="s">
        <v>322</v>
      </c>
      <c r="S26" s="1026" t="s">
        <v>323</v>
      </c>
    </row>
    <row r="27" spans="1:20" ht="169.2" customHeight="1">
      <c r="A27" s="950"/>
      <c r="B27" s="1011"/>
      <c r="C27" s="1004"/>
      <c r="D27" s="799"/>
      <c r="E27" s="989"/>
      <c r="F27" s="1004"/>
      <c r="G27" s="1004"/>
      <c r="H27" s="227" t="s">
        <v>160</v>
      </c>
      <c r="I27" s="229" t="s">
        <v>174</v>
      </c>
      <c r="J27" s="991"/>
      <c r="K27" s="761"/>
      <c r="L27" s="231" t="s">
        <v>36</v>
      </c>
      <c r="M27" s="228" t="s">
        <v>42</v>
      </c>
      <c r="N27" s="423" t="s">
        <v>270</v>
      </c>
      <c r="O27" s="232">
        <f>P27*0.2</f>
        <v>38.400000000000006</v>
      </c>
      <c r="P27" s="232">
        <f>ROUND(32/5*90*0.333,0)</f>
        <v>192</v>
      </c>
      <c r="Q27" s="228" t="s">
        <v>34</v>
      </c>
      <c r="R27" s="976"/>
      <c r="S27" s="1027"/>
    </row>
    <row r="28" spans="1:20" ht="131.4" customHeight="1">
      <c r="A28" s="950"/>
      <c r="B28" s="1011"/>
      <c r="C28" s="1004"/>
      <c r="D28" s="799"/>
      <c r="E28" s="989"/>
      <c r="F28" s="1004"/>
      <c r="G28" s="1004"/>
      <c r="H28" s="227" t="s">
        <v>167</v>
      </c>
      <c r="I28" s="229" t="s">
        <v>175</v>
      </c>
      <c r="J28" s="991"/>
      <c r="K28" s="761"/>
      <c r="L28" s="231" t="s">
        <v>81</v>
      </c>
      <c r="M28" s="228" t="s">
        <v>42</v>
      </c>
      <c r="N28" s="423" t="s">
        <v>270</v>
      </c>
      <c r="O28" s="232" t="s">
        <v>8</v>
      </c>
      <c r="P28" s="232">
        <f>ROUND(P26*0.8,0)</f>
        <v>307</v>
      </c>
      <c r="Q28" s="228" t="s">
        <v>34</v>
      </c>
      <c r="R28" s="234" t="s">
        <v>324</v>
      </c>
      <c r="S28" s="431" t="s">
        <v>325</v>
      </c>
    </row>
    <row r="29" spans="1:20" ht="134.4" customHeight="1" thickBot="1">
      <c r="A29" s="951"/>
      <c r="B29" s="1012"/>
      <c r="C29" s="1005"/>
      <c r="D29" s="1016"/>
      <c r="E29" s="1006"/>
      <c r="F29" s="1005"/>
      <c r="G29" s="1005"/>
      <c r="H29" s="252" t="s">
        <v>168</v>
      </c>
      <c r="I29" s="230" t="s">
        <v>176</v>
      </c>
      <c r="J29" s="1017"/>
      <c r="K29" s="762"/>
      <c r="L29" s="253" t="s">
        <v>36</v>
      </c>
      <c r="M29" s="230" t="s">
        <v>42</v>
      </c>
      <c r="N29" s="428" t="s">
        <v>270</v>
      </c>
      <c r="O29" s="254" t="s">
        <v>8</v>
      </c>
      <c r="P29" s="254">
        <f>ROUND(P27*0.8,0)</f>
        <v>154</v>
      </c>
      <c r="Q29" s="230" t="s">
        <v>34</v>
      </c>
      <c r="R29" s="256" t="s">
        <v>326</v>
      </c>
      <c r="S29" s="431" t="s">
        <v>327</v>
      </c>
    </row>
    <row r="30" spans="1:20">
      <c r="A30" s="179"/>
      <c r="B30" s="81"/>
      <c r="C30" s="255">
        <f>C6+C10+C14+C18+C22+C26</f>
        <v>25000000</v>
      </c>
      <c r="D30" s="180"/>
      <c r="E30" s="181"/>
      <c r="F30" s="182"/>
      <c r="G30" s="179"/>
      <c r="H30" s="183"/>
      <c r="I30" s="137"/>
      <c r="J30" s="183"/>
      <c r="K30" s="184"/>
      <c r="L30" s="183"/>
      <c r="M30" s="183"/>
      <c r="N30" s="185"/>
      <c r="O30" s="183"/>
      <c r="P30" s="185"/>
      <c r="Q30" s="183"/>
    </row>
    <row r="31" spans="1:20">
      <c r="A31" s="179"/>
      <c r="B31" s="81"/>
      <c r="C31" s="187"/>
      <c r="D31" s="180"/>
      <c r="E31" s="181"/>
      <c r="F31" s="182"/>
      <c r="G31" s="179"/>
      <c r="H31" s="183"/>
      <c r="I31" s="137"/>
      <c r="J31" s="183"/>
      <c r="K31" s="184"/>
      <c r="L31" s="183"/>
      <c r="M31" s="183"/>
      <c r="N31" s="185"/>
      <c r="O31" s="183"/>
      <c r="P31" s="185"/>
      <c r="Q31" s="183"/>
    </row>
    <row r="32" spans="1:20">
      <c r="A32" s="179"/>
      <c r="B32" s="81" t="s">
        <v>187</v>
      </c>
      <c r="C32" s="264">
        <f>C6+C14+C22</f>
        <v>23830100</v>
      </c>
      <c r="D32" s="180"/>
      <c r="E32" s="181"/>
      <c r="F32" s="182"/>
      <c r="G32" s="179"/>
      <c r="H32" s="183"/>
      <c r="I32" s="137"/>
      <c r="J32" s="183"/>
      <c r="K32" s="184"/>
      <c r="L32" s="183"/>
      <c r="M32" s="183"/>
      <c r="N32" s="185"/>
      <c r="O32" s="183"/>
      <c r="P32" s="185"/>
      <c r="Q32" s="183"/>
    </row>
    <row r="33" spans="1:17">
      <c r="A33" s="179"/>
      <c r="B33" s="81"/>
      <c r="C33" s="264">
        <f>C10+C18+C26</f>
        <v>1169900</v>
      </c>
      <c r="D33" s="180"/>
      <c r="E33" s="181"/>
      <c r="F33" s="182"/>
      <c r="G33" s="179"/>
      <c r="H33" s="183"/>
      <c r="I33" s="137"/>
      <c r="J33" s="183"/>
      <c r="K33" s="184"/>
      <c r="L33" s="183"/>
      <c r="M33" s="183"/>
      <c r="N33" s="185"/>
      <c r="O33" s="183"/>
      <c r="P33" s="185"/>
      <c r="Q33" s="183"/>
    </row>
    <row r="34" spans="1:17">
      <c r="A34" s="179"/>
      <c r="B34" s="81"/>
      <c r="C34" s="264">
        <f>C32+C33</f>
        <v>25000000</v>
      </c>
      <c r="D34" s="180"/>
      <c r="E34" s="181"/>
      <c r="F34" s="182"/>
      <c r="G34" s="179"/>
      <c r="H34" s="183"/>
      <c r="I34" s="137"/>
      <c r="J34" s="183"/>
      <c r="K34" s="184"/>
      <c r="L34" s="183"/>
      <c r="M34" s="183"/>
      <c r="N34" s="185"/>
      <c r="O34" s="183"/>
      <c r="P34" s="185"/>
      <c r="Q34" s="183"/>
    </row>
    <row r="35" spans="1:17">
      <c r="A35" s="179"/>
      <c r="B35" s="81"/>
      <c r="C35" s="264"/>
      <c r="D35" s="180"/>
      <c r="E35" s="181"/>
      <c r="F35" s="182"/>
      <c r="G35" s="179"/>
      <c r="H35" s="183"/>
      <c r="I35" s="137"/>
      <c r="J35" s="183"/>
      <c r="K35" s="184"/>
      <c r="L35" s="183"/>
      <c r="M35" s="183"/>
      <c r="N35" s="185"/>
      <c r="O35" s="183"/>
      <c r="P35" s="185"/>
      <c r="Q35" s="183"/>
    </row>
    <row r="36" spans="1:17">
      <c r="A36" s="179"/>
      <c r="B36" s="81"/>
      <c r="C36" s="187"/>
      <c r="D36" s="180"/>
      <c r="E36" s="181"/>
      <c r="F36" s="182"/>
      <c r="G36" s="179"/>
      <c r="H36" s="183"/>
      <c r="I36" s="137"/>
      <c r="J36" s="183"/>
      <c r="K36" s="184"/>
      <c r="L36" s="183"/>
      <c r="M36" s="183"/>
      <c r="N36" s="185"/>
      <c r="O36" s="183"/>
      <c r="P36" s="185"/>
      <c r="Q36" s="183"/>
    </row>
    <row r="37" spans="1:17">
      <c r="A37" s="179"/>
      <c r="B37" s="81"/>
      <c r="C37" s="187"/>
      <c r="D37" s="180"/>
      <c r="E37" s="181"/>
      <c r="F37" s="182"/>
      <c r="G37" s="179"/>
      <c r="H37" s="183"/>
      <c r="I37" s="137"/>
      <c r="J37" s="183"/>
      <c r="K37" s="184"/>
      <c r="L37" s="183"/>
      <c r="M37" s="183"/>
      <c r="N37" s="185"/>
      <c r="O37" s="183"/>
      <c r="P37" s="185"/>
      <c r="Q37" s="183"/>
    </row>
    <row r="38" spans="1:17">
      <c r="A38" s="179"/>
      <c r="B38" s="81"/>
      <c r="C38" s="187"/>
      <c r="D38" s="180"/>
      <c r="E38" s="181"/>
      <c r="F38" s="182"/>
      <c r="G38" s="179"/>
      <c r="H38" s="183"/>
      <c r="I38" s="137"/>
      <c r="J38" s="183"/>
      <c r="K38" s="184"/>
      <c r="L38" s="183"/>
      <c r="M38" s="183"/>
      <c r="N38" s="185"/>
      <c r="O38" s="183"/>
      <c r="P38" s="185"/>
      <c r="Q38" s="183"/>
    </row>
    <row r="39" spans="1:17">
      <c r="A39" s="179"/>
      <c r="B39" s="81"/>
      <c r="C39" s="187"/>
      <c r="D39" s="180"/>
      <c r="E39" s="181"/>
      <c r="F39" s="182"/>
      <c r="G39" s="179"/>
      <c r="H39" s="183"/>
      <c r="I39" s="137"/>
      <c r="J39" s="183"/>
      <c r="K39" s="184"/>
      <c r="L39" s="183"/>
      <c r="M39" s="183"/>
      <c r="N39" s="185"/>
      <c r="O39" s="183"/>
      <c r="P39" s="185"/>
      <c r="Q39" s="183"/>
    </row>
    <row r="40" spans="1:17">
      <c r="A40" s="179"/>
      <c r="B40" s="81"/>
      <c r="C40" s="187"/>
      <c r="D40" s="180"/>
      <c r="E40" s="181"/>
      <c r="F40" s="182"/>
      <c r="G40" s="179" t="s">
        <v>134</v>
      </c>
      <c r="H40" s="183"/>
      <c r="I40" s="137"/>
      <c r="J40" s="183"/>
      <c r="K40" s="184"/>
      <c r="L40" s="183"/>
      <c r="M40" s="183"/>
      <c r="N40" s="185"/>
      <c r="O40" s="183"/>
      <c r="P40" s="185"/>
      <c r="Q40" s="183"/>
    </row>
    <row r="41" spans="1:17">
      <c r="A41" s="128" t="s">
        <v>16</v>
      </c>
      <c r="B41" s="186" t="s">
        <v>35</v>
      </c>
      <c r="C41" s="186" t="s">
        <v>127</v>
      </c>
      <c r="D41" s="190" t="s">
        <v>164</v>
      </c>
      <c r="E41" s="190" t="s">
        <v>165</v>
      </c>
      <c r="F41" s="190" t="s">
        <v>166</v>
      </c>
    </row>
    <row r="42" spans="1:17">
      <c r="A42" s="128" t="s">
        <v>124</v>
      </c>
      <c r="B42" s="133">
        <v>125080000</v>
      </c>
      <c r="C42" s="129">
        <f>SUM(B42:B42)</f>
        <v>125080000</v>
      </c>
      <c r="D42" s="119">
        <f>C30</f>
        <v>25000000</v>
      </c>
      <c r="F42" s="119" t="e">
        <f>#REF!</f>
        <v>#REF!</v>
      </c>
      <c r="G42" s="139" t="e">
        <f>D42+E42+F42</f>
        <v>#REF!</v>
      </c>
    </row>
    <row r="43" spans="1:17">
      <c r="A43" s="128" t="s">
        <v>125</v>
      </c>
      <c r="B43" s="132"/>
      <c r="C43" s="130"/>
    </row>
    <row r="44" spans="1:17">
      <c r="A44" s="128" t="s">
        <v>126</v>
      </c>
      <c r="B44" s="130"/>
      <c r="C44" s="130">
        <v>125000000</v>
      </c>
      <c r="D44" s="119">
        <f>C30</f>
        <v>25000000</v>
      </c>
      <c r="F44" s="119" t="e">
        <f>#REF!</f>
        <v>#REF!</v>
      </c>
    </row>
    <row r="45" spans="1:17">
      <c r="A45" s="128"/>
      <c r="B45" s="129"/>
      <c r="C45" s="129">
        <f>SUM(C43:C44)</f>
        <v>125000000</v>
      </c>
    </row>
    <row r="47" spans="1:17">
      <c r="A47" s="128" t="s">
        <v>23</v>
      </c>
      <c r="B47" s="128" t="s">
        <v>35</v>
      </c>
      <c r="C47" s="128" t="s">
        <v>127</v>
      </c>
    </row>
    <row r="48" spans="1:17">
      <c r="A48" s="128" t="s">
        <v>124</v>
      </c>
      <c r="B48" s="127">
        <v>401222250</v>
      </c>
      <c r="C48" s="129">
        <f>SUM(B48:B48)</f>
        <v>401222250</v>
      </c>
      <c r="E48" s="139">
        <f>'3.1.'!C34</f>
        <v>359741527</v>
      </c>
    </row>
    <row r="49" spans="1:9">
      <c r="A49" s="128" t="s">
        <v>50</v>
      </c>
      <c r="B49" s="130"/>
      <c r="C49" s="130">
        <v>401000000</v>
      </c>
    </row>
    <row r="50" spans="1:9">
      <c r="A50" s="128"/>
      <c r="B50" s="129"/>
      <c r="C50" s="129">
        <f>SUM(C49:C49)</f>
        <v>401000000</v>
      </c>
      <c r="I50" s="119"/>
    </row>
    <row r="51" spans="1:9">
      <c r="I51" s="119"/>
    </row>
    <row r="52" spans="1:9">
      <c r="I52" s="119"/>
    </row>
    <row r="53" spans="1:9" ht="43.8" thickBot="1">
      <c r="A53" s="15" t="s">
        <v>5</v>
      </c>
      <c r="B53" s="27" t="s">
        <v>6</v>
      </c>
      <c r="C53" s="15" t="s">
        <v>1</v>
      </c>
      <c r="D53" s="15" t="s">
        <v>9</v>
      </c>
      <c r="E53" s="15" t="s">
        <v>15</v>
      </c>
      <c r="F53" s="15" t="s">
        <v>14</v>
      </c>
      <c r="G53" s="15" t="s">
        <v>10</v>
      </c>
      <c r="H53" s="15" t="s">
        <v>2</v>
      </c>
      <c r="I53" s="208" t="s">
        <v>3</v>
      </c>
    </row>
    <row r="54" spans="1:9" ht="72.599999999999994" thickBot="1">
      <c r="A54" s="188" t="s">
        <v>159</v>
      </c>
      <c r="B54" s="145" t="s">
        <v>173</v>
      </c>
      <c r="C54" s="126" t="s">
        <v>81</v>
      </c>
      <c r="D54" s="155">
        <f>M6+M14+M22</f>
        <v>0</v>
      </c>
      <c r="E54" s="55" t="s">
        <v>45</v>
      </c>
      <c r="F54" s="193" t="s">
        <v>41</v>
      </c>
      <c r="G54" s="14">
        <v>2021</v>
      </c>
      <c r="H54" s="193">
        <f>O6+O14+O22</f>
        <v>3800</v>
      </c>
      <c r="I54" s="193">
        <f>P6+P14+P22</f>
        <v>19000</v>
      </c>
    </row>
    <row r="55" spans="1:9" ht="72">
      <c r="A55" s="188" t="s">
        <v>159</v>
      </c>
      <c r="B55" s="145" t="s">
        <v>173</v>
      </c>
      <c r="C55" s="126" t="s">
        <v>81</v>
      </c>
      <c r="D55" s="155">
        <f>M10+M18+M26</f>
        <v>0</v>
      </c>
      <c r="E55" s="55" t="s">
        <v>37</v>
      </c>
      <c r="F55" s="193" t="s">
        <v>41</v>
      </c>
      <c r="G55" s="14">
        <v>2021</v>
      </c>
      <c r="H55" s="138">
        <f>O10+O18+O26</f>
        <v>316.8</v>
      </c>
      <c r="I55" s="138">
        <f>P10+P18+P26</f>
        <v>1584</v>
      </c>
    </row>
    <row r="56" spans="1:9" ht="72">
      <c r="A56" s="123" t="s">
        <v>160</v>
      </c>
      <c r="B56" s="163" t="s">
        <v>174</v>
      </c>
      <c r="C56" s="194" t="s">
        <v>36</v>
      </c>
      <c r="D56" s="73">
        <f>M7+M15+M23</f>
        <v>0</v>
      </c>
      <c r="E56" s="55" t="s">
        <v>45</v>
      </c>
      <c r="F56" s="193" t="s">
        <v>41</v>
      </c>
      <c r="G56" s="14">
        <v>2021</v>
      </c>
      <c r="H56" s="193">
        <f>O7+O15+O23</f>
        <v>1890</v>
      </c>
      <c r="I56" s="193">
        <f>P7+P15+P23</f>
        <v>9450</v>
      </c>
    </row>
    <row r="57" spans="1:9" ht="72">
      <c r="A57" s="123" t="s">
        <v>160</v>
      </c>
      <c r="B57" s="163" t="s">
        <v>174</v>
      </c>
      <c r="C57" s="194" t="s">
        <v>36</v>
      </c>
      <c r="D57" s="73">
        <f>M11+M19+M27</f>
        <v>0</v>
      </c>
      <c r="E57" s="55" t="s">
        <v>37</v>
      </c>
      <c r="F57" s="193" t="s">
        <v>41</v>
      </c>
      <c r="G57" s="14">
        <v>2021</v>
      </c>
      <c r="H57" s="193">
        <f>O11+O19+O27</f>
        <v>158.4</v>
      </c>
      <c r="I57" s="138">
        <f>P11+P19+P27</f>
        <v>792</v>
      </c>
    </row>
    <row r="58" spans="1:9" ht="72">
      <c r="A58" s="189" t="s">
        <v>167</v>
      </c>
      <c r="B58" s="163" t="s">
        <v>175</v>
      </c>
      <c r="C58" s="146" t="s">
        <v>81</v>
      </c>
      <c r="D58" s="193">
        <f>M8+M16+M24</f>
        <v>0</v>
      </c>
      <c r="E58" s="55" t="s">
        <v>45</v>
      </c>
      <c r="F58" s="193" t="s">
        <v>41</v>
      </c>
      <c r="G58" s="14">
        <v>2021</v>
      </c>
      <c r="H58" s="193" t="s">
        <v>8</v>
      </c>
      <c r="I58" s="193">
        <f>P8+P16+P24</f>
        <v>15200</v>
      </c>
    </row>
    <row r="59" spans="1:9" ht="72">
      <c r="A59" s="189" t="s">
        <v>167</v>
      </c>
      <c r="B59" s="163" t="s">
        <v>175</v>
      </c>
      <c r="C59" s="146" t="s">
        <v>81</v>
      </c>
      <c r="D59" s="193">
        <f>M12+M20+M28</f>
        <v>0</v>
      </c>
      <c r="E59" s="55" t="s">
        <v>37</v>
      </c>
      <c r="F59" s="193" t="s">
        <v>41</v>
      </c>
      <c r="G59" s="14">
        <v>2021</v>
      </c>
      <c r="H59" s="193" t="s">
        <v>8</v>
      </c>
      <c r="I59" s="138">
        <f>P12+P20+P28</f>
        <v>1267</v>
      </c>
    </row>
    <row r="60" spans="1:9" ht="72.599999999999994" thickBot="1">
      <c r="A60" s="156" t="s">
        <v>168</v>
      </c>
      <c r="B60" s="147" t="s">
        <v>176</v>
      </c>
      <c r="C60" s="123" t="s">
        <v>36</v>
      </c>
      <c r="D60" s="193">
        <f>M9+M17+M25</f>
        <v>0</v>
      </c>
      <c r="E60" s="55" t="s">
        <v>45</v>
      </c>
      <c r="F60" s="14" t="s">
        <v>41</v>
      </c>
      <c r="G60" s="14">
        <v>2021</v>
      </c>
      <c r="H60" s="193" t="s">
        <v>8</v>
      </c>
      <c r="I60" s="193">
        <f>P9+P17+P25</f>
        <v>7560</v>
      </c>
    </row>
    <row r="61" spans="1:9" ht="72.599999999999994" thickBot="1">
      <c r="A61" s="156" t="s">
        <v>168</v>
      </c>
      <c r="B61" s="147" t="s">
        <v>176</v>
      </c>
      <c r="C61" s="123" t="s">
        <v>36</v>
      </c>
      <c r="D61" s="193">
        <f>M13+M21+M29</f>
        <v>0</v>
      </c>
      <c r="E61" s="55" t="s">
        <v>37</v>
      </c>
      <c r="F61" s="14" t="s">
        <v>41</v>
      </c>
      <c r="G61" s="14">
        <v>2021</v>
      </c>
      <c r="H61" s="193" t="s">
        <v>8</v>
      </c>
      <c r="I61" s="138">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19"/>
    </row>
  </sheetData>
  <mergeCells count="71">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F14:F17"/>
    <mergeCell ref="K6:K13"/>
    <mergeCell ref="C10:C13"/>
    <mergeCell ref="E10:E13"/>
    <mergeCell ref="F10:F13"/>
    <mergeCell ref="G10:G13"/>
    <mergeCell ref="J10:J13"/>
    <mergeCell ref="C6:C9"/>
    <mergeCell ref="C14:C17"/>
    <mergeCell ref="D14:D21"/>
    <mergeCell ref="G6:G9"/>
    <mergeCell ref="B4:B5"/>
    <mergeCell ref="B10:B13"/>
    <mergeCell ref="B14:B17"/>
    <mergeCell ref="B18:B21"/>
    <mergeCell ref="B6:B9"/>
    <mergeCell ref="T6:T7"/>
    <mergeCell ref="R22:R23"/>
    <mergeCell ref="R10:R11"/>
    <mergeCell ref="R6:R7"/>
    <mergeCell ref="R14:R15"/>
    <mergeCell ref="R18:R19"/>
    <mergeCell ref="T22:T2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9"/>
  <sheetViews>
    <sheetView tabSelected="1" topLeftCell="A33" zoomScale="60" zoomScaleNormal="60" workbookViewId="0">
      <selection activeCell="G47" sqref="G47"/>
    </sheetView>
  </sheetViews>
  <sheetFormatPr defaultRowHeight="14.4"/>
  <cols>
    <col min="1" max="1" width="22.5546875" customWidth="1"/>
    <col min="2" max="2" width="39" bestFit="1" customWidth="1"/>
    <col min="3" max="3" width="19.5546875" bestFit="1" customWidth="1"/>
    <col min="4" max="4" width="20.88671875" bestFit="1" customWidth="1"/>
    <col min="5" max="5" width="17.44140625" customWidth="1"/>
    <col min="6" max="6" width="15.6640625" bestFit="1" customWidth="1"/>
    <col min="7" max="7" width="25.6640625" customWidth="1"/>
    <col min="8" max="8" width="15.5546875" bestFit="1" customWidth="1"/>
    <col min="9" max="9" width="35.6640625" bestFit="1" customWidth="1"/>
    <col min="10" max="10" width="17.5546875" bestFit="1" customWidth="1"/>
    <col min="11" max="11" width="17.6640625" customWidth="1"/>
    <col min="12" max="12" width="17.44140625" bestFit="1" customWidth="1"/>
    <col min="13" max="13" width="17.5546875" customWidth="1"/>
    <col min="14" max="14" width="13.33203125" customWidth="1"/>
    <col min="15" max="15" width="15.6640625" bestFit="1" customWidth="1"/>
    <col min="16" max="16" width="16.88671875" customWidth="1"/>
    <col min="17" max="17" width="19" bestFit="1" customWidth="1"/>
    <col min="18" max="18" width="143" style="463" customWidth="1"/>
    <col min="19" max="20" width="222" style="86" customWidth="1"/>
    <col min="21" max="21" width="29.6640625" style="86" customWidth="1"/>
    <col min="22" max="22" width="23.33203125" customWidth="1"/>
    <col min="23" max="23" width="22.109375" style="278" customWidth="1"/>
  </cols>
  <sheetData>
    <row r="1" spans="1:32">
      <c r="A1" s="10" t="s">
        <v>446</v>
      </c>
    </row>
    <row r="2" spans="1:32">
      <c r="A2" s="533" t="s">
        <v>464</v>
      </c>
      <c r="B2" s="494"/>
      <c r="C2" s="494"/>
      <c r="D2" s="494"/>
      <c r="E2" s="494"/>
      <c r="F2" s="494"/>
    </row>
    <row r="3" spans="1:32" ht="15" thickBot="1">
      <c r="A3" t="s">
        <v>362</v>
      </c>
      <c r="S3" s="541"/>
    </row>
    <row r="4" spans="1:32">
      <c r="A4" s="1084" t="s">
        <v>24</v>
      </c>
      <c r="B4" s="904" t="s">
        <v>132</v>
      </c>
      <c r="C4" s="1086" t="s">
        <v>133</v>
      </c>
      <c r="D4" s="1094" t="s">
        <v>4</v>
      </c>
      <c r="E4" s="1055"/>
      <c r="F4" s="1055"/>
      <c r="G4" s="1088" t="s">
        <v>470</v>
      </c>
      <c r="H4" s="1031" t="s">
        <v>19</v>
      </c>
      <c r="I4" s="1031"/>
      <c r="J4" s="904" t="s">
        <v>31</v>
      </c>
      <c r="K4" s="1047" t="s">
        <v>38</v>
      </c>
      <c r="L4" s="904" t="s">
        <v>32</v>
      </c>
      <c r="M4" s="1055" t="s">
        <v>26</v>
      </c>
      <c r="N4" s="1056"/>
      <c r="O4" s="904" t="s">
        <v>33</v>
      </c>
      <c r="P4" s="904" t="s">
        <v>49</v>
      </c>
      <c r="Q4" s="904" t="s">
        <v>39</v>
      </c>
      <c r="R4" s="1051" t="s">
        <v>40</v>
      </c>
      <c r="S4" s="1041" t="s">
        <v>468</v>
      </c>
      <c r="T4" s="1101" t="s">
        <v>509</v>
      </c>
      <c r="U4" s="1049" t="s">
        <v>472</v>
      </c>
    </row>
    <row r="5" spans="1:32" ht="30.75" customHeight="1" thickBot="1">
      <c r="A5" s="1085"/>
      <c r="B5" s="915"/>
      <c r="C5" s="1087"/>
      <c r="D5" s="519" t="s">
        <v>7</v>
      </c>
      <c r="E5" s="6" t="s">
        <v>17</v>
      </c>
      <c r="F5" s="5" t="s">
        <v>25</v>
      </c>
      <c r="G5" s="909"/>
      <c r="H5" s="1" t="s">
        <v>20</v>
      </c>
      <c r="I5" s="2" t="s">
        <v>21</v>
      </c>
      <c r="J5" s="915"/>
      <c r="K5" s="907"/>
      <c r="L5" s="915"/>
      <c r="M5" s="7" t="s">
        <v>47</v>
      </c>
      <c r="N5" s="7" t="s">
        <v>48</v>
      </c>
      <c r="O5" s="915"/>
      <c r="P5" s="915"/>
      <c r="Q5" s="915"/>
      <c r="R5" s="1052"/>
      <c r="S5" s="1042"/>
      <c r="T5" s="1102"/>
      <c r="U5" s="1050"/>
    </row>
    <row r="6" spans="1:32" s="192" customFormat="1" ht="409.6">
      <c r="A6" s="1089" t="s">
        <v>357</v>
      </c>
      <c r="B6" s="1098">
        <f>F6+F13+F17</f>
        <v>187707357.64705881</v>
      </c>
      <c r="C6" s="1048">
        <v>142906390</v>
      </c>
      <c r="D6" s="1082" t="s">
        <v>478</v>
      </c>
      <c r="E6" s="1048">
        <f>C6/0.85*0.15</f>
        <v>25218774.705882356</v>
      </c>
      <c r="F6" s="1048">
        <f>C6+E6</f>
        <v>168125164.70588237</v>
      </c>
      <c r="G6" s="1095">
        <f>82500000*100/85</f>
        <v>97058823.529411763</v>
      </c>
      <c r="H6" s="571" t="s">
        <v>169</v>
      </c>
      <c r="I6" s="572" t="s">
        <v>350</v>
      </c>
      <c r="J6" s="1105" t="s">
        <v>84</v>
      </c>
      <c r="K6" s="1057" t="s">
        <v>297</v>
      </c>
      <c r="L6" s="572" t="s">
        <v>115</v>
      </c>
      <c r="M6" s="572" t="s">
        <v>42</v>
      </c>
      <c r="N6" s="572" t="s">
        <v>8</v>
      </c>
      <c r="O6" s="573">
        <v>0</v>
      </c>
      <c r="P6" s="608">
        <v>321</v>
      </c>
      <c r="Q6" s="572" t="s">
        <v>457</v>
      </c>
      <c r="R6" s="574" t="s">
        <v>463</v>
      </c>
      <c r="S6" s="653" t="s">
        <v>479</v>
      </c>
      <c r="T6" s="654"/>
      <c r="U6" s="542"/>
      <c r="V6" s="1107"/>
      <c r="W6" s="563"/>
      <c r="X6" s="191"/>
      <c r="Y6" s="191"/>
      <c r="Z6" s="191"/>
      <c r="AA6" s="191"/>
      <c r="AB6" s="191"/>
      <c r="AC6" s="191"/>
      <c r="AD6" s="191"/>
      <c r="AE6" s="191"/>
      <c r="AF6" s="191"/>
    </row>
    <row r="7" spans="1:32" s="192" customFormat="1" ht="234" customHeight="1">
      <c r="A7" s="1090"/>
      <c r="B7" s="1099"/>
      <c r="C7" s="1032"/>
      <c r="D7" s="1083"/>
      <c r="E7" s="1032"/>
      <c r="F7" s="1032"/>
      <c r="G7" s="1092"/>
      <c r="H7" s="576" t="s">
        <v>72</v>
      </c>
      <c r="I7" s="576" t="s">
        <v>348</v>
      </c>
      <c r="J7" s="1106"/>
      <c r="K7" s="1058"/>
      <c r="L7" s="576" t="s">
        <v>181</v>
      </c>
      <c r="M7" s="578">
        <v>19000</v>
      </c>
      <c r="N7" s="576" t="s">
        <v>123</v>
      </c>
      <c r="O7" s="579" t="s">
        <v>8</v>
      </c>
      <c r="P7" s="578">
        <v>0</v>
      </c>
      <c r="Q7" s="576" t="s">
        <v>457</v>
      </c>
      <c r="R7" s="580" t="s">
        <v>466</v>
      </c>
      <c r="S7" s="580"/>
      <c r="T7" s="599"/>
      <c r="U7" s="566"/>
      <c r="V7" s="1107"/>
      <c r="W7" s="561"/>
      <c r="X7" s="191"/>
      <c r="Y7" s="191"/>
      <c r="Z7" s="191"/>
      <c r="AA7" s="191"/>
      <c r="AB7" s="191"/>
      <c r="AC7" s="191"/>
      <c r="AD7" s="191"/>
      <c r="AE7" s="191"/>
      <c r="AF7" s="191"/>
    </row>
    <row r="8" spans="1:32" s="192" customFormat="1" ht="386.25" customHeight="1">
      <c r="A8" s="1090"/>
      <c r="B8" s="1099"/>
      <c r="C8" s="1032"/>
      <c r="D8" s="1083"/>
      <c r="E8" s="1032"/>
      <c r="F8" s="1032"/>
      <c r="G8" s="1032">
        <f>30929518*100/85</f>
        <v>36387668.235294119</v>
      </c>
      <c r="H8" s="576" t="s">
        <v>452</v>
      </c>
      <c r="I8" s="673" t="s">
        <v>495</v>
      </c>
      <c r="J8" s="1106"/>
      <c r="K8" s="1058"/>
      <c r="L8" s="576" t="s">
        <v>299</v>
      </c>
      <c r="M8" s="579">
        <v>0</v>
      </c>
      <c r="N8" s="577" t="s">
        <v>8</v>
      </c>
      <c r="O8" s="579">
        <v>0</v>
      </c>
      <c r="P8" s="575">
        <v>32</v>
      </c>
      <c r="Q8" s="576" t="s">
        <v>457</v>
      </c>
      <c r="R8" s="580" t="s">
        <v>480</v>
      </c>
      <c r="S8" s="610" t="s">
        <v>481</v>
      </c>
      <c r="T8" s="581" t="s">
        <v>498</v>
      </c>
      <c r="U8" s="567"/>
      <c r="V8" s="1107"/>
      <c r="W8" s="564"/>
      <c r="X8" s="191"/>
      <c r="Y8" s="191"/>
      <c r="Z8" s="191"/>
      <c r="AA8" s="191"/>
      <c r="AB8" s="191"/>
      <c r="AC8" s="191"/>
      <c r="AD8" s="191"/>
      <c r="AE8" s="191"/>
      <c r="AF8" s="191"/>
    </row>
    <row r="9" spans="1:32" s="192" customFormat="1" ht="139.19999999999999">
      <c r="A9" s="1090"/>
      <c r="B9" s="1099"/>
      <c r="C9" s="1032"/>
      <c r="D9" s="1083"/>
      <c r="E9" s="1032"/>
      <c r="F9" s="1032"/>
      <c r="G9" s="1032"/>
      <c r="H9" s="582" t="s">
        <v>453</v>
      </c>
      <c r="I9" s="673" t="s">
        <v>496</v>
      </c>
      <c r="J9" s="1106"/>
      <c r="K9" s="1058"/>
      <c r="L9" s="576" t="s">
        <v>341</v>
      </c>
      <c r="M9" s="575">
        <v>0</v>
      </c>
      <c r="N9" s="595" t="s">
        <v>497</v>
      </c>
      <c r="O9" s="579" t="s">
        <v>8</v>
      </c>
      <c r="P9" s="583">
        <v>61.5</v>
      </c>
      <c r="Q9" s="577" t="s">
        <v>447</v>
      </c>
      <c r="R9" s="580" t="s">
        <v>482</v>
      </c>
      <c r="S9" s="610" t="s">
        <v>483</v>
      </c>
      <c r="T9" s="609" t="s">
        <v>499</v>
      </c>
      <c r="U9" s="568"/>
      <c r="V9" s="1107"/>
      <c r="W9" s="565"/>
      <c r="X9" s="191"/>
      <c r="Y9" s="191"/>
      <c r="Z9" s="191"/>
      <c r="AA9" s="191"/>
      <c r="AB9" s="191"/>
      <c r="AC9" s="191"/>
      <c r="AD9" s="191"/>
      <c r="AE9" s="191"/>
      <c r="AF9" s="191"/>
    </row>
    <row r="10" spans="1:32" s="192" customFormat="1" ht="409.6" thickBot="1">
      <c r="A10" s="1090"/>
      <c r="B10" s="1099"/>
      <c r="C10" s="1032"/>
      <c r="D10" s="1083"/>
      <c r="E10" s="1032"/>
      <c r="F10" s="1032"/>
      <c r="G10" s="1032">
        <f>21372787*100/85</f>
        <v>25144455.294117648</v>
      </c>
      <c r="H10" s="576" t="s">
        <v>452</v>
      </c>
      <c r="I10" s="584" t="s">
        <v>349</v>
      </c>
      <c r="J10" s="1106"/>
      <c r="K10" s="1058"/>
      <c r="L10" s="576" t="s">
        <v>299</v>
      </c>
      <c r="M10" s="579">
        <v>0</v>
      </c>
      <c r="N10" s="585" t="s">
        <v>8</v>
      </c>
      <c r="O10" s="579">
        <v>13</v>
      </c>
      <c r="P10" s="586">
        <v>25</v>
      </c>
      <c r="Q10" s="576" t="s">
        <v>457</v>
      </c>
      <c r="R10" s="587" t="s">
        <v>462</v>
      </c>
      <c r="S10" s="611" t="s">
        <v>491</v>
      </c>
      <c r="T10" s="635" t="s">
        <v>500</v>
      </c>
      <c r="U10" s="569"/>
      <c r="V10" s="1107"/>
      <c r="W10" s="562"/>
      <c r="X10" s="191"/>
      <c r="Y10" s="191"/>
      <c r="Z10" s="191"/>
      <c r="AA10" s="191"/>
      <c r="AB10" s="191"/>
      <c r="AC10" s="191"/>
      <c r="AD10" s="191"/>
      <c r="AE10" s="191"/>
      <c r="AF10" s="191"/>
    </row>
    <row r="11" spans="1:32" s="192" customFormat="1" ht="122.4" thickBot="1">
      <c r="A11" s="1090"/>
      <c r="B11" s="1099"/>
      <c r="C11" s="1032"/>
      <c r="D11" s="1083"/>
      <c r="E11" s="1032"/>
      <c r="F11" s="1032"/>
      <c r="G11" s="1032"/>
      <c r="H11" s="582" t="s">
        <v>453</v>
      </c>
      <c r="I11" s="584" t="s">
        <v>360</v>
      </c>
      <c r="J11" s="1106"/>
      <c r="K11" s="1058"/>
      <c r="L11" s="588" t="s">
        <v>305</v>
      </c>
      <c r="M11" s="589">
        <v>1</v>
      </c>
      <c r="N11" s="582">
        <v>2020</v>
      </c>
      <c r="O11" s="582" t="s">
        <v>8</v>
      </c>
      <c r="P11" s="589">
        <v>0</v>
      </c>
      <c r="Q11" s="577" t="s">
        <v>447</v>
      </c>
      <c r="R11" s="590" t="s">
        <v>477</v>
      </c>
      <c r="S11" s="636" t="s">
        <v>484</v>
      </c>
      <c r="T11" s="637"/>
      <c r="U11" s="566"/>
      <c r="V11" s="1107"/>
      <c r="W11" s="565"/>
      <c r="X11" s="191"/>
      <c r="Y11" s="191"/>
      <c r="Z11" s="191"/>
      <c r="AA11" s="191"/>
      <c r="AB11" s="191"/>
      <c r="AC11" s="191"/>
      <c r="AD11" s="191"/>
      <c r="AE11" s="191"/>
      <c r="AF11" s="191"/>
    </row>
    <row r="12" spans="1:32" s="192" customFormat="1" ht="192" thickBot="1">
      <c r="A12" s="1090"/>
      <c r="B12" s="1099"/>
      <c r="C12" s="1032"/>
      <c r="D12" s="1083"/>
      <c r="E12" s="1032"/>
      <c r="F12" s="1032"/>
      <c r="G12" s="1032"/>
      <c r="H12" s="582" t="s">
        <v>346</v>
      </c>
      <c r="I12" s="584" t="s">
        <v>431</v>
      </c>
      <c r="J12" s="1106"/>
      <c r="K12" s="1058"/>
      <c r="L12" s="591" t="s">
        <v>341</v>
      </c>
      <c r="M12" s="589">
        <v>100</v>
      </c>
      <c r="N12" s="582">
        <v>2020</v>
      </c>
      <c r="O12" s="582" t="s">
        <v>8</v>
      </c>
      <c r="P12" s="589">
        <v>69</v>
      </c>
      <c r="Q12" s="576" t="s">
        <v>457</v>
      </c>
      <c r="R12" s="580" t="s">
        <v>358</v>
      </c>
      <c r="S12" s="592"/>
      <c r="T12" s="640"/>
      <c r="U12" s="566"/>
      <c r="V12" s="1107"/>
      <c r="W12" s="565"/>
      <c r="X12" s="191"/>
      <c r="Y12" s="191"/>
      <c r="Z12" s="191"/>
      <c r="AA12" s="191"/>
      <c r="AB12" s="191"/>
      <c r="AC12" s="191"/>
      <c r="AD12" s="191"/>
      <c r="AE12" s="191"/>
      <c r="AF12" s="191"/>
    </row>
    <row r="13" spans="1:32" s="192" customFormat="1" ht="105.75" customHeight="1" thickBot="1">
      <c r="A13" s="1090"/>
      <c r="B13" s="1099"/>
      <c r="C13" s="1035">
        <v>13744864</v>
      </c>
      <c r="D13" s="1079" t="s">
        <v>485</v>
      </c>
      <c r="E13" s="1035">
        <f>C13/0.85*0.15</f>
        <v>2425564.2352941176</v>
      </c>
      <c r="F13" s="1035">
        <f>C13+E13</f>
        <v>16170428.235294119</v>
      </c>
      <c r="G13" s="1043">
        <f>4946128*100/85</f>
        <v>5818974.1176470593</v>
      </c>
      <c r="H13" s="612" t="s">
        <v>452</v>
      </c>
      <c r="I13" s="613" t="s">
        <v>349</v>
      </c>
      <c r="J13" s="1038" t="s">
        <v>84</v>
      </c>
      <c r="K13" s="1079" t="s">
        <v>297</v>
      </c>
      <c r="L13" s="616" t="s">
        <v>299</v>
      </c>
      <c r="M13" s="617">
        <v>0</v>
      </c>
      <c r="N13" s="612" t="s">
        <v>8</v>
      </c>
      <c r="O13" s="617">
        <v>0</v>
      </c>
      <c r="P13" s="618">
        <v>12</v>
      </c>
      <c r="Q13" s="616" t="s">
        <v>457</v>
      </c>
      <c r="R13" s="580"/>
      <c r="S13" s="615" t="s">
        <v>492</v>
      </c>
      <c r="T13" s="642"/>
      <c r="U13" s="639"/>
      <c r="V13" s="570"/>
      <c r="W13" s="563"/>
      <c r="X13" s="191"/>
      <c r="Y13" s="191"/>
      <c r="Z13" s="191"/>
      <c r="AA13" s="191"/>
      <c r="AB13" s="191"/>
      <c r="AC13" s="191"/>
      <c r="AD13" s="191"/>
      <c r="AE13" s="191"/>
      <c r="AF13" s="191"/>
    </row>
    <row r="14" spans="1:32" s="192" customFormat="1" ht="87.6" thickBot="1">
      <c r="A14" s="1090"/>
      <c r="B14" s="1099"/>
      <c r="C14" s="1036"/>
      <c r="D14" s="1080"/>
      <c r="E14" s="1036"/>
      <c r="F14" s="1036"/>
      <c r="G14" s="1044"/>
      <c r="H14" s="612" t="s">
        <v>453</v>
      </c>
      <c r="I14" s="613" t="s">
        <v>360</v>
      </c>
      <c r="J14" s="1039"/>
      <c r="K14" s="1080"/>
      <c r="L14" s="619" t="s">
        <v>305</v>
      </c>
      <c r="M14" s="620">
        <v>1</v>
      </c>
      <c r="N14" s="612">
        <v>2020</v>
      </c>
      <c r="O14" s="612" t="s">
        <v>8</v>
      </c>
      <c r="P14" s="620">
        <v>0</v>
      </c>
      <c r="Q14" s="616" t="s">
        <v>447</v>
      </c>
      <c r="R14" s="580"/>
      <c r="S14" s="638" t="s">
        <v>475</v>
      </c>
      <c r="T14" s="643"/>
      <c r="U14" s="551"/>
      <c r="V14" s="570"/>
      <c r="W14" s="565"/>
      <c r="X14" s="191"/>
      <c r="Y14" s="191"/>
      <c r="Z14" s="191"/>
      <c r="AA14" s="191"/>
      <c r="AB14" s="191"/>
      <c r="AC14" s="191"/>
      <c r="AD14" s="191"/>
      <c r="AE14" s="191"/>
      <c r="AF14" s="191"/>
    </row>
    <row r="15" spans="1:32" s="192" customFormat="1" ht="404.25" customHeight="1">
      <c r="A15" s="1090"/>
      <c r="B15" s="1099"/>
      <c r="C15" s="1036"/>
      <c r="D15" s="1080"/>
      <c r="E15" s="1036"/>
      <c r="F15" s="1036"/>
      <c r="G15" s="1032">
        <f>8798736*100/85</f>
        <v>10351454.117647059</v>
      </c>
      <c r="H15" s="577" t="s">
        <v>452</v>
      </c>
      <c r="I15" s="673" t="s">
        <v>495</v>
      </c>
      <c r="J15" s="1039"/>
      <c r="K15" s="1080"/>
      <c r="L15" s="591" t="s">
        <v>299</v>
      </c>
      <c r="M15" s="589">
        <v>0</v>
      </c>
      <c r="N15" s="585" t="s">
        <v>8</v>
      </c>
      <c r="O15" s="582">
        <v>0</v>
      </c>
      <c r="P15" s="593">
        <v>20</v>
      </c>
      <c r="Q15" s="576" t="s">
        <v>457</v>
      </c>
      <c r="R15" s="580" t="s">
        <v>486</v>
      </c>
      <c r="S15" s="610" t="s">
        <v>487</v>
      </c>
      <c r="T15" s="641" t="s">
        <v>502</v>
      </c>
      <c r="U15" s="540"/>
      <c r="V15" s="561"/>
      <c r="W15" s="565"/>
      <c r="X15" s="191"/>
      <c r="Y15" s="191"/>
      <c r="Z15" s="191"/>
      <c r="AA15" s="191"/>
      <c r="AB15" s="191"/>
      <c r="AC15" s="191"/>
      <c r="AD15" s="191"/>
      <c r="AE15" s="191"/>
      <c r="AF15" s="191"/>
    </row>
    <row r="16" spans="1:32" s="192" customFormat="1" ht="146.25" customHeight="1">
      <c r="A16" s="1090"/>
      <c r="B16" s="1099"/>
      <c r="C16" s="1037"/>
      <c r="D16" s="1081"/>
      <c r="E16" s="1037"/>
      <c r="F16" s="1037"/>
      <c r="G16" s="1032"/>
      <c r="H16" s="585" t="s">
        <v>453</v>
      </c>
      <c r="I16" s="673" t="s">
        <v>496</v>
      </c>
      <c r="J16" s="1040"/>
      <c r="K16" s="1081"/>
      <c r="L16" s="591" t="s">
        <v>341</v>
      </c>
      <c r="M16" s="593">
        <v>0</v>
      </c>
      <c r="N16" s="582">
        <v>2024</v>
      </c>
      <c r="O16" s="582" t="s">
        <v>8</v>
      </c>
      <c r="P16" s="594">
        <v>38.5</v>
      </c>
      <c r="Q16" s="576" t="s">
        <v>447</v>
      </c>
      <c r="R16" s="580" t="s">
        <v>488</v>
      </c>
      <c r="S16" s="610" t="s">
        <v>489</v>
      </c>
      <c r="T16" s="614" t="s">
        <v>501</v>
      </c>
      <c r="U16" s="552"/>
      <c r="V16" s="561"/>
      <c r="W16" s="563"/>
      <c r="X16" s="191"/>
      <c r="Y16" s="191"/>
      <c r="Z16" s="191"/>
      <c r="AA16" s="191"/>
      <c r="AB16" s="191"/>
      <c r="AC16" s="191"/>
      <c r="AD16" s="191"/>
      <c r="AE16" s="191"/>
      <c r="AF16" s="191"/>
    </row>
    <row r="17" spans="1:32" s="192" customFormat="1" ht="87">
      <c r="A17" s="1090"/>
      <c r="B17" s="1099"/>
      <c r="C17" s="1043">
        <v>2900000</v>
      </c>
      <c r="D17" s="1045" t="s">
        <v>474</v>
      </c>
      <c r="E17" s="1043">
        <f>C17/0.85*0.15</f>
        <v>511764.70588235295</v>
      </c>
      <c r="F17" s="1043">
        <f>C17+E17</f>
        <v>3411764.7058823528</v>
      </c>
      <c r="G17" s="1043">
        <f>F17</f>
        <v>3411764.7058823528</v>
      </c>
      <c r="H17" s="612" t="s">
        <v>141</v>
      </c>
      <c r="I17" s="616" t="s">
        <v>469</v>
      </c>
      <c r="J17" s="1045" t="s">
        <v>84</v>
      </c>
      <c r="K17" s="1045" t="s">
        <v>297</v>
      </c>
      <c r="L17" s="619" t="s">
        <v>299</v>
      </c>
      <c r="M17" s="620">
        <v>0</v>
      </c>
      <c r="N17" s="612" t="s">
        <v>8</v>
      </c>
      <c r="O17" s="612">
        <v>0</v>
      </c>
      <c r="P17" s="620">
        <v>1</v>
      </c>
      <c r="Q17" s="616" t="s">
        <v>457</v>
      </c>
      <c r="R17" s="580"/>
      <c r="S17" s="622" t="s">
        <v>471</v>
      </c>
      <c r="T17" s="623"/>
      <c r="U17" s="549"/>
      <c r="V17" s="561"/>
      <c r="W17" s="565"/>
      <c r="X17" s="191"/>
      <c r="Y17" s="191"/>
      <c r="Z17" s="191"/>
      <c r="AA17" s="191"/>
      <c r="AB17" s="191"/>
      <c r="AC17" s="191"/>
      <c r="AD17" s="191"/>
      <c r="AE17" s="191"/>
      <c r="AF17" s="191"/>
    </row>
    <row r="18" spans="1:32" s="192" customFormat="1" ht="209.4" thickBot="1">
      <c r="A18" s="1090"/>
      <c r="B18" s="1099"/>
      <c r="C18" s="1044"/>
      <c r="D18" s="1046"/>
      <c r="E18" s="1044"/>
      <c r="F18" s="1044"/>
      <c r="G18" s="1044"/>
      <c r="H18" s="612" t="s">
        <v>72</v>
      </c>
      <c r="I18" s="616" t="s">
        <v>348</v>
      </c>
      <c r="J18" s="1046"/>
      <c r="K18" s="1046"/>
      <c r="L18" s="619" t="s">
        <v>181</v>
      </c>
      <c r="M18" s="621">
        <v>11910</v>
      </c>
      <c r="N18" s="612" t="s">
        <v>123</v>
      </c>
      <c r="O18" s="612" t="s">
        <v>8</v>
      </c>
      <c r="P18" s="621">
        <v>6900</v>
      </c>
      <c r="Q18" s="616" t="s">
        <v>457</v>
      </c>
      <c r="R18" s="580"/>
      <c r="S18" s="622" t="s">
        <v>476</v>
      </c>
      <c r="T18" s="644"/>
      <c r="U18" s="548"/>
      <c r="V18" s="561"/>
      <c r="W18" s="565"/>
      <c r="X18" s="191"/>
      <c r="Y18" s="191"/>
      <c r="Z18" s="191"/>
      <c r="AA18" s="191"/>
      <c r="AB18" s="191"/>
      <c r="AC18" s="191"/>
      <c r="AD18" s="191"/>
      <c r="AE18" s="191"/>
      <c r="AF18" s="191"/>
    </row>
    <row r="19" spans="1:32" s="192" customFormat="1" ht="409.6" thickBot="1">
      <c r="A19" s="1090"/>
      <c r="B19" s="1099"/>
      <c r="C19" s="1092">
        <v>0</v>
      </c>
      <c r="D19" s="1096" t="s">
        <v>490</v>
      </c>
      <c r="E19" s="1092">
        <f>C19/0.85*0.15</f>
        <v>0</v>
      </c>
      <c r="F19" s="1092">
        <f>C19+E19</f>
        <v>0</v>
      </c>
      <c r="G19" s="1092">
        <f>F19</f>
        <v>0</v>
      </c>
      <c r="H19" s="601" t="s">
        <v>452</v>
      </c>
      <c r="I19" s="601" t="s">
        <v>449</v>
      </c>
      <c r="J19" s="1096" t="s">
        <v>84</v>
      </c>
      <c r="K19" s="1096" t="s">
        <v>297</v>
      </c>
      <c r="L19" s="601" t="s">
        <v>299</v>
      </c>
      <c r="M19" s="577" t="s">
        <v>42</v>
      </c>
      <c r="N19" s="602" t="s">
        <v>8</v>
      </c>
      <c r="O19" s="578">
        <v>0</v>
      </c>
      <c r="P19" s="577" t="s">
        <v>42</v>
      </c>
      <c r="Q19" s="601" t="s">
        <v>457</v>
      </c>
      <c r="R19" s="596" t="s">
        <v>467</v>
      </c>
      <c r="S19" s="624" t="s">
        <v>473</v>
      </c>
      <c r="T19" s="645"/>
      <c r="U19" s="1033"/>
      <c r="V19" s="550"/>
      <c r="W19" s="565"/>
      <c r="X19" s="191"/>
      <c r="Y19" s="191"/>
      <c r="Z19" s="191"/>
      <c r="AA19" s="191"/>
      <c r="AB19" s="191"/>
      <c r="AC19" s="191"/>
      <c r="AD19" s="191"/>
      <c r="AE19" s="191"/>
      <c r="AF19" s="191"/>
    </row>
    <row r="20" spans="1:32" s="192" customFormat="1" ht="209.4" thickBot="1">
      <c r="A20" s="1091"/>
      <c r="B20" s="1100"/>
      <c r="C20" s="1093"/>
      <c r="D20" s="1097"/>
      <c r="E20" s="1093"/>
      <c r="F20" s="1093"/>
      <c r="G20" s="1093"/>
      <c r="H20" s="604" t="s">
        <v>453</v>
      </c>
      <c r="I20" s="604" t="s">
        <v>363</v>
      </c>
      <c r="J20" s="1097"/>
      <c r="K20" s="1097"/>
      <c r="L20" s="604" t="s">
        <v>364</v>
      </c>
      <c r="M20" s="605" t="s">
        <v>42</v>
      </c>
      <c r="N20" s="606">
        <v>2020</v>
      </c>
      <c r="O20" s="603">
        <v>0</v>
      </c>
      <c r="P20" s="607">
        <v>0</v>
      </c>
      <c r="Q20" s="604" t="s">
        <v>427</v>
      </c>
      <c r="R20" s="597" t="s">
        <v>465</v>
      </c>
      <c r="S20" s="625" t="s">
        <v>465</v>
      </c>
      <c r="T20" s="626"/>
      <c r="U20" s="1034"/>
      <c r="V20" s="550"/>
      <c r="W20" s="565"/>
      <c r="X20" s="191"/>
      <c r="Y20" s="191"/>
      <c r="Z20" s="191"/>
      <c r="AA20" s="191"/>
      <c r="AB20" s="191"/>
      <c r="AC20" s="191"/>
      <c r="AD20" s="191"/>
      <c r="AE20" s="191"/>
      <c r="AF20" s="191"/>
    </row>
    <row r="21" spans="1:32" ht="187.2">
      <c r="A21" s="1070" t="s">
        <v>448</v>
      </c>
      <c r="B21" s="1075">
        <f>F21+F24+F27+F30</f>
        <v>283571308.2352941</v>
      </c>
      <c r="C21" s="1065">
        <v>144545499</v>
      </c>
      <c r="D21" s="1073" t="s">
        <v>428</v>
      </c>
      <c r="E21" s="1065">
        <f>C21/0.85*0.15</f>
        <v>25508029.235294119</v>
      </c>
      <c r="F21" s="1065">
        <f>C21+E21</f>
        <v>170053528.2352941</v>
      </c>
      <c r="G21" s="1065">
        <f>F21</f>
        <v>170053528.2352941</v>
      </c>
      <c r="H21" s="472" t="s">
        <v>170</v>
      </c>
      <c r="I21" s="473" t="s">
        <v>347</v>
      </c>
      <c r="J21" s="1108" t="s">
        <v>84</v>
      </c>
      <c r="K21" s="999" t="s">
        <v>297</v>
      </c>
      <c r="L21" s="473" t="s">
        <v>115</v>
      </c>
      <c r="M21" s="474">
        <v>0</v>
      </c>
      <c r="N21" s="473" t="s">
        <v>8</v>
      </c>
      <c r="O21" s="528">
        <f>P21</f>
        <v>29.35</v>
      </c>
      <c r="P21" s="529">
        <v>29.35</v>
      </c>
      <c r="Q21" s="473" t="s">
        <v>457</v>
      </c>
      <c r="R21" s="535" t="s">
        <v>433</v>
      </c>
      <c r="S21" s="646"/>
      <c r="T21" s="647"/>
      <c r="U21" s="544"/>
    </row>
    <row r="22" spans="1:32" ht="129.6">
      <c r="A22" s="1071"/>
      <c r="B22" s="1076"/>
      <c r="C22" s="1061"/>
      <c r="D22" s="1074"/>
      <c r="E22" s="1061"/>
      <c r="F22" s="1061"/>
      <c r="G22" s="1061"/>
      <c r="H22" s="194" t="s">
        <v>116</v>
      </c>
      <c r="I22" s="194" t="s">
        <v>351</v>
      </c>
      <c r="J22" s="1053"/>
      <c r="K22" s="799"/>
      <c r="L22" s="194" t="s">
        <v>172</v>
      </c>
      <c r="M22" s="115">
        <v>219954364</v>
      </c>
      <c r="N22" s="194" t="s">
        <v>46</v>
      </c>
      <c r="O22" s="115" t="s">
        <v>8</v>
      </c>
      <c r="P22" s="115">
        <v>231171674</v>
      </c>
      <c r="Q22" s="194" t="s">
        <v>457</v>
      </c>
      <c r="R22" s="536" t="s">
        <v>437</v>
      </c>
      <c r="S22" s="648"/>
      <c r="T22" s="600"/>
      <c r="U22" s="547"/>
    </row>
    <row r="23" spans="1:32" ht="115.2">
      <c r="A23" s="1071"/>
      <c r="B23" s="1076"/>
      <c r="C23" s="1061"/>
      <c r="D23" s="1074"/>
      <c r="E23" s="1061"/>
      <c r="F23" s="1061"/>
      <c r="G23" s="1061"/>
      <c r="H23" s="194" t="s">
        <v>117</v>
      </c>
      <c r="I23" s="194" t="s">
        <v>343</v>
      </c>
      <c r="J23" s="1053"/>
      <c r="K23" s="799"/>
      <c r="L23" s="194" t="s">
        <v>436</v>
      </c>
      <c r="M23" s="524">
        <v>0</v>
      </c>
      <c r="N23" s="464" t="s">
        <v>123</v>
      </c>
      <c r="O23" s="115" t="s">
        <v>8</v>
      </c>
      <c r="P23" s="115">
        <v>76620</v>
      </c>
      <c r="Q23" s="194" t="s">
        <v>457</v>
      </c>
      <c r="R23" s="536" t="s">
        <v>450</v>
      </c>
      <c r="S23" s="648"/>
      <c r="T23" s="600"/>
      <c r="U23" s="547"/>
    </row>
    <row r="24" spans="1:32" ht="172.8">
      <c r="A24" s="1071"/>
      <c r="B24" s="1076"/>
      <c r="C24" s="1061">
        <v>40845339</v>
      </c>
      <c r="D24" s="1074"/>
      <c r="E24" s="1061">
        <f>C24/0.85*0.15</f>
        <v>7208001</v>
      </c>
      <c r="F24" s="1061">
        <f>C24+E24</f>
        <v>48053340</v>
      </c>
      <c r="G24" s="1061">
        <f>F24</f>
        <v>48053340</v>
      </c>
      <c r="H24" s="194" t="s">
        <v>170</v>
      </c>
      <c r="I24" s="194" t="s">
        <v>347</v>
      </c>
      <c r="J24" s="1053" t="s">
        <v>426</v>
      </c>
      <c r="K24" s="799" t="s">
        <v>41</v>
      </c>
      <c r="L24" s="194" t="s">
        <v>115</v>
      </c>
      <c r="M24" s="115">
        <v>0</v>
      </c>
      <c r="N24" s="194" t="s">
        <v>8</v>
      </c>
      <c r="O24" s="527">
        <v>12.06</v>
      </c>
      <c r="P24" s="496">
        <v>12.06</v>
      </c>
      <c r="Q24" s="194" t="s">
        <v>457</v>
      </c>
      <c r="R24" s="536" t="s">
        <v>459</v>
      </c>
      <c r="S24" s="648"/>
      <c r="T24" s="600"/>
      <c r="U24" s="547"/>
    </row>
    <row r="25" spans="1:32" ht="100.8">
      <c r="A25" s="1071"/>
      <c r="B25" s="1076"/>
      <c r="C25" s="1061"/>
      <c r="D25" s="1074"/>
      <c r="E25" s="1061"/>
      <c r="F25" s="1061"/>
      <c r="G25" s="1061"/>
      <c r="H25" s="194" t="s">
        <v>116</v>
      </c>
      <c r="I25" s="194" t="s">
        <v>351</v>
      </c>
      <c r="J25" s="1053"/>
      <c r="K25" s="799"/>
      <c r="L25" s="194" t="s">
        <v>172</v>
      </c>
      <c r="M25" s="115">
        <v>70657577</v>
      </c>
      <c r="N25" s="194" t="s">
        <v>46</v>
      </c>
      <c r="O25" s="115" t="s">
        <v>8</v>
      </c>
      <c r="P25" s="115">
        <v>74226270</v>
      </c>
      <c r="Q25" s="194" t="s">
        <v>457</v>
      </c>
      <c r="R25" s="536" t="s">
        <v>438</v>
      </c>
      <c r="S25" s="648"/>
      <c r="T25" s="600"/>
      <c r="U25" s="547"/>
    </row>
    <row r="26" spans="1:32" ht="100.8">
      <c r="A26" s="1071"/>
      <c r="B26" s="1076"/>
      <c r="C26" s="1061"/>
      <c r="D26" s="1074"/>
      <c r="E26" s="1061"/>
      <c r="F26" s="1061"/>
      <c r="G26" s="1061"/>
      <c r="H26" s="194" t="s">
        <v>117</v>
      </c>
      <c r="I26" s="194" t="s">
        <v>343</v>
      </c>
      <c r="J26" s="1053"/>
      <c r="K26" s="799"/>
      <c r="L26" s="194" t="s">
        <v>439</v>
      </c>
      <c r="M26" s="524">
        <v>0</v>
      </c>
      <c r="N26" s="464" t="s">
        <v>46</v>
      </c>
      <c r="O26" s="115" t="s">
        <v>8</v>
      </c>
      <c r="P26" s="115">
        <v>25886</v>
      </c>
      <c r="Q26" s="194" t="s">
        <v>457</v>
      </c>
      <c r="R26" s="536" t="s">
        <v>454</v>
      </c>
      <c r="S26" s="648"/>
      <c r="T26" s="600"/>
      <c r="U26" s="547"/>
    </row>
    <row r="27" spans="1:32" ht="159" thickBot="1">
      <c r="A27" s="1071"/>
      <c r="B27" s="1076"/>
      <c r="C27" s="1061">
        <v>53406724</v>
      </c>
      <c r="D27" s="1078" t="s">
        <v>429</v>
      </c>
      <c r="E27" s="1061">
        <f>C27/0.85*0.15</f>
        <v>9424716</v>
      </c>
      <c r="F27" s="1061">
        <f>C27+E27</f>
        <v>62831440</v>
      </c>
      <c r="G27" s="1061">
        <f>F27</f>
        <v>62831440</v>
      </c>
      <c r="H27" s="236" t="s">
        <v>170</v>
      </c>
      <c r="I27" s="194" t="s">
        <v>347</v>
      </c>
      <c r="J27" s="1053" t="s">
        <v>84</v>
      </c>
      <c r="K27" s="799" t="s">
        <v>297</v>
      </c>
      <c r="L27" s="194" t="s">
        <v>115</v>
      </c>
      <c r="M27" s="194" t="s">
        <v>42</v>
      </c>
      <c r="N27" s="194" t="s">
        <v>8</v>
      </c>
      <c r="O27" s="527">
        <f>P27</f>
        <v>30.68</v>
      </c>
      <c r="P27" s="496">
        <v>30.68</v>
      </c>
      <c r="Q27" s="194" t="s">
        <v>457</v>
      </c>
      <c r="R27" s="537" t="s">
        <v>460</v>
      </c>
      <c r="S27" s="648"/>
      <c r="T27" s="600"/>
      <c r="U27" s="651"/>
    </row>
    <row r="28" spans="1:32" ht="101.4" thickBot="1">
      <c r="A28" s="1071"/>
      <c r="B28" s="1076"/>
      <c r="C28" s="1061"/>
      <c r="D28" s="803"/>
      <c r="E28" s="1061"/>
      <c r="F28" s="1061"/>
      <c r="G28" s="1061"/>
      <c r="H28" s="194" t="s">
        <v>116</v>
      </c>
      <c r="I28" s="194" t="s">
        <v>342</v>
      </c>
      <c r="J28" s="1053"/>
      <c r="K28" s="799"/>
      <c r="L28" s="194" t="s">
        <v>172</v>
      </c>
      <c r="M28" s="115">
        <v>118440032</v>
      </c>
      <c r="N28" s="194" t="s">
        <v>46</v>
      </c>
      <c r="O28" s="115" t="s">
        <v>8</v>
      </c>
      <c r="P28" s="115">
        <v>125040811</v>
      </c>
      <c r="Q28" s="194" t="s">
        <v>457</v>
      </c>
      <c r="R28" s="538" t="s">
        <v>440</v>
      </c>
      <c r="S28" s="648"/>
      <c r="T28" s="649"/>
      <c r="U28" s="652"/>
    </row>
    <row r="29" spans="1:32" ht="144.6" thickBot="1">
      <c r="A29" s="1071"/>
      <c r="B29" s="1076"/>
      <c r="C29" s="1061"/>
      <c r="D29" s="803"/>
      <c r="E29" s="1061"/>
      <c r="F29" s="1061"/>
      <c r="G29" s="1061"/>
      <c r="H29" s="194" t="s">
        <v>117</v>
      </c>
      <c r="I29" s="194" t="s">
        <v>343</v>
      </c>
      <c r="J29" s="1053"/>
      <c r="K29" s="799"/>
      <c r="L29" s="530" t="s">
        <v>461</v>
      </c>
      <c r="M29" s="524">
        <v>0</v>
      </c>
      <c r="N29" s="464" t="s">
        <v>46</v>
      </c>
      <c r="O29" s="115" t="s">
        <v>8</v>
      </c>
      <c r="P29" s="115">
        <v>10532</v>
      </c>
      <c r="Q29" s="194" t="s">
        <v>457</v>
      </c>
      <c r="R29" s="536" t="s">
        <v>441</v>
      </c>
      <c r="S29" s="651"/>
      <c r="T29" s="600"/>
      <c r="U29" s="546"/>
    </row>
    <row r="30" spans="1:32" ht="115.8" thickBot="1">
      <c r="A30" s="1071"/>
      <c r="B30" s="1076"/>
      <c r="C30" s="1061">
        <v>2238050</v>
      </c>
      <c r="D30" s="803" t="s">
        <v>361</v>
      </c>
      <c r="E30" s="1061">
        <f>C30/0.85*0.15</f>
        <v>394950</v>
      </c>
      <c r="F30" s="1061">
        <f>C30+E30</f>
        <v>2633000</v>
      </c>
      <c r="G30" s="1061">
        <f>F30</f>
        <v>2633000</v>
      </c>
      <c r="H30" s="194" t="s">
        <v>452</v>
      </c>
      <c r="I30" s="194" t="s">
        <v>445</v>
      </c>
      <c r="J30" s="1053" t="s">
        <v>84</v>
      </c>
      <c r="K30" s="799" t="s">
        <v>297</v>
      </c>
      <c r="L30" s="194" t="s">
        <v>299</v>
      </c>
      <c r="M30" s="194" t="s">
        <v>42</v>
      </c>
      <c r="N30" s="464" t="s">
        <v>8</v>
      </c>
      <c r="O30" s="115">
        <v>0</v>
      </c>
      <c r="P30" s="115">
        <v>113</v>
      </c>
      <c r="Q30" s="194" t="s">
        <v>457</v>
      </c>
      <c r="R30" s="538" t="s">
        <v>442</v>
      </c>
      <c r="S30" s="655"/>
      <c r="T30" s="650"/>
      <c r="U30" s="658"/>
    </row>
    <row r="31" spans="1:32" ht="101.4" thickBot="1">
      <c r="A31" s="1072"/>
      <c r="B31" s="1077"/>
      <c r="C31" s="1062"/>
      <c r="D31" s="804"/>
      <c r="E31" s="1062"/>
      <c r="F31" s="1062"/>
      <c r="G31" s="1062"/>
      <c r="H31" s="525" t="s">
        <v>453</v>
      </c>
      <c r="I31" s="525" t="s">
        <v>359</v>
      </c>
      <c r="J31" s="1054"/>
      <c r="K31" s="1016"/>
      <c r="L31" s="525" t="s">
        <v>305</v>
      </c>
      <c r="M31" s="525" t="s">
        <v>432</v>
      </c>
      <c r="N31" s="525" t="s">
        <v>270</v>
      </c>
      <c r="O31" s="526" t="s">
        <v>8</v>
      </c>
      <c r="P31" s="525" t="s">
        <v>434</v>
      </c>
      <c r="Q31" s="518" t="s">
        <v>427</v>
      </c>
      <c r="R31" s="539" t="s">
        <v>435</v>
      </c>
      <c r="S31" s="651"/>
      <c r="T31" s="649"/>
      <c r="U31" s="652"/>
    </row>
    <row r="32" spans="1:32" ht="158.4">
      <c r="A32" s="1066" t="s">
        <v>345</v>
      </c>
      <c r="B32" s="1059">
        <v>0</v>
      </c>
      <c r="C32" s="1059">
        <v>0</v>
      </c>
      <c r="D32" s="1068" t="s">
        <v>494</v>
      </c>
      <c r="E32" s="1059">
        <f>C32/0.85*0.15</f>
        <v>0</v>
      </c>
      <c r="F32" s="1059">
        <f>C32+E32</f>
        <v>0</v>
      </c>
      <c r="G32" s="1059">
        <f>F32</f>
        <v>0</v>
      </c>
      <c r="H32" s="627" t="s">
        <v>171</v>
      </c>
      <c r="I32" s="627" t="s">
        <v>344</v>
      </c>
      <c r="J32" s="1063" t="s">
        <v>84</v>
      </c>
      <c r="K32" s="1063" t="s">
        <v>297</v>
      </c>
      <c r="L32" s="627" t="s">
        <v>156</v>
      </c>
      <c r="M32" s="627" t="s">
        <v>42</v>
      </c>
      <c r="N32" s="627" t="s">
        <v>8</v>
      </c>
      <c r="O32" s="628">
        <v>0</v>
      </c>
      <c r="P32" s="627" t="s">
        <v>155</v>
      </c>
      <c r="Q32" s="627" t="s">
        <v>457</v>
      </c>
      <c r="R32" s="629" t="s">
        <v>451</v>
      </c>
      <c r="S32" s="656"/>
      <c r="T32" s="1103" t="s">
        <v>493</v>
      </c>
      <c r="U32" s="544"/>
    </row>
    <row r="33" spans="1:23" ht="74.400000000000006" customHeight="1" thickBot="1">
      <c r="A33" s="1067"/>
      <c r="B33" s="1060"/>
      <c r="C33" s="1060"/>
      <c r="D33" s="1069"/>
      <c r="E33" s="1060"/>
      <c r="F33" s="1060"/>
      <c r="G33" s="1060"/>
      <c r="H33" s="630" t="s">
        <v>453</v>
      </c>
      <c r="I33" s="630" t="s">
        <v>443</v>
      </c>
      <c r="J33" s="1064"/>
      <c r="K33" s="1064"/>
      <c r="L33" s="630" t="s">
        <v>430</v>
      </c>
      <c r="M33" s="631">
        <v>4802.25</v>
      </c>
      <c r="N33" s="630" t="s">
        <v>123</v>
      </c>
      <c r="O33" s="632" t="s">
        <v>8</v>
      </c>
      <c r="P33" s="632">
        <v>299225</v>
      </c>
      <c r="Q33" s="633" t="s">
        <v>427</v>
      </c>
      <c r="R33" s="634" t="s">
        <v>444</v>
      </c>
      <c r="S33" s="657"/>
      <c r="T33" s="1104"/>
      <c r="U33" s="545"/>
    </row>
    <row r="34" spans="1:23">
      <c r="B34" t="s">
        <v>84</v>
      </c>
      <c r="C34" s="520">
        <f>SUM(C6:C23,C27:C33)</f>
        <v>359741527</v>
      </c>
      <c r="D34" s="521"/>
      <c r="E34" s="521">
        <f>SUM(E6:E23,E27:E33)</f>
        <v>63483798.882352948</v>
      </c>
      <c r="F34" s="521">
        <f>SUM(F6:F23,F27:F33)</f>
        <v>423225325.88235295</v>
      </c>
      <c r="G34" s="521">
        <f>SUM(G6:G23,G27:G33)</f>
        <v>413691108.2352941</v>
      </c>
      <c r="M34" s="495">
        <f>SUM(M6:M33)</f>
        <v>409087787.25</v>
      </c>
      <c r="O34" s="119">
        <f>SUM(O6:O33)</f>
        <v>85.09</v>
      </c>
      <c r="P34" s="119">
        <f>SUM(P6:P33)</f>
        <v>430858683.08999997</v>
      </c>
      <c r="U34" s="543"/>
    </row>
    <row r="35" spans="1:23">
      <c r="B35" s="119" t="s">
        <v>365</v>
      </c>
      <c r="C35" s="226">
        <f>C24</f>
        <v>40845339</v>
      </c>
      <c r="D35" s="226"/>
      <c r="E35" s="226">
        <f t="shared" ref="E35" si="0">E24</f>
        <v>7208001</v>
      </c>
      <c r="F35" s="226">
        <f t="shared" ref="F35:G35" si="1">F24</f>
        <v>48053340</v>
      </c>
      <c r="G35" s="226">
        <f t="shared" si="1"/>
        <v>48053340</v>
      </c>
    </row>
    <row r="36" spans="1:23">
      <c r="C36" s="522">
        <f>SUM(C34:C35)</f>
        <v>400586866</v>
      </c>
      <c r="D36" s="226"/>
      <c r="E36" s="226"/>
      <c r="F36" s="523">
        <f>SUM(F34:F35)</f>
        <v>471278665.88235295</v>
      </c>
      <c r="G36" s="226"/>
    </row>
    <row r="37" spans="1:23">
      <c r="B37" s="226">
        <v>100</v>
      </c>
      <c r="C37" s="226">
        <f>C6</f>
        <v>142906390</v>
      </c>
      <c r="D37" s="226"/>
      <c r="E37" s="226"/>
      <c r="F37" s="226"/>
      <c r="G37" s="226"/>
    </row>
    <row r="38" spans="1:23">
      <c r="B38">
        <v>101</v>
      </c>
      <c r="C38" s="671">
        <f>C13</f>
        <v>13744864</v>
      </c>
      <c r="D38" s="226"/>
      <c r="E38" s="226"/>
      <c r="F38" s="523"/>
      <c r="G38" s="226"/>
    </row>
    <row r="39" spans="1:23" ht="15" thickBot="1"/>
    <row r="40" spans="1:23" ht="29.4" thickBot="1">
      <c r="A40" s="487" t="s">
        <v>352</v>
      </c>
      <c r="B40" s="488" t="s">
        <v>353</v>
      </c>
      <c r="C40" s="488" t="s">
        <v>354</v>
      </c>
      <c r="D40" s="488" t="s">
        <v>355</v>
      </c>
      <c r="E40" s="488" t="s">
        <v>31</v>
      </c>
      <c r="F40" s="489" t="s">
        <v>38</v>
      </c>
      <c r="G40" s="488" t="s">
        <v>356</v>
      </c>
      <c r="H40" s="489" t="s">
        <v>29</v>
      </c>
      <c r="I40" s="490" t="s">
        <v>30</v>
      </c>
      <c r="J40" s="53"/>
      <c r="K40" s="52"/>
      <c r="N40" s="66"/>
      <c r="O40" s="66"/>
    </row>
    <row r="41" spans="1:23" s="465" customFormat="1" ht="43.2">
      <c r="A41" s="664" t="str">
        <f>H6</f>
        <v>RCO49</v>
      </c>
      <c r="B41" s="499" t="str">
        <f>I6</f>
        <v>Length of rail reconstructed or modernised - TENT-T (rekonstruotų arba modernizuotų geležinkelių ilgis – TEN-T)</v>
      </c>
      <c r="C41" s="500" t="str">
        <f>L6</f>
        <v>Km</v>
      </c>
      <c r="D41" s="501" t="str">
        <f>M6</f>
        <v>0</v>
      </c>
      <c r="E41" s="502" t="s">
        <v>84</v>
      </c>
      <c r="F41" s="503" t="s">
        <v>297</v>
      </c>
      <c r="G41" s="504" t="s">
        <v>8</v>
      </c>
      <c r="H41" s="503">
        <f>O6</f>
        <v>0</v>
      </c>
      <c r="I41" s="666">
        <f>P6</f>
        <v>321</v>
      </c>
      <c r="R41" s="468"/>
      <c r="S41" s="534"/>
      <c r="T41" s="534"/>
      <c r="U41" s="86"/>
      <c r="V41"/>
      <c r="W41" s="278"/>
    </row>
    <row r="42" spans="1:23" s="465" customFormat="1" ht="43.2">
      <c r="A42" s="493" t="str">
        <f>H7</f>
        <v>RCR29</v>
      </c>
      <c r="B42" s="505" t="str">
        <f>I7</f>
        <v>Estimated greenhouse emissions (numatomas išmetamas šiltnamio efektą sukeliančių dujų kiekis)</v>
      </c>
      <c r="C42" s="506" t="str">
        <f>L7</f>
        <v>Tons of CO2eq/year</v>
      </c>
      <c r="D42" s="665">
        <f>M7+M18</f>
        <v>30910</v>
      </c>
      <c r="E42" s="507" t="s">
        <v>84</v>
      </c>
      <c r="F42" s="466" t="s">
        <v>297</v>
      </c>
      <c r="G42" s="466">
        <v>2020</v>
      </c>
      <c r="H42" s="466" t="s">
        <v>8</v>
      </c>
      <c r="I42" s="491">
        <f>P7+P18</f>
        <v>6900</v>
      </c>
      <c r="R42" s="468"/>
      <c r="S42" s="534"/>
      <c r="T42" s="534"/>
      <c r="U42" s="86"/>
      <c r="V42"/>
      <c r="W42" s="278"/>
    </row>
    <row r="43" spans="1:23" s="465" customFormat="1" ht="72">
      <c r="A43" s="497" t="str">
        <f t="shared" ref="A43:B45" si="2">H10</f>
        <v>Specific output</v>
      </c>
      <c r="B43" s="505" t="str">
        <f t="shared" si="2"/>
        <v xml:space="preserve"> Implemented traffic safety improvement and environmental protection measures in railways (Įdiegtos saugų eismą gerinančios ir
aplinkosaugos priemonės
geležinkeliuose)</v>
      </c>
      <c r="C43" s="508" t="str">
        <f t="shared" ref="C43:D45" si="3">L10</f>
        <v>Number</v>
      </c>
      <c r="D43" s="466">
        <f t="shared" si="3"/>
        <v>0</v>
      </c>
      <c r="E43" s="507" t="s">
        <v>84</v>
      </c>
      <c r="F43" s="466" t="s">
        <v>297</v>
      </c>
      <c r="G43" s="509" t="s">
        <v>8</v>
      </c>
      <c r="H43" s="598">
        <f>O10</f>
        <v>13</v>
      </c>
      <c r="I43" s="553">
        <f>P10+P13</f>
        <v>37</v>
      </c>
      <c r="R43" s="468"/>
      <c r="S43" s="534"/>
      <c r="T43" s="534"/>
      <c r="U43" s="86"/>
      <c r="V43"/>
      <c r="W43" s="278"/>
    </row>
    <row r="44" spans="1:23" s="465" customFormat="1" ht="43.2">
      <c r="A44" s="497" t="str">
        <f t="shared" si="2"/>
        <v>Specific result</v>
      </c>
      <c r="B44" s="505" t="str">
        <f t="shared" si="2"/>
        <v>Number of fatalities and injuries at level crossings (Žuvusiųjų ir sužeistųjų geležinkelio pervažose skaičius)</v>
      </c>
      <c r="C44" s="466" t="str">
        <f t="shared" si="3"/>
        <v>Persons per year</v>
      </c>
      <c r="D44" s="466">
        <f t="shared" si="3"/>
        <v>1</v>
      </c>
      <c r="E44" s="507" t="s">
        <v>84</v>
      </c>
      <c r="F44" s="466" t="s">
        <v>297</v>
      </c>
      <c r="G44" s="466">
        <v>2020</v>
      </c>
      <c r="H44" s="466" t="str">
        <f>O11</f>
        <v>n/a</v>
      </c>
      <c r="I44" s="492">
        <f>P11+P14</f>
        <v>0</v>
      </c>
      <c r="R44" s="468"/>
      <c r="S44" s="534"/>
      <c r="T44" s="534"/>
      <c r="U44" s="86"/>
      <c r="V44"/>
      <c r="W44" s="278"/>
    </row>
    <row r="45" spans="1:23" s="465" customFormat="1" ht="86.4">
      <c r="A45" s="497" t="str">
        <f t="shared" si="2"/>
        <v>Special result</v>
      </c>
      <c r="B45" s="510" t="str">
        <f t="shared" si="2"/>
        <v>Proportion of the population living and operating in noise prevention areas with reduced railway noise (Gyventojų, gyvenančių ir veikiančių triukšmo prevencijos zonose, dalis, kuriai sumažintas geležinkelių keliamas triukšmas)</v>
      </c>
      <c r="C45" s="466" t="str">
        <f t="shared" si="3"/>
        <v>percent</v>
      </c>
      <c r="D45" s="466">
        <f t="shared" si="3"/>
        <v>100</v>
      </c>
      <c r="E45" s="507" t="s">
        <v>84</v>
      </c>
      <c r="F45" s="466" t="s">
        <v>297</v>
      </c>
      <c r="G45" s="466">
        <v>2020</v>
      </c>
      <c r="H45" s="466" t="s">
        <v>8</v>
      </c>
      <c r="I45" s="492">
        <f>P12</f>
        <v>69</v>
      </c>
      <c r="R45" s="468"/>
      <c r="S45" s="534"/>
      <c r="T45" s="534"/>
      <c r="U45" s="86"/>
      <c r="V45"/>
      <c r="W45" s="278"/>
    </row>
    <row r="46" spans="1:23" s="465" customFormat="1" ht="57.6">
      <c r="A46" s="497" t="s">
        <v>452</v>
      </c>
      <c r="B46" s="672" t="str">
        <f>I8</f>
        <v>Platforms at railway stations reconstructed to ensure level access (Geležinkelių stotyse esantys peronai, rekonstruoti juos pritaikant vienalygei prieigai)</v>
      </c>
      <c r="C46" s="508" t="str">
        <f>L8</f>
        <v>Number</v>
      </c>
      <c r="D46" s="509">
        <f>M8+M15</f>
        <v>0</v>
      </c>
      <c r="E46" s="509" t="s">
        <v>84</v>
      </c>
      <c r="F46" s="509" t="s">
        <v>297</v>
      </c>
      <c r="G46" s="509" t="s">
        <v>8</v>
      </c>
      <c r="H46" s="509">
        <f>O8</f>
        <v>0</v>
      </c>
      <c r="I46" s="667">
        <f>P8+P15</f>
        <v>52</v>
      </c>
      <c r="R46" s="468"/>
      <c r="S46" s="534"/>
      <c r="T46" s="534"/>
      <c r="U46" s="86"/>
      <c r="V46"/>
      <c r="W46" s="278"/>
    </row>
    <row r="47" spans="1:23" s="465" customFormat="1" ht="43.2">
      <c r="A47" s="497" t="s">
        <v>453</v>
      </c>
      <c r="B47" s="672" t="str">
        <f>I9</f>
        <v>Part of platforms adapted for level access (Peronų, pritaikytų  vienalygei prieigai, dalis )</v>
      </c>
      <c r="C47" s="508" t="str">
        <f>L9</f>
        <v>percent</v>
      </c>
      <c r="D47" s="680">
        <f>M9+M16</f>
        <v>0</v>
      </c>
      <c r="E47" s="509" t="s">
        <v>84</v>
      </c>
      <c r="F47" s="509" t="s">
        <v>297</v>
      </c>
      <c r="G47" s="681">
        <v>2024</v>
      </c>
      <c r="H47" s="509" t="s">
        <v>8</v>
      </c>
      <c r="I47" s="670">
        <f>P9+P16</f>
        <v>100</v>
      </c>
      <c r="R47" s="468"/>
      <c r="S47" s="534"/>
      <c r="T47" s="534"/>
      <c r="U47" s="86"/>
      <c r="V47"/>
      <c r="W47" s="278"/>
    </row>
    <row r="48" spans="1:23" s="465" customFormat="1" ht="43.2">
      <c r="A48" s="498" t="str">
        <f>H21</f>
        <v>RCO45</v>
      </c>
      <c r="B48" s="508" t="str">
        <f>I21</f>
        <v>Length of roads reconstructed or modernised - TEN-T (rekonstruotų arba modernizuotų kelių ilgis – TEN-T)</v>
      </c>
      <c r="C48" s="466" t="str">
        <f>L21</f>
        <v>Km</v>
      </c>
      <c r="D48" s="466">
        <f>M21+M27</f>
        <v>0</v>
      </c>
      <c r="E48" s="507" t="s">
        <v>84</v>
      </c>
      <c r="F48" s="466" t="s">
        <v>297</v>
      </c>
      <c r="G48" s="509" t="s">
        <v>8</v>
      </c>
      <c r="H48" s="514">
        <f>O21+O27</f>
        <v>60.03</v>
      </c>
      <c r="I48" s="515">
        <f>P21+P27</f>
        <v>60.03</v>
      </c>
      <c r="R48" s="468"/>
      <c r="S48" s="534"/>
      <c r="T48" s="534"/>
      <c r="U48" s="86"/>
      <c r="V48"/>
      <c r="W48" s="278"/>
    </row>
    <row r="49" spans="1:23" s="465" customFormat="1" ht="43.2">
      <c r="A49" s="498" t="str">
        <f>H24</f>
        <v>RCO45</v>
      </c>
      <c r="B49" s="508" t="str">
        <f>I24</f>
        <v>Length of roads reconstructed or modernised - TEN-T (rekonstruotų arba modernizuotų kelių ilgis – TEN-T)</v>
      </c>
      <c r="C49" s="466" t="str">
        <f>L24</f>
        <v>Km</v>
      </c>
      <c r="D49" s="466">
        <f>M24</f>
        <v>0</v>
      </c>
      <c r="E49" s="511" t="s">
        <v>426</v>
      </c>
      <c r="F49" s="466" t="s">
        <v>41</v>
      </c>
      <c r="G49" s="509" t="s">
        <v>8</v>
      </c>
      <c r="H49" s="516">
        <f>O24</f>
        <v>12.06</v>
      </c>
      <c r="I49" s="517">
        <f>P24</f>
        <v>12.06</v>
      </c>
      <c r="R49" s="468"/>
      <c r="S49" s="534"/>
      <c r="T49" s="534"/>
      <c r="U49" s="86"/>
      <c r="V49"/>
      <c r="W49" s="278"/>
    </row>
    <row r="50" spans="1:23" s="465" customFormat="1" ht="72">
      <c r="A50" s="471" t="str">
        <f>H22</f>
        <v>RCR55</v>
      </c>
      <c r="B50" s="505" t="str">
        <f>I22</f>
        <v>Annual users of newly built, reconstructed, upgraded or modernised roads ((naujai pastatytų, rekonstruotų, atnaujintų arba modernizuotų kelių naudotojų skaičius per metus)</v>
      </c>
      <c r="C50" s="508" t="str">
        <f>L22</f>
        <v>road passenger-km/ year</v>
      </c>
      <c r="D50" s="467">
        <f>M22+M28</f>
        <v>338394396</v>
      </c>
      <c r="E50" s="507" t="s">
        <v>84</v>
      </c>
      <c r="F50" s="466" t="s">
        <v>297</v>
      </c>
      <c r="G50" s="466">
        <v>2021</v>
      </c>
      <c r="H50" s="466" t="s">
        <v>8</v>
      </c>
      <c r="I50" s="491">
        <f>P22+P28</f>
        <v>356212485</v>
      </c>
      <c r="R50" s="468"/>
      <c r="S50" s="534"/>
      <c r="T50" s="534"/>
      <c r="U50" s="86"/>
      <c r="V50"/>
      <c r="W50" s="278"/>
    </row>
    <row r="51" spans="1:23" s="465" customFormat="1" ht="72">
      <c r="A51" s="471" t="str">
        <f>H25</f>
        <v>RCR55</v>
      </c>
      <c r="B51" s="505" t="str">
        <f>I25</f>
        <v>Annual users of newly built, reconstructed, upgraded or modernised roads ((naujai pastatytų, rekonstruotų, atnaujintų arba modernizuotų kelių naudotojų skaičius per metus)</v>
      </c>
      <c r="C51" s="508" t="str">
        <f>L25</f>
        <v>road passenger-km/ year</v>
      </c>
      <c r="D51" s="467">
        <f>M25</f>
        <v>70657577</v>
      </c>
      <c r="E51" s="507" t="s">
        <v>426</v>
      </c>
      <c r="F51" s="466" t="s">
        <v>41</v>
      </c>
      <c r="G51" s="466">
        <v>2021</v>
      </c>
      <c r="H51" s="466" t="s">
        <v>8</v>
      </c>
      <c r="I51" s="491">
        <f>P25</f>
        <v>74226270</v>
      </c>
      <c r="R51" s="468"/>
      <c r="S51" s="534"/>
      <c r="T51" s="534"/>
      <c r="U51" s="86"/>
      <c r="V51"/>
      <c r="W51" s="278"/>
    </row>
    <row r="52" spans="1:23" s="465" customFormat="1" ht="43.2">
      <c r="A52" s="471" t="str">
        <f>H23</f>
        <v>RCR56</v>
      </c>
      <c r="B52" s="505" t="str">
        <f>I23</f>
        <v>Time savings due to improved road infrastructures (dėl patobulintos kelių infrastruktūros sutaupytas laikas)</v>
      </c>
      <c r="C52" s="508" t="str">
        <f>L23</f>
        <v>man-days/year</v>
      </c>
      <c r="D52" s="467">
        <f>M23+M29</f>
        <v>0</v>
      </c>
      <c r="E52" s="507" t="s">
        <v>84</v>
      </c>
      <c r="F52" s="466" t="s">
        <v>297</v>
      </c>
      <c r="G52" s="466" t="str">
        <f>N29</f>
        <v>2021</v>
      </c>
      <c r="H52" s="466" t="s">
        <v>8</v>
      </c>
      <c r="I52" s="491">
        <f>P23+P29</f>
        <v>87152</v>
      </c>
      <c r="R52" s="468"/>
      <c r="S52" s="534"/>
      <c r="T52" s="534"/>
      <c r="U52" s="86"/>
      <c r="V52"/>
      <c r="W52" s="278"/>
    </row>
    <row r="53" spans="1:23" s="465" customFormat="1" ht="43.2">
      <c r="A53" s="471" t="str">
        <f>H26</f>
        <v>RCR56</v>
      </c>
      <c r="B53" s="505" t="str">
        <f>I26</f>
        <v>Time savings due to improved road infrastructures (dėl patobulintos kelių infrastruktūros sutaupytas laikas)</v>
      </c>
      <c r="C53" s="508" t="str">
        <f>L26</f>
        <v xml:space="preserve">
man-days/year</v>
      </c>
      <c r="D53" s="467">
        <f>M26</f>
        <v>0</v>
      </c>
      <c r="E53" s="512" t="s">
        <v>426</v>
      </c>
      <c r="F53" s="466" t="s">
        <v>41</v>
      </c>
      <c r="G53" s="466">
        <v>2021</v>
      </c>
      <c r="H53" s="466" t="s">
        <v>8</v>
      </c>
      <c r="I53" s="491">
        <f>P26</f>
        <v>25886</v>
      </c>
      <c r="R53" s="468"/>
      <c r="S53" s="534"/>
      <c r="T53" s="534"/>
      <c r="U53" s="86"/>
      <c r="V53"/>
      <c r="W53" s="278"/>
    </row>
    <row r="54" spans="1:23" s="465" customFormat="1" ht="28.8">
      <c r="A54" s="493" t="str">
        <f>H30</f>
        <v>Specific output</v>
      </c>
      <c r="B54" s="505" t="str">
        <f>I30</f>
        <v>Traffic control systems installed on roads (Įdiegtos eismo kontrolės sistemos keliuose)</v>
      </c>
      <c r="C54" s="466" t="str">
        <f>L30</f>
        <v>Number</v>
      </c>
      <c r="D54" s="466" t="str">
        <f>M30</f>
        <v>0</v>
      </c>
      <c r="E54" s="507" t="s">
        <v>84</v>
      </c>
      <c r="F54" s="466" t="s">
        <v>297</v>
      </c>
      <c r="G54" s="509" t="s">
        <v>8</v>
      </c>
      <c r="H54" s="466">
        <f>O30</f>
        <v>0</v>
      </c>
      <c r="I54" s="492">
        <f>P30</f>
        <v>113</v>
      </c>
      <c r="R54" s="468"/>
      <c r="S54" s="534"/>
      <c r="T54" s="534"/>
      <c r="U54" s="86"/>
      <c r="V54"/>
      <c r="W54" s="278"/>
    </row>
    <row r="55" spans="1:23" s="465" customFormat="1" ht="43.2">
      <c r="A55" s="554" t="str">
        <f>H32</f>
        <v>RCO54</v>
      </c>
      <c r="B55" s="555" t="str">
        <f>I32</f>
        <v>New or modernised intermodal connections (naujos arba modernizuotos įvairiarūšės jungtys)</v>
      </c>
      <c r="C55" s="560" t="str">
        <f>L32</f>
        <v>intermodal connections</v>
      </c>
      <c r="D55" s="556" t="str">
        <f>M32</f>
        <v>0</v>
      </c>
      <c r="E55" s="556" t="s">
        <v>84</v>
      </c>
      <c r="F55" s="556" t="s">
        <v>297</v>
      </c>
      <c r="G55" s="557" t="s">
        <v>8</v>
      </c>
      <c r="H55" s="556">
        <f t="shared" ref="H55:I55" si="4">O32</f>
        <v>0</v>
      </c>
      <c r="I55" s="558" t="str">
        <f t="shared" si="4"/>
        <v>1</v>
      </c>
      <c r="R55" s="468"/>
      <c r="S55" s="534"/>
      <c r="T55" s="534"/>
      <c r="U55" s="86"/>
      <c r="V55"/>
      <c r="W55" s="278"/>
    </row>
    <row r="56" spans="1:23" s="465" customFormat="1" ht="43.2">
      <c r="A56" s="559" t="s">
        <v>453</v>
      </c>
      <c r="B56" s="560" t="s">
        <v>443</v>
      </c>
      <c r="C56" s="560" t="s">
        <v>430</v>
      </c>
      <c r="D56" s="668">
        <v>4802.25</v>
      </c>
      <c r="E56" s="556" t="s">
        <v>84</v>
      </c>
      <c r="F56" s="556" t="s">
        <v>297</v>
      </c>
      <c r="G56" s="556">
        <v>2020</v>
      </c>
      <c r="H56" s="556" t="s">
        <v>8</v>
      </c>
      <c r="I56" s="669">
        <f>P33</f>
        <v>299225</v>
      </c>
      <c r="R56" s="468"/>
      <c r="S56" s="534"/>
      <c r="T56" s="534"/>
      <c r="U56" s="86"/>
      <c r="V56"/>
      <c r="W56" s="278"/>
    </row>
    <row r="57" spans="1:23" s="465" customFormat="1" ht="54.75" customHeight="1">
      <c r="A57" s="514" t="s">
        <v>453</v>
      </c>
      <c r="B57" s="505" t="s">
        <v>359</v>
      </c>
      <c r="C57" s="466" t="s">
        <v>305</v>
      </c>
      <c r="D57" s="466" t="s">
        <v>432</v>
      </c>
      <c r="E57" s="507" t="s">
        <v>84</v>
      </c>
      <c r="F57" s="466" t="s">
        <v>297</v>
      </c>
      <c r="G57" s="466" t="s">
        <v>270</v>
      </c>
      <c r="H57" s="466" t="s">
        <v>8</v>
      </c>
      <c r="I57" s="492" t="str">
        <f>P31</f>
        <v>26</v>
      </c>
      <c r="R57" s="468"/>
      <c r="S57" s="534"/>
      <c r="T57" s="534"/>
      <c r="U57" s="86"/>
      <c r="V57"/>
      <c r="W57" s="278"/>
    </row>
    <row r="58" spans="1:23" s="465" customFormat="1" ht="58.2" thickBot="1">
      <c r="A58" s="659" t="s">
        <v>141</v>
      </c>
      <c r="B58" s="660" t="s">
        <v>469</v>
      </c>
      <c r="C58" s="661" t="s">
        <v>299</v>
      </c>
      <c r="D58" s="661">
        <v>0</v>
      </c>
      <c r="E58" s="662" t="s">
        <v>84</v>
      </c>
      <c r="F58" s="661" t="s">
        <v>297</v>
      </c>
      <c r="G58" s="661" t="s">
        <v>123</v>
      </c>
      <c r="H58" s="661">
        <v>0</v>
      </c>
      <c r="I58" s="663">
        <f>P17</f>
        <v>1</v>
      </c>
      <c r="R58" s="468"/>
      <c r="S58" s="534"/>
      <c r="T58" s="534"/>
      <c r="U58" s="86"/>
      <c r="V58"/>
      <c r="W58" s="278"/>
    </row>
    <row r="59" spans="1:23">
      <c r="D59" s="495">
        <f>SUM(D41:D58)</f>
        <v>409087786.25</v>
      </c>
      <c r="H59" s="119">
        <f>SUM(H41:H58)</f>
        <v>85.09</v>
      </c>
      <c r="I59" s="119">
        <f>SUM(I41:I58)</f>
        <v>430858683.08999997</v>
      </c>
      <c r="J59" s="119" t="b">
        <f>I59=P34</f>
        <v>1</v>
      </c>
    </row>
  </sheetData>
  <mergeCells count="91">
    <mergeCell ref="T4:T5"/>
    <mergeCell ref="T32:T33"/>
    <mergeCell ref="F13:F16"/>
    <mergeCell ref="J6:J12"/>
    <mergeCell ref="V6:V12"/>
    <mergeCell ref="K24:K26"/>
    <mergeCell ref="J17:J18"/>
    <mergeCell ref="K17:K18"/>
    <mergeCell ref="K13:K16"/>
    <mergeCell ref="K19:K20"/>
    <mergeCell ref="G21:G23"/>
    <mergeCell ref="G24:G26"/>
    <mergeCell ref="J21:J23"/>
    <mergeCell ref="J24:J26"/>
    <mergeCell ref="J19:J20"/>
    <mergeCell ref="K21:K23"/>
    <mergeCell ref="A4:A5"/>
    <mergeCell ref="C4:C5"/>
    <mergeCell ref="G4:G5"/>
    <mergeCell ref="A6:A20"/>
    <mergeCell ref="C19:C20"/>
    <mergeCell ref="D4:F4"/>
    <mergeCell ref="B4:B5"/>
    <mergeCell ref="G6:G7"/>
    <mergeCell ref="D19:D20"/>
    <mergeCell ref="E19:E20"/>
    <mergeCell ref="F19:F20"/>
    <mergeCell ref="G19:G20"/>
    <mergeCell ref="B6:B20"/>
    <mergeCell ref="G15:G16"/>
    <mergeCell ref="C6:C12"/>
    <mergeCell ref="E6:E12"/>
    <mergeCell ref="E24:E26"/>
    <mergeCell ref="E21:E23"/>
    <mergeCell ref="E13:E16"/>
    <mergeCell ref="D13:D16"/>
    <mergeCell ref="D6:D12"/>
    <mergeCell ref="G30:G31"/>
    <mergeCell ref="F24:F26"/>
    <mergeCell ref="F21:F23"/>
    <mergeCell ref="G10:G12"/>
    <mergeCell ref="A32:A33"/>
    <mergeCell ref="C32:C33"/>
    <mergeCell ref="D32:D33"/>
    <mergeCell ref="A21:A31"/>
    <mergeCell ref="C21:C23"/>
    <mergeCell ref="D21:D26"/>
    <mergeCell ref="C24:C26"/>
    <mergeCell ref="B21:B31"/>
    <mergeCell ref="B32:B33"/>
    <mergeCell ref="C27:C29"/>
    <mergeCell ref="D27:D29"/>
    <mergeCell ref="C30:C31"/>
    <mergeCell ref="D30:D31"/>
    <mergeCell ref="Q4:Q5"/>
    <mergeCell ref="K6:K12"/>
    <mergeCell ref="E32:E33"/>
    <mergeCell ref="F32:F33"/>
    <mergeCell ref="F30:F31"/>
    <mergeCell ref="K32:K33"/>
    <mergeCell ref="G27:G29"/>
    <mergeCell ref="K30:K31"/>
    <mergeCell ref="J32:J33"/>
    <mergeCell ref="G32:G33"/>
    <mergeCell ref="F27:F29"/>
    <mergeCell ref="E27:E29"/>
    <mergeCell ref="K27:K29"/>
    <mergeCell ref="J27:J29"/>
    <mergeCell ref="E30:E31"/>
    <mergeCell ref="R4:R5"/>
    <mergeCell ref="J30:J31"/>
    <mergeCell ref="P4:P5"/>
    <mergeCell ref="J4:J5"/>
    <mergeCell ref="M4:N4"/>
    <mergeCell ref="O4:O5"/>
    <mergeCell ref="H4:I4"/>
    <mergeCell ref="G8:G9"/>
    <mergeCell ref="U19:U20"/>
    <mergeCell ref="C13:C16"/>
    <mergeCell ref="J13:J16"/>
    <mergeCell ref="S4:S5"/>
    <mergeCell ref="C17:C18"/>
    <mergeCell ref="D17:D18"/>
    <mergeCell ref="E17:E18"/>
    <mergeCell ref="F17:F18"/>
    <mergeCell ref="G17:G18"/>
    <mergeCell ref="L4:L5"/>
    <mergeCell ref="K4:K5"/>
    <mergeCell ref="F6:F12"/>
    <mergeCell ref="G13:G14"/>
    <mergeCell ref="U4:U5"/>
  </mergeCells>
  <phoneticPr fontId="50" type="noConversion"/>
  <pageMargins left="0.7" right="0.7" top="0.75" bottom="0.75" header="0.3" footer="0.3"/>
  <pageSetup paperSize="9" scale="1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4"/>
  <sheetViews>
    <sheetView zoomScale="55" zoomScaleNormal="55" workbookViewId="0">
      <selection activeCell="M18" sqref="M18"/>
    </sheetView>
  </sheetViews>
  <sheetFormatPr defaultRowHeight="14.4"/>
  <cols>
    <col min="1" max="1" width="24.5546875" customWidth="1"/>
    <col min="2" max="2" width="17.88671875" customWidth="1"/>
    <col min="3" max="3" width="17.109375" customWidth="1"/>
    <col min="4" max="4" width="15.33203125" customWidth="1"/>
    <col min="5" max="5" width="17.33203125" customWidth="1"/>
    <col min="6" max="6" width="14.88671875" customWidth="1"/>
    <col min="7" max="7" width="17.6640625" customWidth="1"/>
    <col min="8" max="8" width="12.5546875" customWidth="1"/>
    <col min="9" max="9" width="26.33203125" customWidth="1"/>
    <col min="10" max="10" width="13.6640625" customWidth="1"/>
    <col min="12" max="12" width="20" customWidth="1"/>
    <col min="13" max="13" width="16" customWidth="1"/>
    <col min="14" max="14" width="17.33203125" customWidth="1"/>
    <col min="15" max="15" width="17" customWidth="1"/>
    <col min="16" max="16" width="20.88671875" customWidth="1"/>
    <col min="17" max="17" width="37" customWidth="1"/>
    <col min="18" max="18" width="92.6640625" customWidth="1"/>
    <col min="19" max="19" width="81" customWidth="1"/>
    <col min="20" max="20" width="60.5546875" customWidth="1"/>
    <col min="21" max="21" width="14.109375" style="119" bestFit="1" customWidth="1"/>
    <col min="22" max="23" width="8.88671875" style="119"/>
    <col min="24" max="24" width="10.44140625" bestFit="1" customWidth="1"/>
  </cols>
  <sheetData>
    <row r="1" spans="1:37">
      <c r="A1" s="10"/>
      <c r="L1" s="134"/>
    </row>
    <row r="4" spans="1:37" ht="15" thickBot="1">
      <c r="A4" s="10" t="s">
        <v>35</v>
      </c>
    </row>
    <row r="5" spans="1:37" ht="15" customHeight="1">
      <c r="A5" s="963" t="s">
        <v>0</v>
      </c>
      <c r="B5" s="904" t="s">
        <v>132</v>
      </c>
      <c r="C5" s="910" t="s">
        <v>133</v>
      </c>
      <c r="D5" s="958" t="s">
        <v>4</v>
      </c>
      <c r="E5" s="958"/>
      <c r="F5" s="958"/>
      <c r="G5" s="961" t="s">
        <v>18</v>
      </c>
      <c r="H5" s="959" t="s">
        <v>145</v>
      </c>
      <c r="I5" s="959"/>
      <c r="J5" s="958" t="s">
        <v>15</v>
      </c>
      <c r="K5" s="958" t="s">
        <v>14</v>
      </c>
      <c r="L5" s="958" t="s">
        <v>1</v>
      </c>
      <c r="M5" s="958" t="s">
        <v>146</v>
      </c>
      <c r="N5" s="958"/>
      <c r="O5" s="961" t="s">
        <v>2</v>
      </c>
      <c r="P5" s="958" t="s">
        <v>3</v>
      </c>
      <c r="Q5" s="958" t="s">
        <v>147</v>
      </c>
      <c r="R5" s="956" t="s">
        <v>148</v>
      </c>
      <c r="S5" s="148"/>
      <c r="T5" s="148"/>
      <c r="U5" s="198"/>
      <c r="V5" s="198"/>
      <c r="W5" s="198"/>
      <c r="X5" s="148"/>
      <c r="Y5" s="148"/>
      <c r="Z5" s="148"/>
      <c r="AA5" s="148"/>
      <c r="AB5" s="11"/>
      <c r="AC5" s="11"/>
      <c r="AD5" s="11"/>
      <c r="AE5" s="11"/>
      <c r="AF5" s="11"/>
      <c r="AG5" s="11"/>
      <c r="AH5" s="11"/>
      <c r="AI5" s="11"/>
      <c r="AJ5" s="11"/>
      <c r="AK5" s="11"/>
    </row>
    <row r="6" spans="1:37" ht="84" customHeight="1" thickBot="1">
      <c r="A6" s="964"/>
      <c r="B6" s="905"/>
      <c r="C6" s="911"/>
      <c r="D6" s="159" t="s">
        <v>7</v>
      </c>
      <c r="E6" s="160" t="s">
        <v>17</v>
      </c>
      <c r="F6" s="161" t="s">
        <v>149</v>
      </c>
      <c r="G6" s="962"/>
      <c r="H6" s="159" t="s">
        <v>5</v>
      </c>
      <c r="I6" s="159" t="s">
        <v>6</v>
      </c>
      <c r="J6" s="960"/>
      <c r="K6" s="960"/>
      <c r="L6" s="960"/>
      <c r="M6" s="159" t="s">
        <v>150</v>
      </c>
      <c r="N6" s="159" t="s">
        <v>151</v>
      </c>
      <c r="O6" s="962"/>
      <c r="P6" s="960"/>
      <c r="Q6" s="960"/>
      <c r="R6" s="957"/>
      <c r="S6" s="148"/>
      <c r="T6" s="148"/>
      <c r="U6" s="198"/>
      <c r="V6" s="198"/>
      <c r="W6" s="198"/>
      <c r="X6" s="148"/>
      <c r="Y6" s="148"/>
      <c r="Z6" s="148"/>
      <c r="AA6" s="148"/>
      <c r="AB6" s="11"/>
      <c r="AC6" s="11"/>
      <c r="AD6" s="11"/>
      <c r="AE6" s="11"/>
      <c r="AF6" s="11"/>
      <c r="AG6" s="11"/>
      <c r="AH6" s="11"/>
      <c r="AI6" s="11"/>
      <c r="AJ6" s="11"/>
      <c r="AK6" s="11"/>
    </row>
    <row r="7" spans="1:37" ht="42" hidden="1" customHeight="1">
      <c r="A7" s="950"/>
      <c r="B7" s="175"/>
      <c r="C7" s="941">
        <f>'[1]Intervencijų lėšos'!I8</f>
        <v>10000000</v>
      </c>
      <c r="D7" s="943" t="s">
        <v>137</v>
      </c>
      <c r="E7" s="945">
        <f>(C7*100/70)-C7</f>
        <v>4285714.2857142854</v>
      </c>
      <c r="F7" s="947">
        <f>C7+E7</f>
        <v>14285714.285714285</v>
      </c>
      <c r="G7" s="166">
        <f>F7</f>
        <v>14285714.285714285</v>
      </c>
      <c r="H7" s="167" t="s">
        <v>57</v>
      </c>
      <c r="I7" s="167" t="s">
        <v>58</v>
      </c>
      <c r="J7" s="168" t="s">
        <v>120</v>
      </c>
      <c r="K7" s="168" t="s">
        <v>23</v>
      </c>
      <c r="L7" s="167" t="s">
        <v>80</v>
      </c>
      <c r="M7" s="167"/>
      <c r="N7" s="167"/>
      <c r="O7" s="169"/>
      <c r="P7" s="167"/>
      <c r="Q7" s="167" t="s">
        <v>34</v>
      </c>
      <c r="R7" s="165"/>
      <c r="S7" s="148"/>
      <c r="T7" s="148"/>
      <c r="U7" s="198"/>
      <c r="V7" s="198"/>
      <c r="W7" s="198"/>
      <c r="X7" s="148"/>
      <c r="Y7" s="148"/>
      <c r="Z7" s="148"/>
      <c r="AA7" s="148"/>
      <c r="AB7" s="11"/>
      <c r="AC7" s="11"/>
      <c r="AD7" s="11"/>
      <c r="AE7" s="11"/>
      <c r="AF7" s="11"/>
      <c r="AG7" s="11"/>
      <c r="AH7" s="11"/>
      <c r="AI7" s="11"/>
      <c r="AJ7" s="11"/>
      <c r="AK7" s="11"/>
    </row>
    <row r="8" spans="1:37" ht="35.4" hidden="1" customHeight="1">
      <c r="A8" s="951"/>
      <c r="B8" s="176"/>
      <c r="C8" s="942"/>
      <c r="D8" s="944"/>
      <c r="E8" s="946"/>
      <c r="F8" s="942"/>
      <c r="G8" s="170"/>
      <c r="H8" s="171"/>
      <c r="I8" s="171"/>
      <c r="J8" s="171"/>
      <c r="K8" s="171"/>
      <c r="L8" s="171"/>
      <c r="M8" s="171"/>
      <c r="N8" s="171"/>
      <c r="O8" s="172"/>
      <c r="P8" s="171"/>
      <c r="Q8" s="171" t="s">
        <v>34</v>
      </c>
      <c r="R8" s="173"/>
      <c r="S8" s="148"/>
      <c r="T8" s="148"/>
      <c r="U8" s="198"/>
      <c r="V8" s="198"/>
      <c r="W8" s="198"/>
      <c r="X8" s="148"/>
      <c r="Y8" s="148"/>
      <c r="Z8" s="148"/>
      <c r="AA8" s="148"/>
      <c r="AB8" s="11"/>
      <c r="AC8" s="11"/>
      <c r="AD8" s="11"/>
      <c r="AE8" s="11"/>
      <c r="AF8" s="11"/>
      <c r="AG8" s="11"/>
      <c r="AH8" s="11"/>
      <c r="AI8" s="11"/>
      <c r="AJ8" s="11"/>
      <c r="AK8" s="11"/>
    </row>
    <row r="9" spans="1:37" s="122" customFormat="1" ht="90" customHeight="1">
      <c r="A9" s="1109" t="s">
        <v>311</v>
      </c>
      <c r="B9" s="1111">
        <f>F9</f>
        <v>11764705.882352941</v>
      </c>
      <c r="C9" s="1111">
        <v>10000000</v>
      </c>
      <c r="D9" s="1113" t="s">
        <v>279</v>
      </c>
      <c r="E9" s="1111">
        <f>C9/0.85*0.15</f>
        <v>1764705.882352941</v>
      </c>
      <c r="F9" s="1111">
        <f>C9+E9</f>
        <v>11764705.882352941</v>
      </c>
      <c r="G9" s="1111">
        <f>F9</f>
        <v>11764705.882352941</v>
      </c>
      <c r="H9" s="433" t="s">
        <v>121</v>
      </c>
      <c r="I9" s="266" t="s">
        <v>118</v>
      </c>
      <c r="J9" s="1115" t="s">
        <v>45</v>
      </c>
      <c r="K9" s="1113" t="s">
        <v>41</v>
      </c>
      <c r="L9" s="266" t="s">
        <v>115</v>
      </c>
      <c r="M9" s="266" t="s">
        <v>42</v>
      </c>
      <c r="N9" s="266" t="s">
        <v>46</v>
      </c>
      <c r="O9" s="434">
        <f>P9*0.1</f>
        <v>6.8000000000000007</v>
      </c>
      <c r="P9" s="266" t="s">
        <v>144</v>
      </c>
      <c r="Q9" s="266" t="s">
        <v>34</v>
      </c>
      <c r="R9" s="435" t="s">
        <v>301</v>
      </c>
      <c r="S9" s="448" t="s">
        <v>302</v>
      </c>
      <c r="T9" s="1117" t="s">
        <v>295</v>
      </c>
      <c r="U9" s="217"/>
      <c r="V9" s="217"/>
      <c r="W9" s="197"/>
      <c r="X9" s="197"/>
      <c r="Y9" s="120"/>
      <c r="Z9" s="120"/>
      <c r="AA9" s="120"/>
      <c r="AB9" s="121"/>
      <c r="AC9" s="121"/>
      <c r="AD9" s="121"/>
      <c r="AE9" s="121"/>
      <c r="AF9" s="121"/>
      <c r="AG9" s="121"/>
      <c r="AH9" s="121"/>
      <c r="AI9" s="121"/>
      <c r="AJ9" s="121"/>
      <c r="AK9" s="121"/>
    </row>
    <row r="10" spans="1:37" s="122" customFormat="1" ht="163.19999999999999" customHeight="1" thickBot="1">
      <c r="A10" s="1110"/>
      <c r="B10" s="1112"/>
      <c r="C10" s="1112"/>
      <c r="D10" s="1114"/>
      <c r="E10" s="1112"/>
      <c r="F10" s="1112"/>
      <c r="G10" s="1112"/>
      <c r="H10" s="436" t="s">
        <v>122</v>
      </c>
      <c r="I10" s="144" t="s">
        <v>119</v>
      </c>
      <c r="J10" s="1116"/>
      <c r="K10" s="1114"/>
      <c r="L10" s="144" t="s">
        <v>154</v>
      </c>
      <c r="M10" s="265">
        <f>369450*0.069</f>
        <v>25492.050000000003</v>
      </c>
      <c r="N10" s="144" t="s">
        <v>123</v>
      </c>
      <c r="O10" s="437" t="s">
        <v>8</v>
      </c>
      <c r="P10" s="265">
        <f>341224*0.128</f>
        <v>43676.671999999999</v>
      </c>
      <c r="Q10" s="144" t="s">
        <v>34</v>
      </c>
      <c r="R10" s="438" t="s">
        <v>280</v>
      </c>
      <c r="S10" s="449" t="s">
        <v>303</v>
      </c>
      <c r="T10" s="1117"/>
      <c r="U10" s="197"/>
      <c r="V10" s="197"/>
      <c r="W10" s="197"/>
      <c r="X10" s="120"/>
      <c r="Y10" s="120"/>
      <c r="Z10" s="120"/>
      <c r="AA10" s="120"/>
      <c r="AB10" s="121"/>
      <c r="AC10" s="121"/>
      <c r="AD10" s="121"/>
      <c r="AE10" s="121"/>
      <c r="AF10" s="121"/>
      <c r="AG10" s="121"/>
      <c r="AH10" s="121"/>
      <c r="AI10" s="121"/>
      <c r="AJ10" s="121"/>
      <c r="AK10" s="121"/>
    </row>
    <row r="11" spans="1:37" s="119" customFormat="1">
      <c r="A11"/>
      <c r="C11" s="119" t="e">
        <f>#REF!+#REF!</f>
        <v>#REF!</v>
      </c>
      <c r="D11"/>
      <c r="E11"/>
      <c r="F11"/>
      <c r="G11"/>
      <c r="H11"/>
      <c r="I11"/>
      <c r="J11"/>
      <c r="K11"/>
      <c r="L11"/>
      <c r="M11"/>
      <c r="N11"/>
      <c r="O11"/>
      <c r="P11"/>
      <c r="Q11"/>
      <c r="R11"/>
      <c r="S11"/>
      <c r="T11"/>
      <c r="X11"/>
      <c r="Y11"/>
      <c r="Z11"/>
      <c r="AA11"/>
      <c r="AB11"/>
      <c r="AC11"/>
      <c r="AD11"/>
      <c r="AE11"/>
      <c r="AF11"/>
      <c r="AG11"/>
      <c r="AH11"/>
      <c r="AI11"/>
      <c r="AJ11"/>
      <c r="AK11"/>
    </row>
    <row r="12" spans="1:37" s="119" customFormat="1">
      <c r="A12"/>
      <c r="B12"/>
      <c r="C12" s="119">
        <f>C9</f>
        <v>10000000</v>
      </c>
      <c r="D12"/>
      <c r="E12"/>
      <c r="F12"/>
      <c r="G12"/>
      <c r="H12"/>
      <c r="I12"/>
      <c r="J12"/>
      <c r="K12"/>
      <c r="L12"/>
      <c r="M12"/>
      <c r="N12"/>
      <c r="O12"/>
      <c r="P12"/>
      <c r="Q12"/>
      <c r="R12"/>
      <c r="S12"/>
      <c r="T12"/>
      <c r="X12"/>
      <c r="Y12"/>
      <c r="Z12"/>
      <c r="AA12"/>
      <c r="AB12"/>
      <c r="AC12"/>
      <c r="AD12"/>
      <c r="AE12"/>
      <c r="AF12"/>
      <c r="AG12"/>
      <c r="AH12"/>
      <c r="AI12"/>
      <c r="AJ12"/>
      <c r="AK12"/>
    </row>
    <row r="13" spans="1:37" s="119" customFormat="1">
      <c r="A13"/>
      <c r="B13"/>
      <c r="C13" s="119" t="e">
        <f>#REF!+#REF!</f>
        <v>#REF!</v>
      </c>
      <c r="D13"/>
      <c r="E13"/>
      <c r="F13"/>
      <c r="G13"/>
      <c r="H13"/>
      <c r="I13"/>
      <c r="J13"/>
      <c r="K13"/>
      <c r="L13"/>
      <c r="M13"/>
      <c r="N13"/>
      <c r="O13"/>
      <c r="P13"/>
      <c r="Q13"/>
      <c r="R13"/>
      <c r="S13"/>
      <c r="T13"/>
      <c r="X13"/>
      <c r="Y13"/>
      <c r="Z13"/>
      <c r="AA13"/>
      <c r="AB13"/>
      <c r="AC13"/>
      <c r="AD13"/>
      <c r="AE13"/>
      <c r="AF13"/>
      <c r="AG13"/>
      <c r="AH13"/>
      <c r="AI13"/>
      <c r="AJ13"/>
      <c r="AK13"/>
    </row>
    <row r="16" spans="1:37" ht="43.2">
      <c r="A16" s="15" t="s">
        <v>5</v>
      </c>
      <c r="B16" s="27" t="s">
        <v>6</v>
      </c>
      <c r="C16" s="15" t="s">
        <v>1</v>
      </c>
      <c r="D16" s="15" t="s">
        <v>9</v>
      </c>
      <c r="E16" s="15" t="s">
        <v>15</v>
      </c>
      <c r="F16" s="15" t="s">
        <v>14</v>
      </c>
      <c r="G16" s="15" t="s">
        <v>10</v>
      </c>
      <c r="H16" s="15" t="s">
        <v>2</v>
      </c>
      <c r="I16" s="15" t="s">
        <v>3</v>
      </c>
      <c r="J16" s="53"/>
      <c r="K16" s="52"/>
      <c r="N16" s="66"/>
      <c r="O16" s="66"/>
      <c r="T16" s="119"/>
      <c r="W16"/>
    </row>
    <row r="17" spans="1:37" s="119" customFormat="1" ht="43.2">
      <c r="A17" s="123" t="s">
        <v>121</v>
      </c>
      <c r="B17" s="146" t="s">
        <v>118</v>
      </c>
      <c r="C17" s="194" t="s">
        <v>115</v>
      </c>
      <c r="D17" s="193" t="str">
        <f>M9</f>
        <v>0</v>
      </c>
      <c r="E17" s="146" t="str">
        <f>J9</f>
        <v>Midle- west Lithuania region</v>
      </c>
      <c r="F17" s="146" t="str">
        <f>K9</f>
        <v>ERDF</v>
      </c>
      <c r="G17" s="14">
        <v>2021</v>
      </c>
      <c r="H17" s="138">
        <f>O9</f>
        <v>6.8000000000000007</v>
      </c>
      <c r="I17" s="138" t="str">
        <f>P9</f>
        <v xml:space="preserve">68             </v>
      </c>
      <c r="J17" s="776"/>
      <c r="K17"/>
      <c r="L17"/>
      <c r="M17"/>
      <c r="N17"/>
      <c r="O17"/>
      <c r="P17"/>
      <c r="Q17"/>
      <c r="R17"/>
      <c r="S17"/>
      <c r="T17"/>
      <c r="X17"/>
      <c r="Y17"/>
      <c r="Z17"/>
      <c r="AA17"/>
      <c r="AB17"/>
      <c r="AC17"/>
      <c r="AD17"/>
      <c r="AE17"/>
      <c r="AF17"/>
      <c r="AG17"/>
      <c r="AH17"/>
      <c r="AI17"/>
      <c r="AJ17"/>
      <c r="AK17"/>
    </row>
    <row r="18" spans="1:37" s="119" customFormat="1" ht="43.2">
      <c r="A18" s="123" t="s">
        <v>122</v>
      </c>
      <c r="B18" s="146" t="s">
        <v>119</v>
      </c>
      <c r="C18" s="123" t="str">
        <f>L10</f>
        <v>Users/Year</v>
      </c>
      <c r="D18" s="138">
        <f>M10</f>
        <v>25492.050000000003</v>
      </c>
      <c r="E18" s="14" t="s">
        <v>50</v>
      </c>
      <c r="F18" s="14" t="s">
        <v>23</v>
      </c>
      <c r="G18" s="14">
        <v>2021</v>
      </c>
      <c r="H18" s="193" t="str">
        <f>O10</f>
        <v>n/a</v>
      </c>
      <c r="I18" s="138">
        <f>P10</f>
        <v>43676.671999999999</v>
      </c>
      <c r="J18" s="776"/>
      <c r="K18"/>
      <c r="L18"/>
      <c r="M18"/>
      <c r="N18"/>
      <c r="O18"/>
      <c r="P18"/>
      <c r="Q18"/>
      <c r="R18"/>
      <c r="S18"/>
      <c r="T18"/>
      <c r="X18"/>
      <c r="Y18"/>
      <c r="Z18"/>
      <c r="AA18"/>
      <c r="AB18"/>
      <c r="AC18"/>
      <c r="AD18"/>
      <c r="AE18"/>
      <c r="AF18"/>
      <c r="AG18"/>
      <c r="AH18"/>
      <c r="AI18"/>
      <c r="AJ18"/>
      <c r="AK18"/>
    </row>
    <row r="19" spans="1:37" s="119" customFormat="1">
      <c r="A19" s="3"/>
      <c r="B19" s="3"/>
      <c r="C19" s="3"/>
      <c r="D19" s="4"/>
      <c r="E19" s="3"/>
      <c r="F19" s="3"/>
      <c r="G19" s="3"/>
      <c r="H19" s="3"/>
      <c r="I19" s="3"/>
      <c r="J19" s="776"/>
      <c r="K19"/>
      <c r="L19"/>
      <c r="M19"/>
      <c r="N19"/>
      <c r="O19"/>
      <c r="P19"/>
      <c r="Q19"/>
      <c r="R19"/>
      <c r="S19"/>
      <c r="T19"/>
      <c r="X19"/>
      <c r="Y19"/>
      <c r="Z19"/>
      <c r="AA19"/>
      <c r="AB19"/>
      <c r="AC19"/>
      <c r="AD19"/>
      <c r="AE19"/>
      <c r="AF19"/>
      <c r="AG19"/>
      <c r="AH19"/>
      <c r="AI19"/>
      <c r="AJ19"/>
      <c r="AK19"/>
    </row>
    <row r="20" spans="1:37" s="119" customFormat="1">
      <c r="A20" s="3"/>
      <c r="B20" s="3"/>
      <c r="C20" s="3"/>
      <c r="D20" s="4"/>
      <c r="E20" s="3"/>
      <c r="F20" s="3"/>
      <c r="G20" s="3"/>
      <c r="H20" s="3"/>
      <c r="I20" s="3"/>
      <c r="J20" s="776"/>
      <c r="K20"/>
      <c r="L20"/>
      <c r="M20"/>
      <c r="N20"/>
      <c r="O20"/>
      <c r="P20"/>
      <c r="Q20"/>
      <c r="R20"/>
      <c r="S20"/>
      <c r="T20"/>
      <c r="X20"/>
      <c r="Y20"/>
      <c r="Z20"/>
      <c r="AA20"/>
      <c r="AB20"/>
      <c r="AC20"/>
      <c r="AD20"/>
      <c r="AE20"/>
      <c r="AF20"/>
      <c r="AG20"/>
      <c r="AH20"/>
      <c r="AI20"/>
      <c r="AJ20"/>
      <c r="AK20"/>
    </row>
    <row r="21" spans="1:37" s="119" customFormat="1">
      <c r="A21" s="3"/>
      <c r="B21" s="3"/>
      <c r="C21" s="3"/>
      <c r="D21" s="4"/>
      <c r="E21" s="3"/>
      <c r="F21" s="3"/>
      <c r="G21" s="3"/>
      <c r="H21" s="3"/>
      <c r="I21" s="3"/>
      <c r="J21" s="776"/>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776"/>
    </row>
    <row r="23" spans="1:37">
      <c r="A23" s="3"/>
      <c r="B23" s="3"/>
      <c r="C23" s="3"/>
      <c r="D23" s="4"/>
      <c r="E23" s="3"/>
      <c r="F23" s="3"/>
      <c r="G23" s="3"/>
      <c r="H23" s="3"/>
      <c r="I23" s="3"/>
      <c r="J23" s="776"/>
    </row>
    <row r="24" spans="1:37">
      <c r="A24" s="3"/>
      <c r="B24" s="3"/>
      <c r="C24" s="3"/>
      <c r="D24" s="4"/>
      <c r="E24" s="3"/>
      <c r="F24" s="3"/>
      <c r="G24" s="3"/>
      <c r="H24" s="3"/>
      <c r="I24" s="3"/>
      <c r="J24" s="776"/>
    </row>
    <row r="25" spans="1:37">
      <c r="A25" s="3"/>
      <c r="B25" s="3"/>
      <c r="C25" s="3"/>
      <c r="D25" s="4"/>
      <c r="E25" s="3"/>
      <c r="F25" s="3"/>
      <c r="G25" s="3"/>
      <c r="H25" s="3"/>
      <c r="I25" s="3"/>
      <c r="J25" s="776"/>
    </row>
    <row r="26" spans="1:37">
      <c r="D26" s="119"/>
    </row>
    <row r="27" spans="1:37">
      <c r="D27" s="119"/>
    </row>
    <row r="28" spans="1:37">
      <c r="D28" s="119"/>
    </row>
    <row r="29" spans="1:37">
      <c r="D29" s="119"/>
    </row>
    <row r="30" spans="1:37">
      <c r="D30" s="119"/>
    </row>
    <row r="31" spans="1:37">
      <c r="D31" s="119"/>
    </row>
    <row r="32" spans="1:37">
      <c r="D32" s="119"/>
    </row>
    <row r="33" spans="4:4">
      <c r="D33" s="119"/>
    </row>
    <row r="34" spans="4:4">
      <c r="D34" s="119"/>
    </row>
  </sheetData>
  <mergeCells count="30">
    <mergeCell ref="G9:G10"/>
    <mergeCell ref="J9:J10"/>
    <mergeCell ref="K9:K10"/>
    <mergeCell ref="T9:T10"/>
    <mergeCell ref="J17:J25"/>
    <mergeCell ref="C7:C8"/>
    <mergeCell ref="D7:D8"/>
    <mergeCell ref="E7:E8"/>
    <mergeCell ref="F7:F8"/>
    <mergeCell ref="A9:A10"/>
    <mergeCell ref="B9:B10"/>
    <mergeCell ref="C9:C10"/>
    <mergeCell ref="D9:D10"/>
    <mergeCell ref="E9:E10"/>
    <mergeCell ref="F9:F10"/>
    <mergeCell ref="A7:A8"/>
    <mergeCell ref="Q5:Q6"/>
    <mergeCell ref="R5:R6"/>
    <mergeCell ref="J5:J6"/>
    <mergeCell ref="K5:K6"/>
    <mergeCell ref="L5:L6"/>
    <mergeCell ref="M5:N5"/>
    <mergeCell ref="O5:O6"/>
    <mergeCell ref="P5:P6"/>
    <mergeCell ref="H5:I5"/>
    <mergeCell ref="A5:A6"/>
    <mergeCell ref="B5:B6"/>
    <mergeCell ref="C5:C6"/>
    <mergeCell ref="D5:F5"/>
    <mergeCell ref="G5:G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activeCell="C13" sqref="C13"/>
    </sheetView>
  </sheetViews>
  <sheetFormatPr defaultColWidth="9.109375" defaultRowHeight="13.8"/>
  <cols>
    <col min="1" max="1" width="9.109375" style="481"/>
    <col min="2" max="2" width="24.88671875" style="481" customWidth="1"/>
    <col min="3" max="3" width="53.5546875" style="481" customWidth="1"/>
    <col min="4" max="16384" width="9.109375" style="481"/>
  </cols>
  <sheetData>
    <row r="1" spans="1:3">
      <c r="A1" s="475" t="s">
        <v>366</v>
      </c>
      <c r="B1" s="476" t="s">
        <v>367</v>
      </c>
      <c r="C1" s="476" t="s">
        <v>368</v>
      </c>
    </row>
    <row r="2" spans="1:3">
      <c r="A2" s="477">
        <v>0</v>
      </c>
      <c r="B2" s="478" t="s">
        <v>369</v>
      </c>
      <c r="C2" s="478" t="s">
        <v>370</v>
      </c>
    </row>
    <row r="3" spans="1:3">
      <c r="A3" s="477">
        <v>1</v>
      </c>
      <c r="B3" s="476" t="s">
        <v>352</v>
      </c>
      <c r="C3" s="476" t="s">
        <v>371</v>
      </c>
    </row>
    <row r="4" spans="1:3" ht="69">
      <c r="A4" s="477">
        <v>2</v>
      </c>
      <c r="B4" s="476" t="s">
        <v>353</v>
      </c>
      <c r="C4" s="479" t="s">
        <v>395</v>
      </c>
    </row>
    <row r="5" spans="1:3">
      <c r="A5" s="477">
        <v>3</v>
      </c>
      <c r="B5" s="478" t="s">
        <v>372</v>
      </c>
      <c r="C5" s="478" t="s">
        <v>298</v>
      </c>
    </row>
    <row r="6" spans="1:3">
      <c r="A6" s="477">
        <v>4</v>
      </c>
      <c r="B6" s="478" t="s">
        <v>373</v>
      </c>
      <c r="C6" s="478" t="s">
        <v>374</v>
      </c>
    </row>
    <row r="7" spans="1:3">
      <c r="A7" s="477">
        <v>5</v>
      </c>
      <c r="B7" s="478" t="s">
        <v>26</v>
      </c>
      <c r="C7" s="480">
        <v>0</v>
      </c>
    </row>
    <row r="8" spans="1:3">
      <c r="A8" s="477">
        <v>6</v>
      </c>
      <c r="B8" s="478" t="s">
        <v>33</v>
      </c>
      <c r="C8" s="478" t="s">
        <v>375</v>
      </c>
    </row>
    <row r="9" spans="1:3">
      <c r="A9" s="477">
        <v>7</v>
      </c>
      <c r="B9" s="478" t="s">
        <v>30</v>
      </c>
      <c r="C9" s="478" t="s">
        <v>376</v>
      </c>
    </row>
    <row r="10" spans="1:3">
      <c r="A10" s="477">
        <v>8</v>
      </c>
      <c r="B10" s="478" t="s">
        <v>377</v>
      </c>
      <c r="C10" s="478" t="s">
        <v>378</v>
      </c>
    </row>
    <row r="11" spans="1:3">
      <c r="A11" s="477">
        <v>9</v>
      </c>
      <c r="B11" s="478" t="s">
        <v>379</v>
      </c>
      <c r="C11" s="478" t="s">
        <v>380</v>
      </c>
    </row>
    <row r="12" spans="1:3" ht="41.25" customHeight="1">
      <c r="A12" s="1118">
        <v>10</v>
      </c>
      <c r="B12" s="1119" t="s">
        <v>381</v>
      </c>
      <c r="C12" s="479" t="s">
        <v>382</v>
      </c>
    </row>
    <row r="13" spans="1:3" ht="91.5" customHeight="1">
      <c r="A13" s="1118"/>
      <c r="B13" s="1119"/>
      <c r="C13" s="479" t="s">
        <v>383</v>
      </c>
    </row>
    <row r="14" spans="1:3" ht="100.5" customHeight="1">
      <c r="A14" s="1118"/>
      <c r="B14" s="1119"/>
      <c r="C14" s="479" t="s">
        <v>384</v>
      </c>
    </row>
    <row r="15" spans="1:3">
      <c r="A15" s="477">
        <v>11</v>
      </c>
      <c r="B15" s="478" t="s">
        <v>385</v>
      </c>
      <c r="C15" s="478" t="s">
        <v>34</v>
      </c>
    </row>
    <row r="16" spans="1:3">
      <c r="A16" s="477">
        <v>12</v>
      </c>
      <c r="B16" s="478" t="s">
        <v>386</v>
      </c>
      <c r="C16" s="478" t="s">
        <v>387</v>
      </c>
    </row>
    <row r="17" spans="1:3">
      <c r="A17" s="477">
        <v>13</v>
      </c>
      <c r="B17" s="478" t="s">
        <v>388</v>
      </c>
      <c r="C17" s="479"/>
    </row>
    <row r="18" spans="1:3" ht="29.25" customHeight="1">
      <c r="A18" s="1118">
        <v>14</v>
      </c>
      <c r="B18" s="1119" t="s">
        <v>389</v>
      </c>
      <c r="C18" s="479" t="s">
        <v>390</v>
      </c>
    </row>
    <row r="19" spans="1:3" ht="34.5" customHeight="1">
      <c r="A19" s="1118"/>
      <c r="B19" s="1119"/>
      <c r="C19" s="479" t="s">
        <v>391</v>
      </c>
    </row>
    <row r="20" spans="1:3">
      <c r="A20" s="477">
        <v>15</v>
      </c>
      <c r="B20" s="478" t="s">
        <v>392</v>
      </c>
      <c r="C20" s="479"/>
    </row>
    <row r="21" spans="1:3">
      <c r="A21" s="477">
        <v>16</v>
      </c>
      <c r="B21" s="478" t="s">
        <v>393</v>
      </c>
      <c r="C21" s="478"/>
    </row>
    <row r="22" spans="1:3">
      <c r="A22" s="477">
        <v>17</v>
      </c>
      <c r="B22" s="478" t="s">
        <v>394</v>
      </c>
      <c r="C22" s="479"/>
    </row>
  </sheetData>
  <mergeCells count="4">
    <mergeCell ref="A12:A14"/>
    <mergeCell ref="B12:B14"/>
    <mergeCell ref="A18:A19"/>
    <mergeCell ref="B18: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topLeftCell="A10" workbookViewId="0">
      <selection activeCell="C16" sqref="C16"/>
    </sheetView>
  </sheetViews>
  <sheetFormatPr defaultColWidth="9.109375" defaultRowHeight="14.4"/>
  <cols>
    <col min="1" max="1" width="9.5546875" style="469" customWidth="1"/>
    <col min="2" max="2" width="15.33203125" style="469" customWidth="1"/>
    <col min="3" max="3" width="53" style="469" customWidth="1"/>
    <col min="4" max="16384" width="9.109375" style="469"/>
  </cols>
  <sheetData>
    <row r="1" spans="1:3">
      <c r="A1" s="482" t="s">
        <v>366</v>
      </c>
      <c r="B1" s="482" t="s">
        <v>367</v>
      </c>
      <c r="C1" s="482" t="s">
        <v>368</v>
      </c>
    </row>
    <row r="2" spans="1:3">
      <c r="A2" s="483">
        <v>0</v>
      </c>
      <c r="B2" s="483" t="s">
        <v>369</v>
      </c>
      <c r="C2" s="483" t="s">
        <v>370</v>
      </c>
    </row>
    <row r="3" spans="1:3">
      <c r="A3" s="483">
        <v>1</v>
      </c>
      <c r="B3" s="482" t="s">
        <v>352</v>
      </c>
      <c r="C3" s="482" t="s">
        <v>396</v>
      </c>
    </row>
    <row r="4" spans="1:3" ht="27.6">
      <c r="A4" s="483">
        <v>2</v>
      </c>
      <c r="B4" s="482" t="s">
        <v>353</v>
      </c>
      <c r="C4" s="484" t="s">
        <v>360</v>
      </c>
    </row>
    <row r="5" spans="1:3">
      <c r="A5" s="483">
        <v>3</v>
      </c>
      <c r="B5" s="483" t="s">
        <v>372</v>
      </c>
      <c r="C5" s="483" t="s">
        <v>305</v>
      </c>
    </row>
    <row r="6" spans="1:3">
      <c r="A6" s="483">
        <v>4</v>
      </c>
      <c r="B6" s="483" t="s">
        <v>373</v>
      </c>
      <c r="C6" s="483" t="s">
        <v>397</v>
      </c>
    </row>
    <row r="7" spans="1:3">
      <c r="A7" s="483">
        <v>5</v>
      </c>
      <c r="B7" s="483" t="s">
        <v>26</v>
      </c>
      <c r="C7" s="483" t="s">
        <v>376</v>
      </c>
    </row>
    <row r="8" spans="1:3">
      <c r="A8" s="483">
        <v>6</v>
      </c>
      <c r="B8" s="483" t="s">
        <v>33</v>
      </c>
      <c r="C8" s="483" t="s">
        <v>398</v>
      </c>
    </row>
    <row r="9" spans="1:3">
      <c r="A9" s="483">
        <v>7</v>
      </c>
      <c r="B9" s="483" t="s">
        <v>30</v>
      </c>
      <c r="C9" s="483" t="s">
        <v>375</v>
      </c>
    </row>
    <row r="10" spans="1:3">
      <c r="A10" s="483">
        <v>8</v>
      </c>
      <c r="B10" s="483" t="s">
        <v>377</v>
      </c>
      <c r="C10" s="483" t="s">
        <v>378</v>
      </c>
    </row>
    <row r="11" spans="1:3">
      <c r="A11" s="483">
        <v>9</v>
      </c>
      <c r="B11" s="483" t="s">
        <v>379</v>
      </c>
      <c r="C11" s="483" t="s">
        <v>380</v>
      </c>
    </row>
    <row r="12" spans="1:3" ht="41.25" customHeight="1">
      <c r="A12" s="1120">
        <v>10</v>
      </c>
      <c r="B12" s="1120" t="s">
        <v>381</v>
      </c>
      <c r="C12" s="484" t="s">
        <v>399</v>
      </c>
    </row>
    <row r="13" spans="1:3" ht="63.75" customHeight="1">
      <c r="A13" s="1120"/>
      <c r="B13" s="1120"/>
      <c r="C13" s="484" t="s">
        <v>400</v>
      </c>
    </row>
    <row r="14" spans="1:3" ht="45" customHeight="1">
      <c r="A14" s="1120"/>
      <c r="B14" s="1120"/>
      <c r="C14" s="484" t="s">
        <v>401</v>
      </c>
    </row>
    <row r="15" spans="1:3" ht="224.25" customHeight="1">
      <c r="A15" s="1120"/>
      <c r="B15" s="1120"/>
      <c r="C15" s="484" t="s">
        <v>425</v>
      </c>
    </row>
    <row r="16" spans="1:3">
      <c r="A16" s="483">
        <v>11</v>
      </c>
      <c r="B16" s="483" t="s">
        <v>385</v>
      </c>
      <c r="C16" s="483" t="s">
        <v>402</v>
      </c>
    </row>
    <row r="17" spans="1:3">
      <c r="A17" s="483">
        <v>12</v>
      </c>
      <c r="B17" s="483" t="s">
        <v>386</v>
      </c>
      <c r="C17" s="483" t="s">
        <v>403</v>
      </c>
    </row>
    <row r="18" spans="1:3">
      <c r="A18" s="483">
        <v>13</v>
      </c>
      <c r="B18" s="483" t="s">
        <v>388</v>
      </c>
      <c r="C18" s="484"/>
    </row>
    <row r="19" spans="1:3" ht="35.25" customHeight="1">
      <c r="A19" s="1120">
        <v>14</v>
      </c>
      <c r="B19" s="1120" t="s">
        <v>389</v>
      </c>
      <c r="C19" s="484" t="s">
        <v>390</v>
      </c>
    </row>
    <row r="20" spans="1:3" ht="39.75" customHeight="1">
      <c r="A20" s="1120"/>
      <c r="B20" s="1120"/>
      <c r="C20" s="484" t="s">
        <v>404</v>
      </c>
    </row>
    <row r="21" spans="1:3">
      <c r="A21" s="483">
        <v>15</v>
      </c>
      <c r="B21" s="483" t="s">
        <v>392</v>
      </c>
      <c r="C21" s="484"/>
    </row>
    <row r="22" spans="1:3">
      <c r="A22" s="483">
        <v>16</v>
      </c>
      <c r="B22" s="483" t="s">
        <v>393</v>
      </c>
      <c r="C22" s="483"/>
    </row>
    <row r="23" spans="1:3">
      <c r="A23" s="483">
        <v>17</v>
      </c>
      <c r="B23" s="483" t="s">
        <v>394</v>
      </c>
      <c r="C23" s="484"/>
    </row>
  </sheetData>
  <mergeCells count="4">
    <mergeCell ref="A12:A15"/>
    <mergeCell ref="B12:B15"/>
    <mergeCell ref="A19:A20"/>
    <mergeCell ref="B19:B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3"/>
  <sheetViews>
    <sheetView workbookViewId="0">
      <selection activeCell="G14" sqref="G14"/>
    </sheetView>
  </sheetViews>
  <sheetFormatPr defaultColWidth="9.109375" defaultRowHeight="14.4"/>
  <cols>
    <col min="1" max="1" width="9.109375" style="469"/>
    <col min="2" max="2" width="26.109375" style="469" customWidth="1"/>
    <col min="3" max="3" width="45.109375" style="469" customWidth="1"/>
    <col min="4" max="16384" width="9.109375" style="469"/>
  </cols>
  <sheetData>
    <row r="1" spans="1:3">
      <c r="A1" s="482" t="s">
        <v>366</v>
      </c>
      <c r="B1" s="482" t="s">
        <v>367</v>
      </c>
      <c r="C1" s="482" t="s">
        <v>368</v>
      </c>
    </row>
    <row r="2" spans="1:3">
      <c r="A2" s="483">
        <v>0</v>
      </c>
      <c r="B2" s="483" t="s">
        <v>369</v>
      </c>
      <c r="C2" s="483" t="s">
        <v>370</v>
      </c>
    </row>
    <row r="3" spans="1:3">
      <c r="A3" s="483">
        <v>1</v>
      </c>
      <c r="B3" s="482" t="s">
        <v>352</v>
      </c>
      <c r="C3" s="482" t="s">
        <v>405</v>
      </c>
    </row>
    <row r="4" spans="1:3" ht="69">
      <c r="A4" s="483">
        <v>2</v>
      </c>
      <c r="B4" s="482" t="s">
        <v>353</v>
      </c>
      <c r="C4" s="513" t="s">
        <v>431</v>
      </c>
    </row>
    <row r="5" spans="1:3">
      <c r="A5" s="483">
        <v>3</v>
      </c>
      <c r="B5" s="483" t="s">
        <v>372</v>
      </c>
      <c r="C5" s="483" t="s">
        <v>406</v>
      </c>
    </row>
    <row r="6" spans="1:3">
      <c r="A6" s="483">
        <v>4</v>
      </c>
      <c r="B6" s="483" t="s">
        <v>373</v>
      </c>
      <c r="C6" s="483" t="s">
        <v>397</v>
      </c>
    </row>
    <row r="7" spans="1:3">
      <c r="A7" s="483">
        <v>5</v>
      </c>
      <c r="B7" s="483" t="s">
        <v>26</v>
      </c>
      <c r="C7" s="483" t="s">
        <v>376</v>
      </c>
    </row>
    <row r="8" spans="1:3">
      <c r="A8" s="483">
        <v>6</v>
      </c>
      <c r="B8" s="483" t="s">
        <v>33</v>
      </c>
      <c r="C8" s="483" t="s">
        <v>398</v>
      </c>
    </row>
    <row r="9" spans="1:3">
      <c r="A9" s="483">
        <v>7</v>
      </c>
      <c r="B9" s="483" t="s">
        <v>30</v>
      </c>
      <c r="C9" s="483" t="s">
        <v>376</v>
      </c>
    </row>
    <row r="10" spans="1:3">
      <c r="A10" s="483">
        <v>8</v>
      </c>
      <c r="B10" s="483" t="s">
        <v>377</v>
      </c>
      <c r="C10" s="483" t="s">
        <v>378</v>
      </c>
    </row>
    <row r="11" spans="1:3">
      <c r="A11" s="483">
        <v>9</v>
      </c>
      <c r="B11" s="483" t="s">
        <v>379</v>
      </c>
      <c r="C11" s="483" t="s">
        <v>380</v>
      </c>
    </row>
    <row r="12" spans="1:3" ht="87.75" customHeight="1">
      <c r="A12" s="1120">
        <v>10</v>
      </c>
      <c r="B12" s="1120" t="s">
        <v>381</v>
      </c>
      <c r="C12" s="484" t="s">
        <v>407</v>
      </c>
    </row>
    <row r="13" spans="1:3" ht="67.5" customHeight="1">
      <c r="A13" s="1120"/>
      <c r="B13" s="1120"/>
      <c r="C13" s="484" t="s">
        <v>408</v>
      </c>
    </row>
    <row r="14" spans="1:3" ht="114" customHeight="1">
      <c r="A14" s="1120"/>
      <c r="B14" s="1120"/>
      <c r="C14" s="484" t="s">
        <v>409</v>
      </c>
    </row>
    <row r="15" spans="1:3" ht="115.5" customHeight="1">
      <c r="A15" s="1120"/>
      <c r="B15" s="1120"/>
      <c r="C15" s="484" t="s">
        <v>410</v>
      </c>
    </row>
    <row r="16" spans="1:3">
      <c r="A16" s="483">
        <v>11</v>
      </c>
      <c r="B16" s="483" t="s">
        <v>385</v>
      </c>
      <c r="C16" s="483" t="s">
        <v>34</v>
      </c>
    </row>
    <row r="17" spans="1:3">
      <c r="A17" s="483">
        <v>12</v>
      </c>
      <c r="B17" s="483" t="s">
        <v>386</v>
      </c>
      <c r="C17" s="483" t="s">
        <v>387</v>
      </c>
    </row>
    <row r="18" spans="1:3">
      <c r="A18" s="483">
        <v>13</v>
      </c>
      <c r="B18" s="483" t="s">
        <v>388</v>
      </c>
      <c r="C18" s="484"/>
    </row>
    <row r="19" spans="1:3" ht="28.5" customHeight="1">
      <c r="A19" s="1120">
        <v>14</v>
      </c>
      <c r="B19" s="1120" t="s">
        <v>389</v>
      </c>
      <c r="C19" s="484" t="s">
        <v>390</v>
      </c>
    </row>
    <row r="20" spans="1:3" ht="33" customHeight="1">
      <c r="A20" s="1120"/>
      <c r="B20" s="1120"/>
      <c r="C20" s="484" t="s">
        <v>404</v>
      </c>
    </row>
    <row r="21" spans="1:3">
      <c r="A21" s="483">
        <v>15</v>
      </c>
      <c r="B21" s="483" t="s">
        <v>392</v>
      </c>
      <c r="C21" s="484"/>
    </row>
    <row r="22" spans="1:3">
      <c r="A22" s="483">
        <v>16</v>
      </c>
      <c r="B22" s="483" t="s">
        <v>393</v>
      </c>
      <c r="C22" s="483"/>
    </row>
    <row r="23" spans="1:3">
      <c r="A23" s="483">
        <v>17</v>
      </c>
      <c r="B23" s="483" t="s">
        <v>394</v>
      </c>
      <c r="C23" s="484"/>
    </row>
  </sheetData>
  <mergeCells count="4">
    <mergeCell ref="A12:A15"/>
    <mergeCell ref="B12:B15"/>
    <mergeCell ref="A19:A20"/>
    <mergeCell ref="B19: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15</vt:i4>
      </vt:variant>
    </vt:vector>
  </HeadingPairs>
  <TitlesOfParts>
    <vt:vector size="15" baseType="lpstr">
      <vt:lpstr>Intervencijų lėšos (2)</vt:lpstr>
      <vt:lpstr>2PO 2.2</vt:lpstr>
      <vt:lpstr>2PO 2.8</vt:lpstr>
      <vt:lpstr>3PO 3.1</vt:lpstr>
      <vt:lpstr>3.1.</vt:lpstr>
      <vt:lpstr>5PO</vt:lpstr>
      <vt:lpstr>F Specific output 3.1.1 (1)</vt:lpstr>
      <vt:lpstr>F Specific result 3.1.1 (1)</vt:lpstr>
      <vt:lpstr>F Specific result 3.1.1 (2)</vt:lpstr>
      <vt:lpstr>F Specific output 3.1.1 (3)</vt:lpstr>
      <vt:lpstr>F Specific result 3.1.1 (3)</vt:lpstr>
      <vt:lpstr>F Specific output 3.1.1 (4)</vt:lpstr>
      <vt:lpstr>F Specific result 3.1.1 (4)</vt:lpstr>
      <vt:lpstr>F Specific output 3.1.2 (1)</vt:lpstr>
      <vt:lpstr>F Specific result 3.1.2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2025-03-26T14:41:18Z</dcterms:modified>
</cp:coreProperties>
</file>