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55DB660E-A8BA-4B2E-BCE0-9E58B9820591}" xr6:coauthVersionLast="47" xr6:coauthVersionMax="47" xr10:uidLastSave="{00000000-0000-0000-0000-000000000000}"/>
  <bookViews>
    <workbookView xWindow="-120" yWindow="-120" windowWidth="29040" windowHeight="15720" firstSheet="1" activeTab="1" xr2:uid="{00000000-000D-0000-FFFF-FFFF00000000}"/>
  </bookViews>
  <sheets>
    <sheet name="Intervencijų lėšos (2)" sheetId="17" state="hidden" r:id="rId1"/>
    <sheet name="1.5 (7.1)" sheetId="13" r:id="rId2"/>
    <sheet name="3PO 3.2" sheetId="14" state="hidden" r:id="rId3"/>
    <sheet name="3PO 3.3" sheetId="15" state="hidden" r:id="rId4"/>
    <sheet name="5PO" sheetId="18" state="hidden" r:id="rId5"/>
  </sheets>
  <externalReferences>
    <externalReference r:id="rId6"/>
  </externalReferences>
  <definedNames>
    <definedName name="_xlnm._FilterDatabase" localSheetId="1" hidden="1">'1.5 (7.1)'!$A$3:$R$31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3" l="1"/>
  <c r="E9" i="13"/>
  <c r="C9" i="13"/>
  <c r="E25" i="13"/>
  <c r="E21" i="13"/>
  <c r="E17" i="13"/>
  <c r="E13" i="13"/>
  <c r="E5" i="13"/>
  <c r="P28" i="13"/>
  <c r="P27" i="13"/>
  <c r="O26" i="13"/>
  <c r="O25" i="13"/>
  <c r="P24" i="13"/>
  <c r="P23" i="13"/>
  <c r="O22" i="13"/>
  <c r="O21" i="13"/>
  <c r="P20" i="13"/>
  <c r="P19" i="13"/>
  <c r="O18" i="13"/>
  <c r="O17" i="13"/>
  <c r="P16" i="13"/>
  <c r="P15" i="13"/>
  <c r="O14" i="13"/>
  <c r="O13" i="13"/>
  <c r="P12" i="13"/>
  <c r="P11" i="13"/>
  <c r="O10" i="13"/>
  <c r="O9" i="13"/>
  <c r="P8" i="13"/>
  <c r="P7" i="13"/>
  <c r="O6" i="13" l="1"/>
  <c r="O5" i="13"/>
  <c r="G43" i="13" l="1"/>
  <c r="G42" i="13"/>
  <c r="G41" i="13"/>
  <c r="G40" i="13"/>
  <c r="C31" i="13" l="1"/>
  <c r="M29" i="13" l="1"/>
  <c r="D36" i="13" l="1"/>
  <c r="I39" i="13"/>
  <c r="I38" i="13"/>
  <c r="I37" i="13"/>
  <c r="I36" i="13"/>
  <c r="C30" i="13" l="1"/>
  <c r="C29" i="13"/>
  <c r="H18" i="18" l="1"/>
  <c r="C18" i="18"/>
  <c r="I17" i="18"/>
  <c r="F17" i="18"/>
  <c r="E17" i="18"/>
  <c r="D17" i="18"/>
  <c r="C12" i="18"/>
  <c r="P10" i="18"/>
  <c r="I18" i="18" s="1"/>
  <c r="M10" i="18"/>
  <c r="D18" i="18" s="1"/>
  <c r="O9" i="18"/>
  <c r="H17" i="18" s="1"/>
  <c r="E9" i="18"/>
  <c r="F9" i="18" s="1"/>
  <c r="G9" i="18" s="1"/>
  <c r="C7" i="18"/>
  <c r="C13" i="18"/>
  <c r="E7" i="18" l="1"/>
  <c r="F7" i="18" s="1"/>
  <c r="G7" i="18" s="1"/>
  <c r="C11" i="18"/>
  <c r="B9" i="18"/>
  <c r="J3" i="17" l="1"/>
  <c r="P13" i="15" l="1"/>
  <c r="E29" i="13" l="1"/>
  <c r="M30" i="14"/>
  <c r="I44" i="14" l="1"/>
  <c r="I43" i="14"/>
  <c r="I22" i="15"/>
  <c r="O21" i="14" l="1"/>
  <c r="C27" i="14"/>
  <c r="C24" i="14"/>
  <c r="C21" i="14"/>
  <c r="C18" i="14"/>
  <c r="M9" i="15" l="1"/>
  <c r="P9" i="15"/>
  <c r="M8" i="15"/>
  <c r="P8" i="15"/>
  <c r="C12" i="15"/>
  <c r="C7" i="15"/>
  <c r="J32" i="17"/>
  <c r="J31" i="17"/>
  <c r="J30" i="17"/>
  <c r="I5" i="17"/>
  <c r="I3" i="17"/>
  <c r="P4" i="17" s="1"/>
  <c r="I4" i="17"/>
  <c r="I7" i="17"/>
  <c r="I9" i="17"/>
  <c r="I13" i="17"/>
  <c r="I15" i="17"/>
  <c r="I17" i="17"/>
  <c r="J17" i="17" s="1"/>
  <c r="I18" i="17"/>
  <c r="J18" i="17" s="1"/>
  <c r="S18" i="17"/>
  <c r="I19" i="17"/>
  <c r="J19" i="17" s="1"/>
  <c r="S19" i="17"/>
  <c r="T19" i="17" s="1"/>
  <c r="I24" i="17"/>
  <c r="J24" i="17" s="1"/>
  <c r="I25" i="17"/>
  <c r="N25" i="17"/>
  <c r="N27" i="17"/>
  <c r="H30" i="17"/>
  <c r="H31" i="17"/>
  <c r="H32" i="17"/>
  <c r="H33" i="17"/>
  <c r="H38" i="17"/>
  <c r="H47" i="17" s="1"/>
  <c r="H39" i="17"/>
  <c r="H40" i="17"/>
  <c r="H42" i="17"/>
  <c r="H43" i="17"/>
  <c r="H44" i="17"/>
  <c r="H45" i="17"/>
  <c r="H50" i="17"/>
  <c r="P5" i="17" l="1"/>
  <c r="K30" i="17"/>
  <c r="P20" i="17"/>
  <c r="H48" i="17"/>
  <c r="I30" i="17"/>
  <c r="I33" i="17"/>
  <c r="H49" i="17"/>
  <c r="J33" i="17"/>
  <c r="K32" i="17" s="1"/>
  <c r="K34" i="17" s="1"/>
  <c r="I31" i="17"/>
  <c r="N18" i="17"/>
  <c r="I32" i="17"/>
  <c r="P21" i="17"/>
  <c r="I34" i="17" l="1"/>
  <c r="J34" i="17"/>
  <c r="P10" i="14"/>
  <c r="I38" i="14" s="1"/>
  <c r="M10" i="14"/>
  <c r="C31" i="14" l="1"/>
  <c r="I39" i="14"/>
  <c r="M15" i="14" l="1"/>
  <c r="D38" i="14" s="1"/>
  <c r="P30" i="14"/>
  <c r="M9" i="14"/>
  <c r="P9" i="14"/>
  <c r="I36" i="14" s="1"/>
  <c r="O10" i="15" l="1"/>
  <c r="H20" i="15" s="1"/>
  <c r="O12" i="15"/>
  <c r="I43" i="13" l="1"/>
  <c r="I41" i="13"/>
  <c r="H39" i="13"/>
  <c r="H37" i="13"/>
  <c r="E8" i="14" l="1"/>
  <c r="C14" i="15" l="1"/>
  <c r="O29" i="13"/>
  <c r="H36" i="13" l="1"/>
  <c r="D44" i="14"/>
  <c r="D21" i="15"/>
  <c r="D19" i="15"/>
  <c r="D42" i="14"/>
  <c r="I40" i="13" l="1"/>
  <c r="I42" i="13"/>
  <c r="P29" i="13" l="1"/>
  <c r="E16" i="14"/>
  <c r="F16" i="14" s="1"/>
  <c r="G16" i="14" s="1"/>
  <c r="H23" i="15" l="1"/>
  <c r="I23" i="15"/>
  <c r="D23" i="15"/>
  <c r="H22" i="15"/>
  <c r="D22" i="15"/>
  <c r="H21" i="15"/>
  <c r="I21" i="15"/>
  <c r="I20" i="15"/>
  <c r="D20" i="15"/>
  <c r="H19" i="15"/>
  <c r="I19" i="15"/>
  <c r="C19" i="15"/>
  <c r="H18" i="15"/>
  <c r="I18" i="15"/>
  <c r="D18" i="15"/>
  <c r="D17" i="15"/>
  <c r="H47" i="14"/>
  <c r="I47" i="14"/>
  <c r="D47" i="14"/>
  <c r="I46" i="14"/>
  <c r="H46" i="14"/>
  <c r="D46" i="14"/>
  <c r="D45" i="14"/>
  <c r="D43" i="14"/>
  <c r="D41" i="14"/>
  <c r="I40" i="14"/>
  <c r="D40" i="14"/>
  <c r="D39" i="14"/>
  <c r="H37" i="14" l="1"/>
  <c r="D37" i="14"/>
  <c r="H36" i="14"/>
  <c r="D36" i="14"/>
  <c r="H35" i="14"/>
  <c r="D35" i="14"/>
  <c r="D43" i="13" l="1"/>
  <c r="D42" i="13"/>
  <c r="D41" i="13"/>
  <c r="D40" i="13"/>
  <c r="D39" i="13"/>
  <c r="I44" i="13"/>
  <c r="J44" i="13" s="1"/>
  <c r="H38" i="13"/>
  <c r="H44" i="13" s="1"/>
  <c r="D38" i="13"/>
  <c r="D37" i="13"/>
  <c r="E18" i="14" l="1"/>
  <c r="E12" i="15" l="1"/>
  <c r="E29" i="14" l="1"/>
  <c r="E27" i="14" l="1"/>
  <c r="E24" i="14"/>
  <c r="E21" i="14"/>
  <c r="F21" i="14" s="1"/>
  <c r="G21" i="14" s="1"/>
  <c r="E12" i="14"/>
  <c r="F8" i="14"/>
  <c r="E7" i="15"/>
  <c r="F25" i="13"/>
  <c r="F21" i="13"/>
  <c r="G21" i="13" s="1"/>
  <c r="F17" i="13"/>
  <c r="G17" i="13" s="1"/>
  <c r="F9" i="13"/>
  <c r="P8" i="14" l="1"/>
  <c r="P11" i="14"/>
  <c r="G8" i="14"/>
  <c r="F5" i="13"/>
  <c r="B5" i="13" s="1"/>
  <c r="F29" i="13"/>
  <c r="B8" i="14"/>
  <c r="G9" i="13"/>
  <c r="B9" i="13"/>
  <c r="F29" i="14"/>
  <c r="F18" i="14"/>
  <c r="F27" i="14"/>
  <c r="G27" i="14" s="1"/>
  <c r="P27" i="14" s="1"/>
  <c r="F24" i="14"/>
  <c r="G24" i="14" s="1"/>
  <c r="P24" i="14" s="1"/>
  <c r="F12" i="14"/>
  <c r="G25" i="13"/>
  <c r="B25" i="13"/>
  <c r="F13" i="13"/>
  <c r="B21" i="13"/>
  <c r="B17" i="13"/>
  <c r="F12" i="15"/>
  <c r="G12" i="15" s="1"/>
  <c r="F7" i="15"/>
  <c r="E30" i="13" l="1"/>
  <c r="O27" i="14"/>
  <c r="H45" i="14" s="1"/>
  <c r="I45" i="14"/>
  <c r="I42" i="14"/>
  <c r="O24" i="14"/>
  <c r="H42" i="14" s="1"/>
  <c r="G5" i="13"/>
  <c r="F30" i="13"/>
  <c r="O11" i="14"/>
  <c r="G29" i="13"/>
  <c r="G29" i="14"/>
  <c r="B29" i="14"/>
  <c r="G7" i="15"/>
  <c r="P7" i="15" s="1"/>
  <c r="B7" i="15"/>
  <c r="G12" i="14"/>
  <c r="B12" i="14"/>
  <c r="G18" i="14"/>
  <c r="P18" i="14" s="1"/>
  <c r="B18" i="14"/>
  <c r="G13" i="13"/>
  <c r="B13" i="13"/>
  <c r="B31" i="13" s="1"/>
  <c r="O7" i="15" l="1"/>
  <c r="H17" i="15" s="1"/>
  <c r="I17" i="15"/>
  <c r="G30" i="13"/>
  <c r="G31" i="13" s="1"/>
  <c r="P12" i="14"/>
  <c r="I35" i="14" s="1"/>
  <c r="P14" i="14"/>
  <c r="I37" i="14" s="1"/>
  <c r="O18" i="14"/>
  <c r="H41" i="14" s="1"/>
  <c r="I4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3" authorId="0" shapeId="0" xr:uid="{00000000-0006-0000-0000-000001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shapeId="0" xr:uid="{00000000-0006-0000-0000-000002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shapeId="0" xr:uid="{00000000-0006-0000-00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shapeId="0" xr:uid="{00000000-0006-0000-0000-000004000000}">
      <text>
        <r>
          <rPr>
            <b/>
            <sz val="9"/>
            <color indexed="81"/>
            <rFont val="Tahoma"/>
            <family val="2"/>
            <charset val="186"/>
          </rPr>
          <t>Autorius:</t>
        </r>
        <r>
          <rPr>
            <sz val="9"/>
            <color indexed="81"/>
            <rFont val="Tahoma"/>
            <family val="2"/>
            <charset val="186"/>
          </rPr>
          <t xml:space="preserve">
Iškeliama į 5PO - 2020-12-10</t>
        </r>
      </text>
    </comment>
    <comment ref="I9" authorId="0" shapeId="0" xr:uid="{00000000-0006-0000-0000-000005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shapeId="0" xr:uid="{00000000-0006-0000-0000-000006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shapeId="0" xr:uid="{00000000-0006-0000-0000-000007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shapeId="0" xr:uid="{00000000-0006-0000-0000-000008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G6" authorId="0" shapeId="0" xr:uid="{00000000-0006-0000-0200-000001000000}">
      <text>
        <r>
          <rPr>
            <b/>
            <sz val="9"/>
            <color indexed="81"/>
            <rFont val="Tahoma"/>
            <family val="2"/>
            <charset val="186"/>
          </rPr>
          <t>Autorius:</t>
        </r>
        <r>
          <rPr>
            <sz val="9"/>
            <color indexed="81"/>
            <rFont val="Tahoma"/>
            <family val="2"/>
            <charset val="186"/>
          </rPr>
          <t xml:space="preserve">
čia taip pat turi būti EU+LT dalis</t>
        </r>
      </text>
    </comment>
    <comment ref="J6" authorId="0" shapeId="0" xr:uid="{00000000-0006-0000-0200-000002000000}">
      <text>
        <r>
          <rPr>
            <b/>
            <sz val="9"/>
            <color indexed="81"/>
            <rFont val="Tahoma"/>
            <family val="2"/>
            <charset val="186"/>
          </rPr>
          <t>Autorius:</t>
        </r>
        <r>
          <rPr>
            <sz val="9"/>
            <color indexed="81"/>
            <rFont val="Tahoma"/>
            <family val="2"/>
            <charset val="186"/>
          </rPr>
          <t xml:space="preserve">
Visa LT galima tik Saf</t>
        </r>
      </text>
    </comment>
    <comment ref="K6" authorId="0" shapeId="0" xr:uid="{00000000-0006-0000-0200-000003000000}">
      <text>
        <r>
          <rPr>
            <b/>
            <sz val="9"/>
            <color indexed="81"/>
            <rFont val="Tahoma"/>
            <family val="2"/>
            <charset val="186"/>
          </rPr>
          <t>Autorius:</t>
        </r>
        <r>
          <rPr>
            <sz val="9"/>
            <color indexed="81"/>
            <rFont val="Tahoma"/>
            <family val="2"/>
            <charset val="186"/>
          </rPr>
          <t xml:space="preserve">
ERPF turi būti išskaidytas į Capital region ir Mid-West Region. Taip pat išskaidyti turi būti ir rodikliai per regionų kategorijas</t>
        </r>
      </text>
    </comment>
    <comment ref="M6" authorId="0" shapeId="0" xr:uid="{00000000-0006-0000-0200-000004000000}">
      <text>
        <r>
          <rPr>
            <b/>
            <sz val="9"/>
            <color indexed="81"/>
            <rFont val="Tahoma"/>
            <family val="2"/>
            <charset val="186"/>
          </rPr>
          <t>Autorius:</t>
        </r>
        <r>
          <rPr>
            <sz val="9"/>
            <color indexed="81"/>
            <rFont val="Tahoma"/>
            <family val="2"/>
            <charset val="186"/>
          </rPr>
          <t xml:space="preserve">
reikia užpildyti</t>
        </r>
      </text>
    </comment>
    <comment ref="Q6" authorId="0" shapeId="0" xr:uid="{00000000-0006-0000-0200-000005000000}">
      <text>
        <r>
          <rPr>
            <b/>
            <sz val="9"/>
            <color indexed="81"/>
            <rFont val="Tahoma"/>
            <family val="2"/>
            <charset val="186"/>
          </rPr>
          <t>Autorius:</t>
        </r>
        <r>
          <rPr>
            <sz val="9"/>
            <color indexed="81"/>
            <rFont val="Tahoma"/>
            <family val="2"/>
            <charset val="186"/>
          </rPr>
          <t xml:space="preserve">
reikia užpildyti</t>
        </r>
      </text>
    </comment>
    <comment ref="R6" authorId="0" shapeId="0" xr:uid="{00000000-0006-0000-0200-000006000000}">
      <text>
        <r>
          <rPr>
            <b/>
            <sz val="9"/>
            <color indexed="81"/>
            <rFont val="Tahoma"/>
            <family val="2"/>
            <charset val="186"/>
          </rPr>
          <t>Autorius:</t>
        </r>
        <r>
          <rPr>
            <sz val="9"/>
            <color indexed="81"/>
            <rFont val="Tahoma"/>
            <family val="2"/>
            <charset val="186"/>
          </rPr>
          <t xml:space="preserve">
Pagrindimai turi būti anglų kalba. Pagrindimuose trūksta informacijos kodėl nustatytas toks įkainis</t>
        </r>
      </text>
    </comment>
    <comment ref="E7" authorId="0" shapeId="0" xr:uid="{00000000-0006-0000-0200-000007000000}">
      <text>
        <r>
          <rPr>
            <b/>
            <sz val="9"/>
            <color indexed="81"/>
            <rFont val="Tahoma"/>
            <family val="2"/>
            <charset val="186"/>
          </rPr>
          <t>Autorius:</t>
        </r>
        <r>
          <rPr>
            <sz val="9"/>
            <color indexed="81"/>
            <rFont val="Tahoma"/>
            <family val="2"/>
            <charset val="186"/>
          </rPr>
          <t xml:space="preserve">
turi būti užpildyta</t>
        </r>
      </text>
    </comment>
    <comment ref="F7" authorId="0" shapeId="0" xr:uid="{00000000-0006-0000-0200-000008000000}">
      <text>
        <r>
          <rPr>
            <b/>
            <sz val="9"/>
            <color indexed="81"/>
            <rFont val="Tahoma"/>
            <family val="2"/>
            <charset val="186"/>
          </rPr>
          <t>Autorius:</t>
        </r>
        <r>
          <rPr>
            <sz val="9"/>
            <color indexed="81"/>
            <rFont val="Tahoma"/>
            <family val="2"/>
            <charset val="186"/>
          </rPr>
          <t xml:space="preserve">
čia turi būti EU+LT dalis. Suprantu, kad čia nurodyta tik EU dlais?</t>
        </r>
      </text>
    </comment>
    <comment ref="A8" authorId="0" shapeId="0" xr:uid="{00000000-0006-0000-0200-000009000000}">
      <text>
        <r>
          <rPr>
            <b/>
            <sz val="9"/>
            <color indexed="81"/>
            <rFont val="Tahoma"/>
            <family val="2"/>
            <charset val="186"/>
          </rPr>
          <t>Autorius:
diegti intelektines transporto sistemas (ITS), gerinti aplinkosauginius parametrus ir didinti eismo saugą TEN-T tinklo geležinkeliuose, užtikrinant sąveiką su kitais TEN-T tinklo koridoriais ir kitų transporto rūšių infrastruktūra. Numatoma plėsti ir tobulinti antrųjų kelių tinklą, tobulinti pagrindinių geležinkelių linijų infrastruktūrą, didinti geležinkelių transporto elektrifikavimą bei diegti modernias eismo valdymo sistemas. Numatoma modernizuoti geležinkelių transporto infrastruktūrą, užtikrinant eismo saugumą pervažose ir vieno lygio sankirtose, jas padarant saugesnėmis arba jas eliminuojant. Taip pat, siekiant sumažinti žmonių sveikatai žalingą triukšmo poveikį, numatomos triukšmo mažinimo priemonių, tokių kaip triukšmą slopinančių sienučių, geležinkelių tinkle įrengimas. Prioritetą numatoma teikti geležinkelių kelių elektrifikavimui bei saugos priemonių diegimui, saugaus eismo užtikrinimui geležinkelių tinkle. Taip pat bus atsižvelgiama į TEN-T pagrindinio geležinkelių tinklo tobulinimo ir plėtros poreikį, siekiant užtikrinti, kad TEN-T pagrindinio geležinkelių tinklo infrastruktūra Lietuvoje atitiktų TEN-T gairėse (Reglamentas Nr. 1315/2013) nustatytus reikalavimus. Ši veikla bus įgyvendinama visoje Lietuvoje.</t>
        </r>
      </text>
    </comment>
    <comment ref="E8" authorId="0" shapeId="0" xr:uid="{00000000-0006-0000-0200-00000A000000}">
      <text>
        <r>
          <rPr>
            <b/>
            <sz val="9"/>
            <color indexed="81"/>
            <rFont val="Tahoma"/>
            <family val="2"/>
            <charset val="186"/>
          </rPr>
          <t>Autorius:</t>
        </r>
        <r>
          <rPr>
            <sz val="9"/>
            <color indexed="81"/>
            <rFont val="Tahoma"/>
            <family val="2"/>
            <charset val="186"/>
          </rPr>
          <t xml:space="preserve">
Jus paskaiciavote 70, as randu, kad 85 proc.</t>
        </r>
      </text>
    </comment>
    <comment ref="I8" authorId="0" shapeId="0" xr:uid="{00000000-0006-0000-0200-00000B000000}">
      <text>
        <r>
          <rPr>
            <b/>
            <sz val="9"/>
            <color indexed="81"/>
            <rFont val="Tahoma"/>
            <family val="2"/>
            <charset val="186"/>
          </rPr>
          <t>Autorius:</t>
        </r>
        <r>
          <rPr>
            <sz val="9"/>
            <color indexed="81"/>
            <rFont val="Tahoma"/>
            <family val="2"/>
            <charset val="186"/>
          </rPr>
          <t xml:space="preserve">
irasykite angliskai</t>
        </r>
      </text>
    </comment>
    <comment ref="N8" authorId="0" shapeId="0" xr:uid="{00000000-0006-0000-0200-00000C000000}">
      <text>
        <r>
          <rPr>
            <b/>
            <sz val="9"/>
            <color indexed="81"/>
            <rFont val="Tahoma"/>
            <family val="2"/>
            <charset val="186"/>
          </rPr>
          <t>Autorius:</t>
        </r>
        <r>
          <rPr>
            <sz val="9"/>
            <color indexed="81"/>
            <rFont val="Tahoma"/>
            <family val="2"/>
            <charset val="186"/>
          </rPr>
          <t xml:space="preserve">
n/a</t>
        </r>
      </text>
    </comment>
    <comment ref="O8" authorId="0" shapeId="0" xr:uid="{00000000-0006-0000-0200-00000D000000}">
      <text>
        <r>
          <rPr>
            <b/>
            <sz val="9"/>
            <color indexed="81"/>
            <rFont val="Tahoma"/>
            <family val="2"/>
            <charset val="186"/>
          </rPr>
          <t>Autorius:</t>
        </r>
        <r>
          <rPr>
            <sz val="9"/>
            <color indexed="81"/>
            <rFont val="Tahoma"/>
            <family val="2"/>
            <charset val="186"/>
          </rPr>
          <t xml:space="preserve">
kodel nenumatote tarpines?
</t>
        </r>
        <r>
          <rPr>
            <b/>
            <sz val="9"/>
            <color indexed="81"/>
            <rFont val="Tahoma"/>
            <family val="2"/>
            <charset val="186"/>
          </rPr>
          <t>Vaida Kazlauskienė:</t>
        </r>
        <r>
          <rPr>
            <sz val="9"/>
            <color indexed="81"/>
            <rFont val="Tahoma"/>
            <family val="2"/>
            <charset val="186"/>
          </rPr>
          <t xml:space="preserve"> Neplanuojama, nes veiklą planuojama pradėti 2024 m. </t>
        </r>
      </text>
    </comment>
    <comment ref="I9" authorId="0" shapeId="0" xr:uid="{00000000-0006-0000-0200-00000E000000}">
      <text>
        <r>
          <rPr>
            <b/>
            <sz val="9"/>
            <color indexed="81"/>
            <rFont val="Tahoma"/>
            <family val="2"/>
            <charset val="186"/>
          </rPr>
          <t>Autorius:</t>
        </r>
        <r>
          <rPr>
            <sz val="9"/>
            <color indexed="81"/>
            <rFont val="Tahoma"/>
            <family val="2"/>
            <charset val="186"/>
          </rPr>
          <t xml:space="preserve">
irasykite angliskai</t>
        </r>
      </text>
    </comment>
    <comment ref="M9" authorId="0" shapeId="0" xr:uid="{00000000-0006-0000-0200-00000F00000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rail line in the year before the intervention starts, and it </t>
        </r>
        <r>
          <rPr>
            <b/>
            <sz val="9"/>
            <color indexed="81"/>
            <rFont val="Tahoma"/>
            <family val="2"/>
            <charset val="186"/>
          </rPr>
          <t>can be zero for new rail lines.
Cia tik anujimems?
Bet RCO49 kalba apie rekonstruotus ir modernizuotus</t>
        </r>
      </text>
    </comment>
    <comment ref="O9" authorId="0" shapeId="0" xr:uid="{00000000-0006-0000-0200-000010000000}">
      <text>
        <r>
          <rPr>
            <b/>
            <sz val="9"/>
            <color indexed="81"/>
            <rFont val="Tahoma"/>
            <family val="2"/>
            <charset val="186"/>
          </rPr>
          <t>Autorius:</t>
        </r>
        <r>
          <rPr>
            <sz val="9"/>
            <color indexed="81"/>
            <rFont val="Tahoma"/>
            <family val="2"/>
            <charset val="186"/>
          </rPr>
          <t xml:space="preserve">
n/a</t>
        </r>
      </text>
    </comment>
    <comment ref="H10" authorId="0" shapeId="0" xr:uid="{00000000-0006-0000-0200-000011000000}">
      <text>
        <r>
          <rPr>
            <b/>
            <sz val="9"/>
            <color indexed="81"/>
            <rFont val="Tahoma"/>
            <family val="2"/>
            <charset val="186"/>
          </rPr>
          <t>Autorius:</t>
        </r>
        <r>
          <rPr>
            <sz val="9"/>
            <color indexed="81"/>
            <rFont val="Tahoma"/>
            <family val="2"/>
            <charset val="186"/>
          </rPr>
          <t xml:space="preserve">
produkto?</t>
        </r>
      </text>
    </comment>
    <comment ref="H11" authorId="0" shapeId="0" xr:uid="{00000000-0006-0000-0200-000012000000}">
      <text>
        <r>
          <rPr>
            <b/>
            <sz val="9"/>
            <color indexed="81"/>
            <rFont val="Tahoma"/>
            <family val="2"/>
            <charset val="186"/>
          </rPr>
          <t>Autorius:</t>
        </r>
        <r>
          <rPr>
            <sz val="9"/>
            <color indexed="81"/>
            <rFont val="Tahoma"/>
            <family val="2"/>
            <charset val="186"/>
          </rPr>
          <t xml:space="preserve">
produkto?</t>
        </r>
      </text>
    </comment>
    <comment ref="E12" authorId="0" shapeId="0" xr:uid="{00000000-0006-0000-0200-000013000000}">
      <text>
        <r>
          <rPr>
            <b/>
            <sz val="9"/>
            <color indexed="81"/>
            <rFont val="Tahoma"/>
            <family val="2"/>
            <charset val="186"/>
          </rPr>
          <t>Autorius:</t>
        </r>
        <r>
          <rPr>
            <sz val="9"/>
            <color indexed="81"/>
            <rFont val="Tahoma"/>
            <family val="2"/>
            <charset val="186"/>
          </rPr>
          <t xml:space="preserve">
Jus paskaiciavote 70, as randu, kad 85 proc.</t>
        </r>
      </text>
    </comment>
    <comment ref="N12" authorId="0" shapeId="0" xr:uid="{00000000-0006-0000-0200-000014000000}">
      <text>
        <r>
          <rPr>
            <b/>
            <sz val="9"/>
            <color indexed="81"/>
            <rFont val="Tahoma"/>
            <family val="2"/>
            <charset val="186"/>
          </rPr>
          <t>Autorius:</t>
        </r>
        <r>
          <rPr>
            <sz val="9"/>
            <color indexed="81"/>
            <rFont val="Tahoma"/>
            <family val="2"/>
            <charset val="186"/>
          </rPr>
          <t xml:space="preserve">
n/a</t>
        </r>
      </text>
    </comment>
    <comment ref="O12" authorId="0" shapeId="0" xr:uid="{00000000-0006-0000-0200-000015000000}">
      <text>
        <r>
          <rPr>
            <b/>
            <sz val="9"/>
            <color indexed="81"/>
            <rFont val="Tahoma"/>
            <family val="2"/>
            <charset val="186"/>
          </rPr>
          <t>Autorius:</t>
        </r>
        <r>
          <rPr>
            <sz val="9"/>
            <color indexed="81"/>
            <rFont val="Tahoma"/>
            <family val="2"/>
            <charset val="186"/>
          </rPr>
          <t xml:space="preserve">
kodel nera tarpines?
</t>
        </r>
        <r>
          <rPr>
            <b/>
            <sz val="9"/>
            <color indexed="81"/>
            <rFont val="Tahoma"/>
            <family val="2"/>
            <charset val="186"/>
          </rPr>
          <t xml:space="preserve">Vaida Kazlauskienė: </t>
        </r>
        <r>
          <rPr>
            <sz val="9"/>
            <color indexed="81"/>
            <rFont val="Tahoma"/>
            <family val="2"/>
            <charset val="186"/>
          </rPr>
          <t>ik 2024m. vyks techninės dokumentacijos parengimas, nespės užaktuoti.</t>
        </r>
      </text>
    </comment>
    <comment ref="M13" authorId="0" shapeId="0" xr:uid="{00000000-0006-0000-0200-00001600000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rail line in the year before the intervention starts, and it can be zero for new rail lines.
Cia tik anujimems?
Bet RCO49 kalba apie rekonstruotus ir modernizuotus
</t>
        </r>
        <r>
          <rPr>
            <b/>
            <sz val="9"/>
            <color indexed="81"/>
            <rFont val="Tahoma"/>
            <family val="2"/>
            <charset val="186"/>
          </rPr>
          <t>Vaida Kazlauskienė</t>
        </r>
        <r>
          <rPr>
            <sz val="9"/>
            <color indexed="81"/>
            <rFont val="Tahoma"/>
            <family val="2"/>
            <charset val="186"/>
          </rPr>
          <t>: planuojamu rekosntruoti ruožu keleivių vežimas šiuo metu nevykdomas.</t>
        </r>
      </text>
    </comment>
    <comment ref="H14" authorId="0" shapeId="0" xr:uid="{00000000-0006-0000-0200-000017000000}">
      <text>
        <r>
          <rPr>
            <b/>
            <sz val="9"/>
            <color indexed="81"/>
            <rFont val="Tahoma"/>
            <family val="2"/>
            <charset val="186"/>
          </rPr>
          <t>Autorius:</t>
        </r>
        <r>
          <rPr>
            <sz val="9"/>
            <color indexed="81"/>
            <rFont val="Tahoma"/>
            <family val="2"/>
            <charset val="186"/>
          </rPr>
          <t xml:space="preserve">
produkto?</t>
        </r>
      </text>
    </comment>
    <comment ref="H15" authorId="0" shapeId="0" xr:uid="{00000000-0006-0000-0200-000018000000}">
      <text>
        <r>
          <rPr>
            <b/>
            <sz val="9"/>
            <color indexed="81"/>
            <rFont val="Tahoma"/>
            <family val="2"/>
            <charset val="186"/>
          </rPr>
          <t>Autorius:</t>
        </r>
        <r>
          <rPr>
            <sz val="9"/>
            <color indexed="81"/>
            <rFont val="Tahoma"/>
            <family val="2"/>
            <charset val="186"/>
          </rPr>
          <t xml:space="preserve">
rezultato?</t>
        </r>
      </text>
    </comment>
    <comment ref="L15" authorId="0" shapeId="0" xr:uid="{00000000-0006-0000-0200-000019000000}">
      <text>
        <r>
          <rPr>
            <b/>
            <sz val="9"/>
            <color indexed="81"/>
            <rFont val="Tahoma"/>
            <family val="2"/>
            <charset val="186"/>
          </rPr>
          <t>Autorius:</t>
        </r>
        <r>
          <rPr>
            <sz val="9"/>
            <color indexed="81"/>
            <rFont val="Tahoma"/>
            <family val="2"/>
            <charset val="186"/>
          </rPr>
          <t xml:space="preserve">
per metus?</t>
        </r>
      </text>
    </comment>
    <comment ref="H16" authorId="0" shapeId="0" xr:uid="{00000000-0006-0000-0200-00001A000000}">
      <text>
        <r>
          <rPr>
            <b/>
            <sz val="9"/>
            <color indexed="81"/>
            <rFont val="Tahoma"/>
            <family val="2"/>
            <charset val="186"/>
          </rPr>
          <t>Autorius:</t>
        </r>
        <r>
          <rPr>
            <sz val="9"/>
            <color indexed="81"/>
            <rFont val="Tahoma"/>
            <family val="2"/>
            <charset val="186"/>
          </rPr>
          <t xml:space="preserve">
produkto ar rezultato?</t>
        </r>
      </text>
    </comment>
    <comment ref="O16" authorId="0" shapeId="0" xr:uid="{00000000-0006-0000-0200-00001B000000}">
      <text>
        <r>
          <rPr>
            <b/>
            <sz val="9"/>
            <color indexed="81"/>
            <rFont val="Tahoma"/>
            <family val="2"/>
            <charset val="186"/>
          </rPr>
          <t>Autorius:</t>
        </r>
        <r>
          <rPr>
            <sz val="9"/>
            <color indexed="81"/>
            <rFont val="Tahoma"/>
            <family val="2"/>
            <charset val="186"/>
          </rPr>
          <t xml:space="preserve">
n/a</t>
        </r>
      </text>
    </comment>
    <comment ref="H17" authorId="0" shapeId="0" xr:uid="{00000000-0006-0000-0200-00001C000000}">
      <text>
        <r>
          <rPr>
            <b/>
            <sz val="9"/>
            <color indexed="81"/>
            <rFont val="Tahoma"/>
            <family val="2"/>
            <charset val="186"/>
          </rPr>
          <t>Autorius:</t>
        </r>
        <r>
          <rPr>
            <sz val="9"/>
            <color indexed="81"/>
            <rFont val="Tahoma"/>
            <family val="2"/>
            <charset val="186"/>
          </rPr>
          <t xml:space="preserve">
produkto ar rezultato?</t>
        </r>
      </text>
    </comment>
    <comment ref="O17" authorId="0" shapeId="0" xr:uid="{00000000-0006-0000-0200-00001D000000}">
      <text>
        <r>
          <rPr>
            <b/>
            <sz val="9"/>
            <color indexed="81"/>
            <rFont val="Tahoma"/>
            <family val="2"/>
            <charset val="186"/>
          </rPr>
          <t>Autorius:</t>
        </r>
        <r>
          <rPr>
            <sz val="9"/>
            <color indexed="81"/>
            <rFont val="Tahoma"/>
            <family val="2"/>
            <charset val="186"/>
          </rPr>
          <t xml:space="preserve">
n/a</t>
        </r>
      </text>
    </comment>
    <comment ref="A18" authorId="0" shapeId="0" xr:uid="{00000000-0006-0000-0200-00001E000000}">
      <text>
        <r>
          <rPr>
            <b/>
            <sz val="9"/>
            <color indexed="81"/>
            <rFont val="Tahoma"/>
            <family val="2"/>
            <charset val="186"/>
          </rPr>
          <t>Autorius:
diegti ITS, eismo saugumo ir aplinkosaugines priemones, kad būtų pasiekti TEN-T kelių techniniai parametrai, kurie tenkintų kelių transporto apkrovimo reikalavimus, užtikrintų tinkamą TEN-T tinklo pralaidumą ir eismo saugumą. Numatoma tęsti TEN-T tinklo kelių transporto infrastruktūros modernizavimą ir plėtrą, kelių transporto eismo saugos ir aplinkosauginių parametrų didinimą, TEN-T tinklo kelių, su jais susijusių privažiuojamųjų ir tiesioginių jungiamųjų kelių rekonstrukciją ir plėtrą, įskaitant miestų ir miestelių aplinkkelių tiesimą, intelektinių kelių transporto sistemų diegimą. Siekiant užtikrinti „naudotojas moka“ ir „teršėjas moka“ principų įgyvendinimą, numatoma įdiegti elektroninę atstuminę rinkliavos sistemą. Prioritetas bus teikiamas TEN -T pagrindinio kelių tinklo tobulinimui ir plėtrai, siekiant užtikrinti, kad TEN-T kelių infrastruktūra Lietuvoje atitiktų TEN-T gairėse (Reglamentas Nr. 1315/2013) nustatytus reikalavimus ir eismo saugai keliuose užtikrinti. Ši veikla bus įgyvendinama visoje Lietuvoj</t>
        </r>
        <r>
          <rPr>
            <sz val="9"/>
            <color indexed="81"/>
            <rFont val="Tahoma"/>
            <family val="2"/>
            <charset val="186"/>
          </rPr>
          <t xml:space="preserve">e. </t>
        </r>
      </text>
    </comment>
    <comment ref="E18" authorId="0" shapeId="0" xr:uid="{00000000-0006-0000-0200-00001F000000}">
      <text>
        <r>
          <rPr>
            <b/>
            <sz val="9"/>
            <color indexed="81"/>
            <rFont val="Tahoma"/>
            <family val="2"/>
            <charset val="186"/>
          </rPr>
          <t>Autorius:</t>
        </r>
        <r>
          <rPr>
            <sz val="9"/>
            <color indexed="81"/>
            <rFont val="Tahoma"/>
            <family val="2"/>
            <charset val="186"/>
          </rPr>
          <t xml:space="preserve">
Jus paskaiciavote 70, as randu, kad 85 proc.</t>
        </r>
      </text>
    </comment>
    <comment ref="I18" authorId="0" shapeId="0" xr:uid="{00000000-0006-0000-0200-000020000000}">
      <text>
        <r>
          <rPr>
            <b/>
            <sz val="9"/>
            <color indexed="81"/>
            <rFont val="Tahoma"/>
            <family val="2"/>
            <charset val="186"/>
          </rPr>
          <t>Autorius:</t>
        </r>
        <r>
          <rPr>
            <sz val="9"/>
            <color indexed="81"/>
            <rFont val="Tahoma"/>
            <family val="2"/>
            <charset val="186"/>
          </rPr>
          <t xml:space="preserve">
irasykite angliskai</t>
        </r>
      </text>
    </comment>
    <comment ref="N18" authorId="0" shapeId="0" xr:uid="{00000000-0006-0000-0200-000021000000}">
      <text>
        <r>
          <rPr>
            <b/>
            <sz val="9"/>
            <color indexed="81"/>
            <rFont val="Tahoma"/>
            <family val="2"/>
            <charset val="186"/>
          </rPr>
          <t>Autorius:</t>
        </r>
        <r>
          <rPr>
            <sz val="9"/>
            <color indexed="81"/>
            <rFont val="Tahoma"/>
            <family val="2"/>
            <charset val="186"/>
          </rPr>
          <t xml:space="preserve">
produkto rodikliams n/a</t>
        </r>
      </text>
    </comment>
    <comment ref="O18" authorId="0" shapeId="0" xr:uid="{00000000-0006-0000-0200-000022000000}">
      <text>
        <r>
          <rPr>
            <b/>
            <sz val="9"/>
            <color indexed="81"/>
            <rFont val="Tahoma"/>
            <family val="2"/>
            <charset val="186"/>
          </rPr>
          <t>Autorius:</t>
        </r>
        <r>
          <rPr>
            <sz val="9"/>
            <color indexed="81"/>
            <rFont val="Tahoma"/>
            <family val="2"/>
            <charset val="186"/>
          </rPr>
          <t xml:space="preserve">
kodel neplanuojate tarpines?</t>
        </r>
      </text>
    </comment>
    <comment ref="I19" authorId="0" shapeId="0" xr:uid="{00000000-0006-0000-0200-000023000000}">
      <text>
        <r>
          <rPr>
            <b/>
            <sz val="9"/>
            <color indexed="81"/>
            <rFont val="Tahoma"/>
            <family val="2"/>
            <charset val="186"/>
          </rPr>
          <t>Autorius:</t>
        </r>
        <r>
          <rPr>
            <sz val="9"/>
            <color indexed="81"/>
            <rFont val="Tahoma"/>
            <family val="2"/>
            <charset val="186"/>
          </rPr>
          <t xml:space="preserve">
irasykite angliskai</t>
        </r>
      </text>
    </comment>
    <comment ref="M19" authorId="0" shapeId="0" xr:uid="{00000000-0006-0000-0200-00002400000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t>
        </r>
        <r>
          <rPr>
            <b/>
            <sz val="9"/>
            <color indexed="81"/>
            <rFont val="Tahoma"/>
            <family val="2"/>
            <charset val="186"/>
          </rPr>
          <t>can be zero for new roads.
Tai galima daryti prielaida, kad bus tik nauji?</t>
        </r>
      </text>
    </comment>
    <comment ref="O19" authorId="0" shapeId="0" xr:uid="{00000000-0006-0000-0200-000025000000}">
      <text>
        <r>
          <rPr>
            <b/>
            <sz val="9"/>
            <color indexed="81"/>
            <rFont val="Tahoma"/>
            <family val="2"/>
            <charset val="186"/>
          </rPr>
          <t>Autorius:</t>
        </r>
        <r>
          <rPr>
            <sz val="9"/>
            <color indexed="81"/>
            <rFont val="Tahoma"/>
            <family val="2"/>
            <charset val="186"/>
          </rPr>
          <t xml:space="preserve">
n/a</t>
        </r>
      </text>
    </comment>
    <comment ref="I20" authorId="0" shapeId="0" xr:uid="{00000000-0006-0000-0200-000026000000}">
      <text>
        <r>
          <rPr>
            <b/>
            <sz val="9"/>
            <color indexed="81"/>
            <rFont val="Tahoma"/>
            <family val="2"/>
            <charset val="186"/>
          </rPr>
          <t>Autorius:</t>
        </r>
        <r>
          <rPr>
            <sz val="9"/>
            <color indexed="81"/>
            <rFont val="Tahoma"/>
            <family val="2"/>
            <charset val="186"/>
          </rPr>
          <t xml:space="preserve">
irasykite angliskai</t>
        </r>
      </text>
    </comment>
    <comment ref="O20" authorId="0" shapeId="0" xr:uid="{00000000-0006-0000-0200-000027000000}">
      <text>
        <r>
          <rPr>
            <b/>
            <sz val="9"/>
            <color indexed="81"/>
            <rFont val="Tahoma"/>
            <family val="2"/>
            <charset val="186"/>
          </rPr>
          <t>Autorius:</t>
        </r>
        <r>
          <rPr>
            <sz val="9"/>
            <color indexed="81"/>
            <rFont val="Tahoma"/>
            <family val="2"/>
            <charset val="186"/>
          </rPr>
          <t xml:space="preserve">
n/a</t>
        </r>
      </text>
    </comment>
    <comment ref="E21" authorId="0" shapeId="0" xr:uid="{00000000-0006-0000-0200-000028000000}">
      <text>
        <r>
          <rPr>
            <b/>
            <sz val="9"/>
            <color indexed="81"/>
            <rFont val="Tahoma"/>
            <family val="2"/>
            <charset val="186"/>
          </rPr>
          <t>Autorius:</t>
        </r>
        <r>
          <rPr>
            <sz val="9"/>
            <color indexed="81"/>
            <rFont val="Tahoma"/>
            <family val="2"/>
            <charset val="186"/>
          </rPr>
          <t xml:space="preserve">
Jus paskaiciavote 70, as randu, kad 85 proc.</t>
        </r>
      </text>
    </comment>
    <comment ref="I21" authorId="0" shapeId="0" xr:uid="{00000000-0006-0000-0200-000029000000}">
      <text>
        <r>
          <rPr>
            <b/>
            <sz val="9"/>
            <color indexed="81"/>
            <rFont val="Tahoma"/>
            <family val="2"/>
            <charset val="186"/>
          </rPr>
          <t>Autorius:</t>
        </r>
        <r>
          <rPr>
            <sz val="9"/>
            <color indexed="81"/>
            <rFont val="Tahoma"/>
            <family val="2"/>
            <charset val="186"/>
          </rPr>
          <t xml:space="preserve">
irasykite angliskai</t>
        </r>
      </text>
    </comment>
    <comment ref="N21" authorId="0" shapeId="0" xr:uid="{00000000-0006-0000-0200-00002A000000}">
      <text>
        <r>
          <rPr>
            <b/>
            <sz val="9"/>
            <color indexed="81"/>
            <rFont val="Tahoma"/>
            <family val="2"/>
            <charset val="186"/>
          </rPr>
          <t>Autorius:</t>
        </r>
        <r>
          <rPr>
            <sz val="9"/>
            <color indexed="81"/>
            <rFont val="Tahoma"/>
            <family val="2"/>
            <charset val="186"/>
          </rPr>
          <t xml:space="preserve">
n/a</t>
        </r>
      </text>
    </comment>
    <comment ref="O21" authorId="0" shapeId="0" xr:uid="{00000000-0006-0000-0200-00002B000000}">
      <text>
        <r>
          <rPr>
            <b/>
            <sz val="9"/>
            <color indexed="81"/>
            <rFont val="Tahoma"/>
            <family val="2"/>
            <charset val="186"/>
          </rPr>
          <t>Autorius:</t>
        </r>
        <r>
          <rPr>
            <sz val="9"/>
            <color indexed="81"/>
            <rFont val="Tahoma"/>
            <family val="2"/>
            <charset val="186"/>
          </rPr>
          <t xml:space="preserve">
kodel neplanuojate tarpines?</t>
        </r>
      </text>
    </comment>
    <comment ref="I22" authorId="0" shapeId="0" xr:uid="{00000000-0006-0000-0200-00002C000000}">
      <text>
        <r>
          <rPr>
            <b/>
            <sz val="9"/>
            <color indexed="81"/>
            <rFont val="Tahoma"/>
            <family val="2"/>
            <charset val="186"/>
          </rPr>
          <t>Autorius:</t>
        </r>
        <r>
          <rPr>
            <sz val="9"/>
            <color indexed="81"/>
            <rFont val="Tahoma"/>
            <family val="2"/>
            <charset val="186"/>
          </rPr>
          <t xml:space="preserve">
irasykite angliskai</t>
        </r>
      </text>
    </comment>
    <comment ref="M22" authorId="0" shapeId="0" xr:uid="{00000000-0006-0000-0200-00002D00000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can be zero for new roads.
Tai galima daryti prielaida, kad bus tik nauji?
Bet RCO45 yra tik rekonstruoti ir modernizuoti?</t>
        </r>
      </text>
    </comment>
    <comment ref="O22" authorId="0" shapeId="0" xr:uid="{00000000-0006-0000-0200-00002E000000}">
      <text>
        <r>
          <rPr>
            <b/>
            <sz val="9"/>
            <color indexed="81"/>
            <rFont val="Tahoma"/>
            <family val="2"/>
            <charset val="186"/>
          </rPr>
          <t>Autorius:</t>
        </r>
        <r>
          <rPr>
            <sz val="9"/>
            <color indexed="81"/>
            <rFont val="Tahoma"/>
            <family val="2"/>
            <charset val="186"/>
          </rPr>
          <t xml:space="preserve">
n/a</t>
        </r>
      </text>
    </comment>
    <comment ref="I23" authorId="0" shapeId="0" xr:uid="{00000000-0006-0000-0200-00002F000000}">
      <text>
        <r>
          <rPr>
            <b/>
            <sz val="9"/>
            <color indexed="81"/>
            <rFont val="Tahoma"/>
            <family val="2"/>
            <charset val="186"/>
          </rPr>
          <t>Autorius:</t>
        </r>
        <r>
          <rPr>
            <sz val="9"/>
            <color indexed="81"/>
            <rFont val="Tahoma"/>
            <family val="2"/>
            <charset val="186"/>
          </rPr>
          <t xml:space="preserve">
irasykite angliskai</t>
        </r>
      </text>
    </comment>
    <comment ref="O23" authorId="0" shapeId="0" xr:uid="{00000000-0006-0000-0200-000030000000}">
      <text>
        <r>
          <rPr>
            <b/>
            <sz val="9"/>
            <color indexed="81"/>
            <rFont val="Tahoma"/>
            <family val="2"/>
            <charset val="186"/>
          </rPr>
          <t>Autorius:</t>
        </r>
        <r>
          <rPr>
            <sz val="9"/>
            <color indexed="81"/>
            <rFont val="Tahoma"/>
            <family val="2"/>
            <charset val="186"/>
          </rPr>
          <t xml:space="preserve">
n/a</t>
        </r>
      </text>
    </comment>
    <comment ref="E24" authorId="0" shapeId="0" xr:uid="{00000000-0006-0000-0200-000031000000}">
      <text>
        <r>
          <rPr>
            <b/>
            <sz val="9"/>
            <color indexed="81"/>
            <rFont val="Tahoma"/>
            <family val="2"/>
            <charset val="186"/>
          </rPr>
          <t>Autorius:</t>
        </r>
        <r>
          <rPr>
            <sz val="9"/>
            <color indexed="81"/>
            <rFont val="Tahoma"/>
            <family val="2"/>
            <charset val="186"/>
          </rPr>
          <t xml:space="preserve">
Jus paskaiciavote 70, as randu, kad 85 proc.</t>
        </r>
      </text>
    </comment>
    <comment ref="I24" authorId="0" shapeId="0" xr:uid="{00000000-0006-0000-0200-000032000000}">
      <text>
        <r>
          <rPr>
            <b/>
            <sz val="9"/>
            <color indexed="81"/>
            <rFont val="Tahoma"/>
            <family val="2"/>
            <charset val="186"/>
          </rPr>
          <t>Autorius:</t>
        </r>
        <r>
          <rPr>
            <sz val="9"/>
            <color indexed="81"/>
            <rFont val="Tahoma"/>
            <family val="2"/>
            <charset val="186"/>
          </rPr>
          <t xml:space="preserve">
irasykite angliskai</t>
        </r>
      </text>
    </comment>
    <comment ref="N24" authorId="0" shapeId="0" xr:uid="{00000000-0006-0000-0200-000033000000}">
      <text>
        <r>
          <rPr>
            <b/>
            <sz val="9"/>
            <color indexed="81"/>
            <rFont val="Tahoma"/>
            <family val="2"/>
            <charset val="186"/>
          </rPr>
          <t>Autorius:</t>
        </r>
        <r>
          <rPr>
            <sz val="9"/>
            <color indexed="81"/>
            <rFont val="Tahoma"/>
            <family val="2"/>
            <charset val="186"/>
          </rPr>
          <t xml:space="preserve">
n/a</t>
        </r>
      </text>
    </comment>
    <comment ref="O24" authorId="0" shapeId="0" xr:uid="{00000000-0006-0000-0200-000034000000}">
      <text>
        <r>
          <rPr>
            <b/>
            <sz val="9"/>
            <color indexed="81"/>
            <rFont val="Tahoma"/>
            <family val="2"/>
            <charset val="186"/>
          </rPr>
          <t>Autorius:</t>
        </r>
        <r>
          <rPr>
            <sz val="9"/>
            <color indexed="81"/>
            <rFont val="Tahoma"/>
            <family val="2"/>
            <charset val="186"/>
          </rPr>
          <t xml:space="preserve">
kosel neplanuojate tarines?</t>
        </r>
      </text>
    </comment>
    <comment ref="I25" authorId="0" shapeId="0" xr:uid="{00000000-0006-0000-0200-000035000000}">
      <text>
        <r>
          <rPr>
            <b/>
            <sz val="9"/>
            <color indexed="81"/>
            <rFont val="Tahoma"/>
            <family val="2"/>
            <charset val="186"/>
          </rPr>
          <t>Autorius:</t>
        </r>
        <r>
          <rPr>
            <sz val="9"/>
            <color indexed="81"/>
            <rFont val="Tahoma"/>
            <family val="2"/>
            <charset val="186"/>
          </rPr>
          <t xml:space="preserve">
irasykite angliskai</t>
        </r>
      </text>
    </comment>
    <comment ref="M25" authorId="0" shapeId="0" xr:uid="{00000000-0006-0000-0200-000036000000}">
      <text>
        <r>
          <rPr>
            <b/>
            <sz val="9"/>
            <color indexed="81"/>
            <rFont val="Tahoma"/>
            <family val="2"/>
            <charset val="186"/>
          </rPr>
          <t>Autorius:</t>
        </r>
        <r>
          <rPr>
            <sz val="9"/>
            <color indexed="81"/>
            <rFont val="Tahoma"/>
            <family val="2"/>
            <charset val="186"/>
          </rPr>
          <t xml:space="preserve">
The indicator baseline refers to the estimated number of passenger-km travelled on the respective road in the year before the intervention starts, and it can be zero for new roads.
Tai galima daryti prielaida, kad bus tik nauji?
Bet RCO45 yra tik rekonstruoti ir modernizuoti?</t>
        </r>
      </text>
    </comment>
    <comment ref="O25" authorId="0" shapeId="0" xr:uid="{00000000-0006-0000-0200-000037000000}">
      <text>
        <r>
          <rPr>
            <b/>
            <sz val="9"/>
            <color indexed="81"/>
            <rFont val="Tahoma"/>
            <family val="2"/>
            <charset val="186"/>
          </rPr>
          <t>Autorius:</t>
        </r>
        <r>
          <rPr>
            <sz val="9"/>
            <color indexed="81"/>
            <rFont val="Tahoma"/>
            <family val="2"/>
            <charset val="186"/>
          </rPr>
          <t xml:space="preserve">
n/a</t>
        </r>
      </text>
    </comment>
    <comment ref="I26" authorId="0" shapeId="0" xr:uid="{00000000-0006-0000-0200-000038000000}">
      <text>
        <r>
          <rPr>
            <b/>
            <sz val="9"/>
            <color indexed="81"/>
            <rFont val="Tahoma"/>
            <family val="2"/>
            <charset val="186"/>
          </rPr>
          <t>Autorius:</t>
        </r>
        <r>
          <rPr>
            <sz val="9"/>
            <color indexed="81"/>
            <rFont val="Tahoma"/>
            <family val="2"/>
            <charset val="186"/>
          </rPr>
          <t xml:space="preserve">
irasykite angliskai</t>
        </r>
      </text>
    </comment>
    <comment ref="O26" authorId="0" shapeId="0" xr:uid="{00000000-0006-0000-0200-000039000000}">
      <text>
        <r>
          <rPr>
            <b/>
            <sz val="9"/>
            <color indexed="81"/>
            <rFont val="Tahoma"/>
            <family val="2"/>
            <charset val="186"/>
          </rPr>
          <t>Autorius:</t>
        </r>
        <r>
          <rPr>
            <sz val="9"/>
            <color indexed="81"/>
            <rFont val="Tahoma"/>
            <family val="2"/>
            <charset val="186"/>
          </rPr>
          <t xml:space="preserve">
n/a</t>
        </r>
      </text>
    </comment>
    <comment ref="E27" authorId="0" shapeId="0" xr:uid="{00000000-0006-0000-0200-00003A000000}">
      <text>
        <r>
          <rPr>
            <b/>
            <sz val="9"/>
            <color indexed="81"/>
            <rFont val="Tahoma"/>
            <family val="2"/>
            <charset val="186"/>
          </rPr>
          <t>Autorius:</t>
        </r>
        <r>
          <rPr>
            <sz val="9"/>
            <color indexed="81"/>
            <rFont val="Tahoma"/>
            <family val="2"/>
            <charset val="186"/>
          </rPr>
          <t xml:space="preserve">
Jus paskaiciavote 70, as randu, kad 85 proc.</t>
        </r>
      </text>
    </comment>
    <comment ref="M27" authorId="0" shapeId="0" xr:uid="{00000000-0006-0000-0200-00003B000000}">
      <text>
        <r>
          <rPr>
            <b/>
            <sz val="9"/>
            <color indexed="81"/>
            <rFont val="Tahoma"/>
            <family val="2"/>
            <charset val="186"/>
          </rPr>
          <t>Autorius:</t>
        </r>
        <r>
          <rPr>
            <sz val="9"/>
            <color indexed="81"/>
            <rFont val="Tahoma"/>
            <family val="2"/>
            <charset val="186"/>
          </rPr>
          <t xml:space="preserve">
uzpildykite</t>
        </r>
      </text>
    </comment>
    <comment ref="N27" authorId="0" shapeId="0" xr:uid="{00000000-0006-0000-0200-00003C000000}">
      <text>
        <r>
          <rPr>
            <b/>
            <sz val="9"/>
            <color indexed="81"/>
            <rFont val="Tahoma"/>
            <family val="2"/>
            <charset val="186"/>
          </rPr>
          <t>Autorius:</t>
        </r>
        <r>
          <rPr>
            <sz val="9"/>
            <color indexed="81"/>
            <rFont val="Tahoma"/>
            <family val="2"/>
            <charset val="186"/>
          </rPr>
          <t xml:space="preserve">
n/a</t>
        </r>
      </text>
    </comment>
    <comment ref="R27" authorId="0" shapeId="0" xr:uid="{00000000-0006-0000-0200-00003D000000}">
      <text>
        <r>
          <rPr>
            <b/>
            <sz val="9"/>
            <color indexed="81"/>
            <rFont val="Tahoma"/>
            <family val="2"/>
            <charset val="186"/>
          </rPr>
          <t>Autorius:</t>
        </r>
        <r>
          <rPr>
            <sz val="9"/>
            <color indexed="81"/>
            <rFont val="Tahoma"/>
            <family val="2"/>
            <charset val="186"/>
          </rPr>
          <t xml:space="preserve">
kuo remiantis apskaiciuotas ikainis? 2014-2020 patirtimi? Taip ir parasykite.
Patiklsinkite siektina reiksme pagal ES+BF. Kai suvedziau 85 proc. Gaunu kitokia bendra suma (74,4 mln.)</t>
        </r>
      </text>
    </comment>
    <comment ref="A29" authorId="0" shapeId="0" xr:uid="{00000000-0006-0000-0200-00003E000000}">
      <text>
        <r>
          <rPr>
            <b/>
            <sz val="9"/>
            <color indexed="81"/>
            <rFont val="Tahoma"/>
            <family val="2"/>
            <charset val="186"/>
          </rPr>
          <t>Autorius:
įskaitant multimodalinio transporto terminalus ir miest</t>
        </r>
        <r>
          <rPr>
            <sz val="9"/>
            <color indexed="81"/>
            <rFont val="Tahoma"/>
            <family val="2"/>
            <charset val="186"/>
          </rPr>
          <t>ų</t>
        </r>
        <r>
          <rPr>
            <b/>
            <sz val="9"/>
            <color indexed="81"/>
            <rFont val="Tahoma"/>
            <family val="2"/>
            <charset val="186"/>
          </rPr>
          <t xml:space="preserve"> transporto mazgus, užtikrinant keleivinio ir krovininio skirtingų transporto rūšių infrastruktūros sujungimą, skirtingų transporto rūšių stočių sujungimą su regioninio bei vietinio eismo ir krovinių vežimo mieste infrastruktūra, įskaitant logistikos konsolidavimą ir skirstymo centrus. Ši veikla bus įgyvendinama visoje Lietuvoje.</t>
        </r>
      </text>
    </comment>
    <comment ref="E29" authorId="0" shapeId="0" xr:uid="{00000000-0006-0000-0200-00003F000000}">
      <text>
        <r>
          <rPr>
            <b/>
            <sz val="9"/>
            <color indexed="81"/>
            <rFont val="Tahoma"/>
            <family val="2"/>
            <charset val="186"/>
          </rPr>
          <t>Autorius:</t>
        </r>
        <r>
          <rPr>
            <sz val="9"/>
            <color indexed="81"/>
            <rFont val="Tahoma"/>
            <family val="2"/>
            <charset val="186"/>
          </rPr>
          <t xml:space="preserve">
Jus paskaiciavote 70, as randu, kad 85 proc.</t>
        </r>
      </text>
    </comment>
    <comment ref="I29" authorId="0" shapeId="0" xr:uid="{00000000-0006-0000-0200-000040000000}">
      <text>
        <r>
          <rPr>
            <b/>
            <sz val="9"/>
            <color indexed="81"/>
            <rFont val="Tahoma"/>
            <family val="2"/>
            <charset val="186"/>
          </rPr>
          <t>Autorius:</t>
        </r>
        <r>
          <rPr>
            <sz val="9"/>
            <color indexed="81"/>
            <rFont val="Tahoma"/>
            <family val="2"/>
            <charset val="186"/>
          </rPr>
          <t xml:space="preserve">
irasykite angliskai</t>
        </r>
      </text>
    </comment>
    <comment ref="L29" authorId="0" shapeId="0" xr:uid="{00000000-0006-0000-0200-000041000000}">
      <text>
        <r>
          <rPr>
            <b/>
            <sz val="9"/>
            <color indexed="81"/>
            <rFont val="Tahoma"/>
            <family val="2"/>
            <charset val="186"/>
          </rPr>
          <t>Autorius:</t>
        </r>
        <r>
          <rPr>
            <sz val="9"/>
            <color indexed="81"/>
            <rFont val="Tahoma"/>
            <family val="2"/>
            <charset val="186"/>
          </rPr>
          <t xml:space="preserve">
naujos?</t>
        </r>
      </text>
    </comment>
    <comment ref="N29" authorId="0" shapeId="0" xr:uid="{00000000-0006-0000-0200-000042000000}">
      <text>
        <r>
          <rPr>
            <b/>
            <sz val="9"/>
            <color indexed="81"/>
            <rFont val="Tahoma"/>
            <family val="2"/>
            <charset val="186"/>
          </rPr>
          <t>Autorius:</t>
        </r>
        <r>
          <rPr>
            <sz val="9"/>
            <color indexed="81"/>
            <rFont val="Tahoma"/>
            <family val="2"/>
            <charset val="186"/>
          </rPr>
          <t xml:space="preserve">
n/a</t>
        </r>
      </text>
    </comment>
    <comment ref="I30" authorId="0" shapeId="0" xr:uid="{00000000-0006-0000-0200-000043000000}">
      <text>
        <r>
          <rPr>
            <b/>
            <sz val="9"/>
            <color indexed="81"/>
            <rFont val="Tahoma"/>
            <family val="2"/>
            <charset val="186"/>
          </rPr>
          <t>Autorius:</t>
        </r>
        <r>
          <rPr>
            <sz val="9"/>
            <color indexed="81"/>
            <rFont val="Tahoma"/>
            <family val="2"/>
            <charset val="186"/>
          </rPr>
          <t xml:space="preserve">
irasykite angliskai</t>
        </r>
      </text>
    </comment>
    <comment ref="M30" authorId="0" shapeId="0" xr:uid="{00000000-0006-0000-0200-000044000000}">
      <text>
        <r>
          <rPr>
            <b/>
            <sz val="9"/>
            <color indexed="81"/>
            <rFont val="Tahoma"/>
            <family val="2"/>
            <charset val="186"/>
          </rPr>
          <t>Autorius:</t>
        </r>
        <r>
          <rPr>
            <sz val="9"/>
            <color indexed="81"/>
            <rFont val="Tahoma"/>
            <family val="2"/>
            <charset val="186"/>
          </rPr>
          <t xml:space="preserve">
The indicator baseline refers to the total freight weight transported on the respective rail line in the year before the intervention starts, and it can be zero for a new rail line.
Tai galima daryti prielaida, kad planuojama naujos?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A3" authorId="0" shapeId="0" xr:uid="{00000000-0006-0000-0300-000001000000}">
      <text>
        <r>
          <rPr>
            <b/>
            <sz val="9"/>
            <color indexed="81"/>
            <rFont val="Tahoma"/>
            <family val="2"/>
            <charset val="186"/>
          </rPr>
          <t>Autorius:</t>
        </r>
        <r>
          <rPr>
            <sz val="9"/>
            <color indexed="81"/>
            <rFont val="Tahoma"/>
            <family val="2"/>
            <charset val="186"/>
          </rPr>
          <t xml:space="preserve">
perkelta į 2.8</t>
        </r>
      </text>
    </comment>
    <comment ref="A7" authorId="0" shapeId="0" xr:uid="{00000000-0006-0000-0300-000002000000}">
      <text>
        <r>
          <rPr>
            <b/>
            <sz val="9"/>
            <color indexed="81"/>
            <rFont val="Tahoma"/>
            <family val="2"/>
            <charset val="186"/>
          </rPr>
          <t>Autorius:
gerinant jų techninius parametrus, didinti eismo saugą regioniniuose keliuose bei atitiktį aplinkosaugos reikalavimams, diegti ITS, užtikrinant tinkamus kelių techninius parametrus, padidinant jų pralaidumą ir eismo saugą. Bus įrengiami trūkstami aplinkkeliai, plėtojama savivaldybių susisiekimo infrastruktūra, diegiamos intelektines transporto sistemos ir inovatyvūs sprendimai. Siekiant pagerinti valstybinės reikšmės kelių techninius parametrus, daugeliu atveju regionuose bus tobulinami ir rekonstruojami keliai, tuo pačiu užtikrinant eismo saugą (įrengiant eismo saugos priemones), mažinant „juodųjų dėmių“ skaičių keliuose, užkertant kelią naujų „juodųjų dėmių“ atsiradimui, įrengiant transporto priemonių ir pėstiesiems skirtą infrastruktūrą, eliminuojant vieno lygio susikirtimus su geležinkeliu, bus diegiamos aplinkosaugos priemonės (triukšmo mažinimo priemonės, priemonės gyvūnų apsaugai). Ši veikla bus įgyvendinama visoje Lietuvoje.</t>
        </r>
      </text>
    </comment>
    <comment ref="N7" authorId="0" shapeId="0" xr:uid="{00000000-0006-0000-0300-000003000000}">
      <text>
        <r>
          <rPr>
            <b/>
            <sz val="9"/>
            <color indexed="81"/>
            <rFont val="Tahoma"/>
            <family val="2"/>
            <charset val="186"/>
          </rPr>
          <t>Autorius:</t>
        </r>
        <r>
          <rPr>
            <sz val="9"/>
            <color indexed="81"/>
            <rFont val="Tahoma"/>
            <family val="2"/>
            <charset val="186"/>
          </rPr>
          <t xml:space="preserve">
n/a</t>
        </r>
      </text>
    </comment>
    <comment ref="M8" authorId="0" shapeId="0" xr:uid="{00000000-0006-0000-0300-000004000000}">
      <text>
        <r>
          <rPr>
            <b/>
            <sz val="9"/>
            <color indexed="81"/>
            <rFont val="Tahoma"/>
            <family val="2"/>
            <charset val="186"/>
          </rPr>
          <t>Autorius:</t>
        </r>
        <r>
          <rPr>
            <sz val="9"/>
            <color indexed="81"/>
            <rFont val="Tahoma"/>
            <family val="2"/>
            <charset val="186"/>
          </rPr>
          <t xml:space="preserve">
irasykit pradine verte. 0 kaip suprantu gali buti naujiems keliams, bet jeigu renkates RCO046, tai ten nauju nera. Nauji gali buti pagal RCO44.</t>
        </r>
      </text>
    </comment>
    <comment ref="H10" authorId="0" shapeId="0" xr:uid="{00000000-0006-0000-0300-000005000000}">
      <text>
        <r>
          <rPr>
            <b/>
            <sz val="9"/>
            <color indexed="81"/>
            <rFont val="Tahoma"/>
            <family val="2"/>
            <charset val="186"/>
          </rPr>
          <t>Autorius:</t>
        </r>
        <r>
          <rPr>
            <sz val="9"/>
            <color indexed="81"/>
            <rFont val="Tahoma"/>
            <family val="2"/>
            <charset val="186"/>
          </rPr>
          <t xml:space="preserve">
produkto?</t>
        </r>
      </text>
    </comment>
    <comment ref="I10" authorId="0" shapeId="0" xr:uid="{00000000-0006-0000-0300-000006000000}">
      <text>
        <r>
          <rPr>
            <b/>
            <sz val="9"/>
            <color indexed="81"/>
            <rFont val="Tahoma"/>
            <family val="2"/>
            <charset val="186"/>
          </rPr>
          <t>Autorius:</t>
        </r>
        <r>
          <rPr>
            <sz val="9"/>
            <color indexed="81"/>
            <rFont val="Tahoma"/>
            <family val="2"/>
            <charset val="186"/>
          </rPr>
          <t xml:space="preserve">
Įdiegtos saugų eismą gerinančios ir
aplinkosaugos priemonės? Cia pie ta pati? Gal dabartine formuluote naudokite?</t>
        </r>
      </text>
    </comment>
    <comment ref="N10" authorId="0" shapeId="0" xr:uid="{00000000-0006-0000-0300-000007000000}">
      <text>
        <r>
          <rPr>
            <b/>
            <sz val="9"/>
            <color indexed="81"/>
            <rFont val="Tahoma"/>
            <family val="2"/>
            <charset val="186"/>
          </rPr>
          <t>Autorius:</t>
        </r>
        <r>
          <rPr>
            <sz val="9"/>
            <color indexed="81"/>
            <rFont val="Tahoma"/>
            <family val="2"/>
            <charset val="186"/>
          </rPr>
          <t xml:space="preserve">
produkto rodikliams n/a</t>
        </r>
      </text>
    </comment>
    <comment ref="P10" authorId="0" shapeId="0" xr:uid="{00000000-0006-0000-0300-000008000000}">
      <text>
        <r>
          <rPr>
            <b/>
            <sz val="9"/>
            <color indexed="81"/>
            <rFont val="Tahoma"/>
            <family val="2"/>
            <charset val="186"/>
          </rPr>
          <t>Autorius:</t>
        </r>
        <r>
          <rPr>
            <sz val="9"/>
            <color indexed="81"/>
            <rFont val="Tahoma"/>
            <family val="2"/>
            <charset val="186"/>
          </rPr>
          <t xml:space="preserve">
ar tikrai apvalinate I didesne puse?</t>
        </r>
      </text>
    </comment>
    <comment ref="H11" authorId="0" shapeId="0" xr:uid="{00000000-0006-0000-0300-000009000000}">
      <text>
        <r>
          <rPr>
            <b/>
            <sz val="9"/>
            <color indexed="81"/>
            <rFont val="Tahoma"/>
            <family val="2"/>
            <charset val="186"/>
          </rPr>
          <t>Autorius:</t>
        </r>
        <r>
          <rPr>
            <sz val="9"/>
            <color indexed="81"/>
            <rFont val="Tahoma"/>
            <family val="2"/>
            <charset val="186"/>
          </rPr>
          <t xml:space="preserve">
produkto?</t>
        </r>
      </text>
    </comment>
    <comment ref="I11" authorId="0" shapeId="0" xr:uid="{00000000-0006-0000-0300-00000A000000}">
      <text>
        <r>
          <rPr>
            <b/>
            <sz val="9"/>
            <color indexed="81"/>
            <rFont val="Tahoma"/>
            <family val="2"/>
            <charset val="186"/>
          </rPr>
          <t>Autorius:</t>
        </r>
        <r>
          <rPr>
            <sz val="9"/>
            <color indexed="81"/>
            <rFont val="Tahoma"/>
            <family val="2"/>
            <charset val="186"/>
          </rPr>
          <t xml:space="preserve">
cia gal per metus?</t>
        </r>
      </text>
    </comment>
    <comment ref="L11" authorId="0" shapeId="0" xr:uid="{00000000-0006-0000-0300-00000B000000}">
      <text>
        <r>
          <rPr>
            <b/>
            <sz val="9"/>
            <color indexed="81"/>
            <rFont val="Tahoma"/>
            <family val="2"/>
            <charset val="186"/>
          </rPr>
          <t>Autorius:</t>
        </r>
        <r>
          <rPr>
            <sz val="9"/>
            <color indexed="81"/>
            <rFont val="Tahoma"/>
            <family val="2"/>
            <charset val="186"/>
          </rPr>
          <t xml:space="preserve">
per metus?</t>
        </r>
      </text>
    </comment>
    <comment ref="D12" authorId="0" shapeId="0" xr:uid="{00000000-0006-0000-0300-00000C000000}">
      <text>
        <r>
          <rPr>
            <b/>
            <sz val="9"/>
            <color indexed="81"/>
            <rFont val="Tahoma"/>
            <family val="2"/>
            <charset val="186"/>
          </rPr>
          <t>Autorius:</t>
        </r>
        <r>
          <rPr>
            <sz val="9"/>
            <color indexed="81"/>
            <rFont val="Tahoma"/>
            <family val="2"/>
            <charset val="186"/>
          </rPr>
          <t xml:space="preserve">
EK rekomenduoja naudoti 2.8 uzdaviniui
</t>
        </r>
        <r>
          <rPr>
            <b/>
            <sz val="9"/>
            <color indexed="81"/>
            <rFont val="Tahoma"/>
            <family val="2"/>
            <charset val="186"/>
          </rPr>
          <t xml:space="preserve">Vaida Kazlauskienė:  </t>
        </r>
        <r>
          <rPr>
            <sz val="9"/>
            <color indexed="81"/>
            <rFont val="Tahoma"/>
            <family val="2"/>
            <charset val="186"/>
          </rPr>
          <t xml:space="preserve">Šiame uždavinyje dviračių infrastruktūra planuojama už miestų ribų.  EK komentaras: "cycling paths outside of the cities could be programmed under the PO3 SO 3.3." </t>
        </r>
      </text>
    </comment>
    <comment ref="H12" authorId="0" shapeId="0" xr:uid="{00000000-0006-0000-0300-00000D000000}">
      <text>
        <r>
          <rPr>
            <b/>
            <sz val="9"/>
            <color indexed="81"/>
            <rFont val="Tahoma"/>
            <family val="2"/>
            <charset val="186"/>
          </rPr>
          <t>Autorius:</t>
        </r>
        <r>
          <rPr>
            <sz val="9"/>
            <color indexed="81"/>
            <rFont val="Tahoma"/>
            <family val="2"/>
            <charset val="186"/>
          </rPr>
          <t xml:space="preserve">
pagal Fishes galima naudoti 2.8 uzdavinyje (objective SO 2.viii) Urban mobility
</t>
        </r>
        <r>
          <rPr>
            <b/>
            <sz val="9"/>
            <color indexed="81"/>
            <rFont val="Tahoma"/>
            <family val="2"/>
            <charset val="186"/>
          </rPr>
          <t xml:space="preserve">Vaida Kazlauskienė: </t>
        </r>
        <r>
          <rPr>
            <sz val="9"/>
            <color indexed="81"/>
            <rFont val="Tahoma"/>
            <family val="2"/>
            <charset val="186"/>
          </rPr>
          <t>EK komentaras:
"cycling paths outside of the cities could be programmed under the PO3 SO 3.3"</t>
        </r>
      </text>
    </comment>
    <comment ref="O12" authorId="0" shapeId="0" xr:uid="{00000000-0006-0000-0300-00000E000000}">
      <text>
        <r>
          <rPr>
            <b/>
            <sz val="9"/>
            <color indexed="81"/>
            <rFont val="Tahoma"/>
            <family val="2"/>
            <charset val="186"/>
          </rPr>
          <t>Autorius:</t>
        </r>
        <r>
          <rPr>
            <sz val="9"/>
            <color indexed="81"/>
            <rFont val="Tahoma"/>
            <family val="2"/>
            <charset val="186"/>
          </rPr>
          <t xml:space="preserve">
kodel cia rasote 0?</t>
        </r>
      </text>
    </comment>
    <comment ref="H13" authorId="0" shapeId="0" xr:uid="{00000000-0006-0000-0300-00000F000000}">
      <text>
        <r>
          <rPr>
            <b/>
            <sz val="9"/>
            <color indexed="81"/>
            <rFont val="Tahoma"/>
            <family val="2"/>
            <charset val="186"/>
          </rPr>
          <t>Autorius:</t>
        </r>
        <r>
          <rPr>
            <sz val="9"/>
            <color indexed="81"/>
            <rFont val="Tahoma"/>
            <family val="2"/>
            <charset val="186"/>
          </rPr>
          <t xml:space="preserve">
pagal Fishes galima naudoti 2.8 uzdavinyje (objective SO 2.viii) Urban mobility
</t>
        </r>
        <r>
          <rPr>
            <b/>
            <sz val="9"/>
            <color indexed="81"/>
            <rFont val="Tahoma"/>
            <family val="2"/>
            <charset val="186"/>
          </rPr>
          <t xml:space="preserve">
Vaida Kazlauskienė:</t>
        </r>
        <r>
          <rPr>
            <sz val="9"/>
            <color indexed="81"/>
            <rFont val="Tahoma"/>
            <family val="2"/>
            <charset val="186"/>
          </rPr>
          <t xml:space="preserve"> EK komentaras:
"cycling paths outside of the cities could be programmed under the PO3 SO 3.3"</t>
        </r>
      </text>
    </comment>
    <comment ref="L13" authorId="0" shapeId="0" xr:uid="{00000000-0006-0000-0300-00001000000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xml:space="preserve"> Naujausioje Jasper rodiklių apskaičiavimo metodikoje nurodyti patikslinti rodiklių matavimo vnt.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4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400-000002000000}">
      <text>
        <r>
          <rPr>
            <b/>
            <sz val="9"/>
            <color indexed="81"/>
            <rFont val="Tahoma"/>
            <family val="2"/>
            <charset val="186"/>
          </rPr>
          <t>Autorius:</t>
        </r>
        <r>
          <rPr>
            <sz val="9"/>
            <color indexed="81"/>
            <rFont val="Tahoma"/>
            <family val="2"/>
            <charset val="186"/>
          </rPr>
          <t xml:space="preserve">
ES+LT</t>
        </r>
      </text>
    </comment>
    <comment ref="C7" authorId="0" shapeId="0" xr:uid="{00000000-0006-0000-04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shapeId="0" xr:uid="{00000000-0006-0000-0400-000004000000}">
      <text>
        <r>
          <rPr>
            <b/>
            <sz val="9"/>
            <color indexed="81"/>
            <rFont val="Tahoma"/>
            <family val="2"/>
            <charset val="186"/>
          </rPr>
          <t>Autorius:</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shapeId="0" xr:uid="{00000000-0006-0000-0400-00000500000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shapeId="0" xr:uid="{00000000-0006-0000-0400-000006000000}">
      <text>
        <r>
          <rPr>
            <b/>
            <sz val="9"/>
            <color indexed="81"/>
            <rFont val="Tahoma"/>
            <family val="2"/>
            <charset val="186"/>
          </rPr>
          <t>Autorius:</t>
        </r>
        <r>
          <rPr>
            <sz val="9"/>
            <color indexed="81"/>
            <rFont val="Tahoma"/>
            <family val="2"/>
            <charset val="186"/>
          </rPr>
          <t xml:space="preserve">
not required</t>
        </r>
      </text>
    </comment>
    <comment ref="C12" authorId="0" shapeId="0" xr:uid="{00000000-0006-0000-0400-000007000000}">
      <text>
        <r>
          <rPr>
            <b/>
            <sz val="9"/>
            <color indexed="81"/>
            <rFont val="Tahoma"/>
            <family val="2"/>
            <charset val="186"/>
          </rPr>
          <t>Autorius:</t>
        </r>
        <r>
          <rPr>
            <sz val="9"/>
            <color indexed="81"/>
            <rFont val="Tahoma"/>
            <family val="2"/>
            <charset val="186"/>
          </rPr>
          <t xml:space="preserve">
VVL</t>
        </r>
      </text>
    </comment>
    <comment ref="C13" authorId="0" shapeId="0" xr:uid="{00000000-0006-0000-0400-00000800000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<sst xmlns="http://schemas.openxmlformats.org/spreadsheetml/2006/main" count="993" uniqueCount="346">
  <si>
    <t>Action Veiksmas</t>
  </si>
  <si>
    <t>Rodiklio matavimo vienetas</t>
  </si>
  <si>
    <t>Rodiklio tarpinė 2024 m. reikšmė</t>
  </si>
  <si>
    <t>Rodiklio siektina 2029 m. reikšmė</t>
  </si>
  <si>
    <t>Intervention field</t>
  </si>
  <si>
    <t>Rodiklio kodas</t>
  </si>
  <si>
    <t>Rodiklio pavadinimas</t>
  </si>
  <si>
    <t>code and name</t>
  </si>
  <si>
    <t>n/a</t>
  </si>
  <si>
    <t>Rodiklio pradinė reikšmė</t>
  </si>
  <si>
    <t>Rodiklio pradinės reikšmės metai</t>
  </si>
  <si>
    <t>Konkretus uždavinys – 3.2. Kurti tvarų, atsparų klimato kaitai, pažangų, saugų ir įvairiarūšį transeuropinį transporto tinklą</t>
  </si>
  <si>
    <t>Konkretus uždavinys – 3.3. Kurti tvarų, atsparų klimato kaitai, pažangų, saugų ir įvairiarūšį nacionalinį, regiono ir vietos judumą, įskaitant geresnes galimybes naudotis (TEN-T) bei tarpvalstybinį judumą</t>
  </si>
  <si>
    <t>Fondas</t>
  </si>
  <si>
    <t>Regiono kategorija</t>
  </si>
  <si>
    <t>ERPF</t>
  </si>
  <si>
    <t>co-financing rate (Eur.)</t>
  </si>
  <si>
    <r>
      <t>allocation 2021-</t>
    </r>
    <r>
      <rPr>
        <b/>
        <sz val="11"/>
        <color theme="1"/>
        <rFont val="Calibri"/>
        <family val="2"/>
        <charset val="186"/>
        <scheme val="minor"/>
      </rPr>
      <t xml:space="preserve"> 2027 used for calculation of 2029 target </t>
    </r>
  </si>
  <si>
    <t>Indicator</t>
  </si>
  <si>
    <t>code</t>
  </si>
  <si>
    <t>name</t>
  </si>
  <si>
    <t>SaF</t>
  </si>
  <si>
    <t>Action</t>
  </si>
  <si>
    <t>Amount (EU+ national)(Eur.)</t>
  </si>
  <si>
    <t>Baseline</t>
  </si>
  <si>
    <t>value</t>
  </si>
  <si>
    <t xml:space="preserve">Milestone 2024 </t>
  </si>
  <si>
    <t>Target 2029</t>
  </si>
  <si>
    <t>Category of region</t>
  </si>
  <si>
    <t>M.U.</t>
  </si>
  <si>
    <t>Milestone 2024</t>
  </si>
  <si>
    <t>Supported projects</t>
  </si>
  <si>
    <t>SM</t>
  </si>
  <si>
    <t>enterprises</t>
  </si>
  <si>
    <t>Capital region</t>
  </si>
  <si>
    <t>Fund</t>
  </si>
  <si>
    <t>Data source</t>
  </si>
  <si>
    <t>Methodology for calculating the values for the indicator</t>
  </si>
  <si>
    <t>ERDF</t>
  </si>
  <si>
    <t>0</t>
  </si>
  <si>
    <t>Code</t>
  </si>
  <si>
    <t>Midle- west Lithuania region</t>
  </si>
  <si>
    <t>2021</t>
  </si>
  <si>
    <t>Value</t>
  </si>
  <si>
    <t>Year</t>
  </si>
  <si>
    <t xml:space="preserve">Target 2029 </t>
  </si>
  <si>
    <t>Visa Lietuva</t>
  </si>
  <si>
    <t>Name</t>
  </si>
  <si>
    <t>Specialusis produkto</t>
  </si>
  <si>
    <t>Specialusis rezultato</t>
  </si>
  <si>
    <t>RCR 29</t>
  </si>
  <si>
    <t>Apskaičiuotas šiltnamio efektą sukeliančių dujų emisijos kiekis</t>
  </si>
  <si>
    <t>Tonos CO2 ekvivalentu per metus</t>
  </si>
  <si>
    <t>dwellings</t>
  </si>
  <si>
    <t>Whole Lithuania</t>
  </si>
  <si>
    <t>3.2.1. Tobulinti ir plėtoti TEN-T tinklo geležinkelių infrastruktūrą</t>
  </si>
  <si>
    <t>3.2.2. Tobulinti ir plėtoti TEN-T kelių tinklą</t>
  </si>
  <si>
    <t>3.2.3. Plėtoti skirtingų transporto rūšių (daugiarūšio vežimo jungčių) sąveikos efektyvumą didinančią infrastruktūrą</t>
  </si>
  <si>
    <t>3.3.1. Tobulinti ir rekonstruoti valstybinės reikšmės kelius (regionų jungtis su TEN-T tinklu),</t>
  </si>
  <si>
    <t>3.3.2. Plėtoti dviračių ir pėsčiųjų infrastruktūrą miestuose ir priemiesčiose, kurie neįgyvendina Darnaus judumo mieste planų</t>
  </si>
  <si>
    <t>Km</t>
  </si>
  <si>
    <t>Annual users of newly built, reconstructed, upgraded or modernised roads</t>
  </si>
  <si>
    <t>Time savings due to improved road infrastructures</t>
  </si>
  <si>
    <t>RCR55</t>
  </si>
  <si>
    <t>RCO46</t>
  </si>
  <si>
    <t>RCR56</t>
  </si>
  <si>
    <t>075 Cycling infrastructure</t>
  </si>
  <si>
    <t>Dedicated cycling infrastructure supported</t>
  </si>
  <si>
    <t>Annual users of dedicated cycling infrastructure</t>
  </si>
  <si>
    <t>-</t>
  </si>
  <si>
    <t>RCO58</t>
  </si>
  <si>
    <t>RCR64</t>
  </si>
  <si>
    <t>2020</t>
  </si>
  <si>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</si>
  <si>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r>
      <t>finansavimo forma</t>
    </r>
    <r>
      <rPr>
        <sz val="11"/>
        <color theme="1"/>
        <rFont val="Times New Roman"/>
        <family val="1"/>
        <charset val="186"/>
      </rPr>
      <t xml:space="preserve"> – daliai veiklų įgyvendinti planuojama taikyti finansines priemones, atsižvelgiant į ex-ante vertinimo rezultatus. Kitai veiklų daliai, kurios negeneruoja pajamų bus naudojama subsidija dėl jos skatinamojo poveikio.</t>
    </r>
  </si>
  <si>
    <t>Total allocation at action level (indicative)</t>
  </si>
  <si>
    <t>EU Amount (EUR)</t>
  </si>
  <si>
    <t>unit</t>
  </si>
  <si>
    <t>077 Alternative fuels infrastructure</t>
  </si>
  <si>
    <t>Skaičius</t>
  </si>
  <si>
    <t>RCO 58</t>
  </si>
  <si>
    <t xml:space="preserve">68             </t>
  </si>
  <si>
    <t>RCR 64</t>
  </si>
  <si>
    <t>Rodiklis</t>
  </si>
  <si>
    <t xml:space="preserve">Rodiklio pradinė </t>
  </si>
  <si>
    <t>Duomenų šaltinis</t>
  </si>
  <si>
    <t>Rodiklio siektinų reikšmų apskaičiavimo metodika</t>
  </si>
  <si>
    <t>Finansinė proporcija (EU+ nacionalinis)(Eur.)</t>
  </si>
  <si>
    <t>reikšmė</t>
  </si>
  <si>
    <t>metai</t>
  </si>
  <si>
    <t>Road passenger-km/ year</t>
  </si>
  <si>
    <t>Road passenger-hours/year</t>
  </si>
  <si>
    <t>14</t>
  </si>
  <si>
    <t xml:space="preserve">Žuvusiųjų  keliuose skaičius </t>
  </si>
  <si>
    <t>66</t>
  </si>
  <si>
    <t>30</t>
  </si>
  <si>
    <t>Users/Year</t>
  </si>
  <si>
    <t xml:space="preserve"> Rail passenger-km/year</t>
  </si>
  <si>
    <t>Įdiegtos saugų eismą gerinančios ir aplinkosaugos priemonės geležinkeliuose</t>
  </si>
  <si>
    <t>Žuvusiųjų ir sužeistųjų geležinkelio pervažose skaičius</t>
  </si>
  <si>
    <t>Skaitmeninėmis planavimo priemonėmis padidintas traukinių pralaidumas</t>
  </si>
  <si>
    <t>twin unit</t>
  </si>
  <si>
    <t>1</t>
  </si>
  <si>
    <t>Modernizuotos intelektinės
transporto sistemos</t>
  </si>
  <si>
    <t>road passenger-hours/year</t>
  </si>
  <si>
    <t>intermodal connections</t>
  </si>
  <si>
    <t>2</t>
  </si>
  <si>
    <t>RCO41</t>
  </si>
  <si>
    <t>RCO42</t>
  </si>
  <si>
    <t>3.1</t>
  </si>
  <si>
    <t>3.2</t>
  </si>
  <si>
    <t>3.3</t>
  </si>
  <si>
    <r>
      <rPr>
        <b/>
        <sz val="11"/>
        <color theme="1"/>
        <rFont val="Calibri"/>
        <family val="2"/>
        <charset val="186"/>
        <scheme val="minor"/>
      </rPr>
      <t>062</t>
    </r>
    <r>
      <rPr>
        <sz val="11"/>
        <color theme="1"/>
        <rFont val="Calibri"/>
        <family val="2"/>
        <scheme val="minor"/>
      </rPr>
      <t xml:space="preserve"> Other reconstructed or modernised roads (motorway, national, regional or local)</t>
    </r>
  </si>
  <si>
    <t>RCR53</t>
  </si>
  <si>
    <t>RCR54</t>
  </si>
  <si>
    <t>RCO49</t>
  </si>
  <si>
    <r>
      <rPr>
        <b/>
        <sz val="11"/>
        <color theme="1"/>
        <rFont val="Calibri"/>
        <family val="2"/>
        <charset val="186"/>
        <scheme val="minor"/>
      </rPr>
      <t>067</t>
    </r>
    <r>
      <rPr>
        <sz val="11"/>
        <color theme="1"/>
        <rFont val="Calibri"/>
        <family val="2"/>
        <scheme val="minor"/>
      </rPr>
      <t xml:space="preserve"> Reconstructed or modernised railways - TEN-T core network</t>
    </r>
  </si>
  <si>
    <r>
      <rPr>
        <b/>
        <sz val="11"/>
        <color theme="1"/>
        <rFont val="Calibri"/>
        <family val="2"/>
        <charset val="186"/>
        <scheme val="minor"/>
      </rPr>
      <t>068</t>
    </r>
    <r>
      <rPr>
        <sz val="11"/>
        <color theme="1"/>
        <rFont val="Calibri"/>
        <family val="2"/>
        <scheme val="minor"/>
      </rPr>
      <t xml:space="preserve"> Reconstructed or modernised railways - TEN-T comprehensive network</t>
    </r>
  </si>
  <si>
    <r>
      <rPr>
        <b/>
        <sz val="11"/>
        <color theme="1"/>
        <rFont val="Calibri"/>
        <family val="2"/>
        <charset val="186"/>
        <scheme val="minor"/>
      </rPr>
      <t>056</t>
    </r>
    <r>
      <rPr>
        <sz val="11"/>
        <color theme="1"/>
        <rFont val="Calibri"/>
        <family val="2"/>
        <scheme val="minor"/>
      </rPr>
      <t xml:space="preserve"> Newly built or upgraded motorways and roads - TEN-T core network</t>
    </r>
  </si>
  <si>
    <r>
      <rPr>
        <b/>
        <sz val="11"/>
        <color theme="1"/>
        <rFont val="Calibri"/>
        <family val="2"/>
        <charset val="186"/>
        <scheme val="minor"/>
      </rPr>
      <t>060</t>
    </r>
    <r>
      <rPr>
        <sz val="11"/>
        <color theme="1"/>
        <rFont val="Calibri"/>
        <family val="2"/>
        <scheme val="minor"/>
      </rPr>
      <t xml:space="preserve"> Reconstructed or modernised motorways and roads - TEN-T core network</t>
    </r>
  </si>
  <si>
    <t>RCO43</t>
  </si>
  <si>
    <t>RCO45</t>
  </si>
  <si>
    <r>
      <rPr>
        <b/>
        <sz val="11"/>
        <color theme="1"/>
        <rFont val="Calibri"/>
        <family val="2"/>
        <charset val="186"/>
        <scheme val="minor"/>
      </rPr>
      <t>061</t>
    </r>
    <r>
      <rPr>
        <sz val="11"/>
        <color theme="1"/>
        <rFont val="Calibri"/>
        <family val="2"/>
        <scheme val="minor"/>
      </rPr>
      <t xml:space="preserve"> Reconstructed or modernised motorways and roads - TEN-T comprehensive network</t>
    </r>
  </si>
  <si>
    <r>
      <t xml:space="preserve"> </t>
    </r>
    <r>
      <rPr>
        <b/>
        <sz val="11"/>
        <color theme="1"/>
        <rFont val="Calibri"/>
        <family val="2"/>
        <charset val="186"/>
        <scheme val="minor"/>
      </rPr>
      <t>063</t>
    </r>
    <r>
      <rPr>
        <sz val="11"/>
        <color theme="1"/>
        <rFont val="Calibri"/>
        <family val="2"/>
        <scheme val="minor"/>
      </rPr>
      <t xml:space="preserve"> Digitalisation of transport: road</t>
    </r>
  </si>
  <si>
    <r>
      <t xml:space="preserve"> </t>
    </r>
    <r>
      <rPr>
        <b/>
        <sz val="11"/>
        <color theme="1"/>
        <rFont val="Calibri"/>
        <family val="2"/>
        <charset val="186"/>
        <scheme val="minor"/>
      </rPr>
      <t>078</t>
    </r>
    <r>
      <rPr>
        <sz val="11"/>
        <color theme="1"/>
        <rFont val="Calibri"/>
        <family val="2"/>
        <scheme val="minor"/>
      </rPr>
      <t xml:space="preserve"> Multimodal transport (TEN-T)</t>
    </r>
  </si>
  <si>
    <t>RCO54</t>
  </si>
  <si>
    <t>RCR58</t>
  </si>
  <si>
    <t>Length of rail reconstructed or modernised - TENT-T</t>
  </si>
  <si>
    <t>Annual users of newly, built, upgraded, reconstructed or modernised railways</t>
  </si>
  <si>
    <t>Length of new or upgraded roads - TEN-T</t>
  </si>
  <si>
    <t>Length of roads reconstructed or modernised - TEN-T</t>
  </si>
  <si>
    <t>New or modernised intermodal connections</t>
  </si>
  <si>
    <t>Įdiegtos saugų eismą gerinančios ir aplinkosaugos priemonės keliuose</t>
  </si>
  <si>
    <t>road passenger-km/year</t>
  </si>
  <si>
    <t>road passenger-km/ year</t>
  </si>
  <si>
    <t>Skaičius per metus</t>
  </si>
  <si>
    <t>rail passenger-km/year</t>
  </si>
  <si>
    <t xml:space="preserve"> 070 Digitalisation of transport: rail</t>
  </si>
  <si>
    <t>Specialusis</t>
  </si>
  <si>
    <t>Įdiegta automatizuotų greičio kontrolės punktų</t>
  </si>
  <si>
    <t>8,92</t>
  </si>
  <si>
    <t>KM</t>
  </si>
  <si>
    <t>skaičius</t>
  </si>
  <si>
    <r>
      <t xml:space="preserve">Length of roads reconstructed or modernised - </t>
    </r>
    <r>
      <rPr>
        <sz val="11"/>
        <color theme="1"/>
        <rFont val="Calibri"/>
        <family val="2"/>
        <scheme val="minor"/>
      </rPr>
      <t>non-TENT</t>
    </r>
  </si>
  <si>
    <r>
      <t>Remiantis planuojamu dviračių takų tiesimo įkainiu – 300000 Eur/1 km (ankstesnių analogiškų projektų įkainis, indeksuotas įvertinus kainos pokytį iki planuojamos darbų pradžios), skaičiuojama, kad planuojama siektina reikšmė 2029 m. bus  11764705,88/300000</t>
    </r>
    <r>
      <rPr>
        <sz val="11"/>
        <color theme="1"/>
        <rFont val="Calibri"/>
        <family val="2"/>
        <charset val="186"/>
      </rPr>
      <t>≈</t>
    </r>
    <r>
      <rPr>
        <sz val="11"/>
        <color theme="1"/>
        <rFont val="Calibri"/>
        <family val="2"/>
        <charset val="186"/>
        <scheme val="minor"/>
      </rPr>
      <t>39,22. 2024 m. planuojama pasiekti 50 proc., 39,22*0,5</t>
    </r>
    <r>
      <rPr>
        <sz val="11"/>
        <color theme="1"/>
        <rFont val="Calibri"/>
        <family val="2"/>
        <charset val="186"/>
      </rPr>
      <t>=19,61</t>
    </r>
    <r>
      <rPr>
        <sz val="11"/>
        <color theme="1"/>
        <rFont val="Calibri"/>
        <family val="2"/>
        <charset val="186"/>
        <scheme val="minor"/>
      </rPr>
      <t>.  Pažymėtina, kad planuojamos siektinos reikšmės pateiktos preliminariai, galutinės reikšmės bus žinomos 2020 m. pabaigoje arba 2021 m. pradžioje.</t>
    </r>
  </si>
  <si>
    <r>
      <t>Įvertinus 2014-2020 m. laikotarpiu įgyvendintus projektus, kainų pokytį, skaičiuojama, kad vienos saugos ir aplinkosaugos priemonės įkainis yra 1 650 000 eurų. Šioms priemonėms įgyvendinti skiriama apie 22,2 proc. Intervencijos lėšų, todėl skaičiuojama, kad 2029 siektina reikšmė bus 105976470,59*0,222/1650000</t>
    </r>
    <r>
      <rPr>
        <sz val="11"/>
        <color theme="1"/>
        <rFont val="Calibri"/>
        <family val="2"/>
        <charset val="186"/>
      </rPr>
      <t>≈</t>
    </r>
    <r>
      <rPr>
        <sz val="11"/>
        <color theme="1"/>
        <rFont val="Calibri"/>
        <family val="2"/>
        <scheme val="minor"/>
      </rPr>
      <t>14.  Tarpinė 2024 m. reikšmė sudarys 20 proc., 14*0,2</t>
    </r>
    <r>
      <rPr>
        <sz val="11"/>
        <color theme="1"/>
        <rFont val="Calibri"/>
        <family val="2"/>
        <charset val="186"/>
      </rPr>
      <t>≈</t>
    </r>
    <r>
      <rPr>
        <sz val="11"/>
        <color theme="1"/>
        <rFont val="Calibri"/>
        <family val="2"/>
        <scheme val="minor"/>
      </rPr>
      <t>3. Pažymėtina, kad planuojamos siektinos reikšmės pateiktos preliminariai, galutinės reikšmės bus žinomos 2020 m. pabaigoje arba 2021 m. pradžioje.</t>
    </r>
  </si>
  <si>
    <t>Data from railway service operators</t>
  </si>
  <si>
    <t>9</t>
  </si>
  <si>
    <t>Krovinių vežimas intermodalinėmis jungtimis</t>
  </si>
  <si>
    <t>Rail tonne-connections/year</t>
  </si>
  <si>
    <t>Annual reporting by Infrastructure Manager/ operator.</t>
  </si>
  <si>
    <t>Rodiklio reikšmė nustatyta, atsižvelgiant į šiuo metu faktiškai esamas intermodalines jungtis, kurios projekto įgyvendinimo metu būtų modernizuotos. Įvertinus analogiškų  projektų įgyvendinimą, 1 intermodalinės jungties modernizavimas kainuoja apie 5 882353 eurų. Rodikliai paskaičiuoti kaip pokytis, vertinant su šiuo metu esamą ir, atitinkamai, 2024 m. bei 2029 m. planuojamą situaciją. Iki 2024 m. planuojama modernizuoti 1 intermodalinė jungtį, o 2029 m. - dar vieną intermodalinę jungtį. Tokiu būdu, iš viso iki 2029 m. numatomos modernizuoti 2-i intermodalinės jungtys.</t>
  </si>
  <si>
    <t>36</t>
  </si>
  <si>
    <t>35</t>
  </si>
  <si>
    <t>IXB koridoriuje yra susiformavusios mažiausio traukinių pralaidumo vietos. Dėl jų eismo perplanavimas rankiniu būdu, iškilus būtinybei, iki šiol buvo vykdomas, likus 5 d. iki eismo pakeitimo momento. 2019 m. atšaukti 75 traukiniai, o kroviniai pervežti motorizuotu transportu dėl rankinio eismo planavimo trūkumų. Automatizavus planavimą būtų galima sumažinti laiko buferį, reikalingą traukinių eismo perplanavimui. Esant automatiniam planavimui, "paskutinės minutės" suplanavimas, anksčiau trukęs 5 dienas, būtų pakeistas į 1 val. planavimą. Tokiu būdu, sutaupyto laiko pakaktų, kad būtų galima paleisti 1 papildomą traukinių porą per parą, kurios poreikis nustatytas pagal faktiškai gautus ir planuojamus ateityje gauti operatorių paklausimus ir maksimalų faktinį ir galimą tinklo pralaidumą. Rodiklio pasiekimas planuojamas po projekto įgyvendinimo, pradėjus eksploatuoti atnaujintą eismo valdymo sistemą. Apskaičiuojant rodiklį, nevertintas traukinių pralaidumo didinimas dėl kitų LTG geležinkelio infrastruktūros plėtros, atnaujinimo ir modernizavimo projektų.</t>
  </si>
  <si>
    <t xml:space="preserve"> Rodiklio reikšmė apskaičiuota kaip per metus planuojamo keleivių srauto ir RCO 49 rodiklio santykis. Keleivių skaičius apskaičiuojamas pagal faktiškai susudarančius ir planuojamus keleivių srautus/ parduotus ir numatomus parduoti bilietus. Duomenys rodiklio apskaičiavimui gaunami iš keleivių pervežimo operatoriaus. Prognozuojama, kad 2029 m. keleivių sk.  bus 180000, todėl 2029 m. reikšmė apskaičiuojama 180000/40=4500. Pažymėtina, kad visą keleivių skaičių įtakos projekto įgyvendinimas, kadangi šiuo metu joks keleivių pervežimas esamu geležinkelio ruožu nevykdomas.</t>
  </si>
  <si>
    <r>
      <t>Rodiklio pasiekimą reikia vertinti ne pagal atskirus projektus, o vertinant projektų visumą. Pradinė  bendra reikšmė 5, planuojama bendra reikšmė  2029 m. yra  4, jos  proporcingai paskirstytos pagal suplanuotų saugų eismą gerinančių ir aplinkosaugos priemonių skaičių. Skaičiuojama, kad  2020 m. 5*0,38</t>
    </r>
    <r>
      <rPr>
        <sz val="11"/>
        <rFont val="Calibri"/>
        <family val="2"/>
      </rPr>
      <t xml:space="preserve">≈2, o </t>
    </r>
    <r>
      <rPr>
        <sz val="11"/>
        <rFont val="Calibri"/>
        <family val="2"/>
        <scheme val="minor"/>
      </rPr>
      <t>2029 m. bus 4*0,38</t>
    </r>
    <r>
      <rPr>
        <sz val="11"/>
        <rFont val="Calibri"/>
        <family val="2"/>
      </rPr>
      <t>≈1</t>
    </r>
    <r>
      <rPr>
        <sz val="7.7"/>
        <rFont val="Calibri"/>
        <family val="2"/>
      </rPr>
      <t>.</t>
    </r>
  </si>
  <si>
    <t>Freight transport on connections</t>
  </si>
  <si>
    <r>
      <t xml:space="preserve">Rodiklio pasiekimą reikia vertinti ne pagal atskirus projektus, o vertinant projektų visumą. Pradinė  bendra </t>
    </r>
    <r>
      <rPr>
        <sz val="11"/>
        <color rgb="FFFF0000"/>
        <rFont val="Calibri"/>
        <family val="2"/>
        <charset val="186"/>
        <scheme val="minor"/>
      </rPr>
      <t>yra</t>
    </r>
    <r>
      <rPr>
        <sz val="11"/>
        <rFont val="Calibri"/>
        <family val="2"/>
        <scheme val="minor"/>
      </rPr>
      <t xml:space="preserve"> reikšmė 5, planuojama bendra reikšmė  2029 m. yra  4, jos  proporcingai paskirstytos pagal suplanuotų saugų eismą gerinančių ir aplinkosaugos priemonių skaičių. Skaičiuojama, kad  2020 m. 5*0,62</t>
    </r>
    <r>
      <rPr>
        <sz val="11"/>
        <rFont val="Calibri"/>
        <family val="2"/>
      </rPr>
      <t xml:space="preserve">≈3, o </t>
    </r>
    <r>
      <rPr>
        <sz val="11"/>
        <rFont val="Calibri"/>
        <family val="2"/>
        <scheme val="minor"/>
      </rPr>
      <t>2029 m. bus 4*0,62</t>
    </r>
    <r>
      <rPr>
        <sz val="11"/>
        <rFont val="Calibri"/>
        <family val="2"/>
      </rPr>
      <t>≈2</t>
    </r>
    <r>
      <rPr>
        <sz val="7.7"/>
        <rFont val="Calibri"/>
        <family val="2"/>
      </rPr>
      <t>.</t>
    </r>
  </si>
  <si>
    <r>
      <t xml:space="preserve">Rodiklio reikšmė apskaičiuota, įvertinus esamų intermodalinių terminalų plėtros pasėkoje numatomą intermodalinių pajėgumų plėtrą bei su tuo susijusį planuojamą pervežamų krovinių tonažą per metus 1-ai intermodalinei jungčiai. Prognozuojamas scenarijus pagrįstas modernizuotos infrastruktūros naudojimo prielaidomis, apskaičiuotomis LTG terminalų plėtros strategijoje 2019-2030 m. </t>
    </r>
    <r>
      <rPr>
        <sz val="11"/>
        <color rgb="FFFF0000"/>
        <rFont val="Calibri"/>
        <family val="2"/>
        <charset val="186"/>
        <scheme val="minor"/>
      </rPr>
      <t xml:space="preserve"> 2029 m., modernizavus abi intermodalines jungtis - 950000 t/ m.</t>
    </r>
  </si>
  <si>
    <t>Suma (EUR)</t>
  </si>
  <si>
    <t xml:space="preserve">Kodas </t>
  </si>
  <si>
    <t>Konkretus uždavinys</t>
  </si>
  <si>
    <t>Prioriteto Nr.</t>
  </si>
  <si>
    <t>7 lentelė. 6 matmuo. ESF+ antrinės temos</t>
  </si>
  <si>
    <t>6 lentelė. 3 matmuo. Teritorinės paramos paskirstymo priemonė ir teritorinė kryptis</t>
  </si>
  <si>
    <t>3SaF</t>
  </si>
  <si>
    <t>3ERPF</t>
  </si>
  <si>
    <t>2SaF</t>
  </si>
  <si>
    <t>2ERPF</t>
  </si>
  <si>
    <t>01</t>
  </si>
  <si>
    <t>Vidurio Vakarų Lietuva</t>
  </si>
  <si>
    <t>Dotacija</t>
  </si>
  <si>
    <t>2.8</t>
  </si>
  <si>
    <t>02, 03, 04, 05</t>
  </si>
  <si>
    <t>2.2</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</si>
  <si>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</si>
  <si>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5 lentelė. 2 matmuo. Finansavimo forma</t>
  </si>
  <si>
    <t>075</t>
  </si>
  <si>
    <t>Sostinės regionas</t>
  </si>
  <si>
    <t>075 Dviračių infrastruktūra</t>
  </si>
  <si>
    <t xml:space="preserve">Plėtoti dviračių ir pėsčiųjų infrastruktūrą miestuose ir priemiesčiose, kurie neįgyvendina Darnaus judumo mieste planų. </t>
  </si>
  <si>
    <t>3.3.2</t>
  </si>
  <si>
    <t>062 Kiti rekonstruoti ar pagerinti keliai (greitkeliai, nacionaliniai, regioniniai ar vietos keliai)</t>
  </si>
  <si>
    <t>062</t>
  </si>
  <si>
    <t xml:space="preserve">tiesti, atnaujinti tobulinti  ir rekonstruoti valstybinės reikšmės kelius (regionų jungtis su TEN-T tinklu), </t>
  </si>
  <si>
    <t>3.3.1</t>
  </si>
  <si>
    <t>078 Daugiarūšis transportas (TEN-T)</t>
  </si>
  <si>
    <t>078</t>
  </si>
  <si>
    <t>plėtoti skirtingų transporto rūšių (daugiarūšio vežimo jungčių) sąveikos efektyvumą didinančią infrastruktūrą</t>
  </si>
  <si>
    <t>3.2.3</t>
  </si>
  <si>
    <t>063 Transporto skaitmeninimas: kelias</t>
  </si>
  <si>
    <t>063</t>
  </si>
  <si>
    <t>061 Rekonstruoti ar pagerinti greitkeliai ir keliai – TEN-T visuotinis tinklas</t>
  </si>
  <si>
    <t>061</t>
  </si>
  <si>
    <t>Saf</t>
  </si>
  <si>
    <t>060 Rekonstruoti ar pagerinti greitkeliai ir keliai – TEN-T pagrindinis tinklas</t>
  </si>
  <si>
    <t>060</t>
  </si>
  <si>
    <t>056 Naujai nutiesti greitkeliai ir keliai – TEN-T pagrindinis tinklas</t>
  </si>
  <si>
    <t>056</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</si>
  <si>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</si>
  <si>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3.2.2</t>
  </si>
  <si>
    <t>070 Transporto skaitmeninimas: geležinkelis</t>
  </si>
  <si>
    <t>070</t>
  </si>
  <si>
    <t>068 Rekonstruoti ar pagerinti geležinkeliai – TEN-T visuotinis tinklas</t>
  </si>
  <si>
    <t>068</t>
  </si>
  <si>
    <t xml:space="preserve">067 Rekonstruoti ar pagerinti geležinkeliai – TEN-T pagrindinis tinklas </t>
  </si>
  <si>
    <t>067</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</si>
  <si>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</si>
  <si>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3.2.1</t>
  </si>
  <si>
    <t xml:space="preserve">054 	IRT: itin didelio pajėgumo plačiajuosčio ryšio tinklas (prieigos / vietinė linija, kurios efektyvumas lygus optinių skaidulinių kabelių įrenginiams iki bazinės stoties pažangiam belaidžiam ryšiui) </t>
  </si>
  <si>
    <t>054</t>
  </si>
  <si>
    <t xml:space="preserve">053 IRT: itin didelio pajėgumo plačiajuosčio ryšio tinklas (prieigos / vietinė linija, kurios efektyvumas lygus optinių skaidulinių kabelių įrenginiams iki paskirstymo taško aptarnaujamojoje vietoje namuose ir verslo patalpose)  </t>
  </si>
  <si>
    <t>053</t>
  </si>
  <si>
    <t>052 IRT: itin didelio pajėgumo plačiajuosčio ryšio tinklas (prieigos / vietinė linija, kurios efektyvumas lygus optinių skaidulinių kabelių įrenginiams iki paskirstymo taško aptarnaujamojoje vietoje daugiabučiuose pastatuose)</t>
  </si>
  <si>
    <t>052</t>
  </si>
  <si>
    <t xml:space="preserve">3 prioritetas ERPF        110 017 360                 3 prioritetas SaF           406 290 000                   </t>
  </si>
  <si>
    <t xml:space="preserve"> 051 IRT: itin didelio pajėgumo plačiajuosčio ryšio tinklas (pagrindinis / tranzitinis tinklas) </t>
  </si>
  <si>
    <t>051</t>
  </si>
  <si>
    <t>Plėtoti itin didelio pralaidumo plačiajuosčio ryšio tinklus, atitinkančius kibernetinio ir fizinio saugumo reikalavimus pagal atliktą investicinių poreikių analizę identifikuotuose „baltosiose dėmėse</t>
  </si>
  <si>
    <t>3.1.1</t>
  </si>
  <si>
    <t>074 Švaraus miesto transporto riedmenys</t>
  </si>
  <si>
    <t>074</t>
  </si>
  <si>
    <t>077 Alternatyviųjų degalų infrastruktūra</t>
  </si>
  <si>
    <t>077</t>
  </si>
  <si>
    <t>Skatinti gyventojus naudotis viešuoju transportu, Įsigyjantti AEI naudojančias vietinio susisiekimo viešojo transporto priemones</t>
  </si>
  <si>
    <t>2.8.2</t>
  </si>
  <si>
    <t>SAF</t>
  </si>
  <si>
    <t>73 Švaraus miesto transporto infrastruktūra</t>
  </si>
  <si>
    <t>073</t>
  </si>
  <si>
    <t xml:space="preserve">Įgyvendinti Darnaus judumo planuose (angl. SUMP) numatytas darnaus judumo priemones miestuose bei rajonų savivaldybėse </t>
  </si>
  <si>
    <t>2.8.1</t>
  </si>
  <si>
    <t xml:space="preserve">2 prioritetas ERPF         103 039 200                       2 prioritetas SaF           175 682 600              </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</si>
  <si>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</si>
  <si>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2.2.3      2.2.4</t>
  </si>
  <si>
    <t>4 lentelė. 1 matmuo. Intervencinių priemonių sritis</t>
  </si>
  <si>
    <t>po korekcijos 11-18</t>
  </si>
  <si>
    <t>Plėtoti dviračių ir pėsčiųjų infrastruktūrą miestuose ir priemiesčiuose (savivaldybės)</t>
  </si>
  <si>
    <t xml:space="preserve">2.8.3. </t>
  </si>
  <si>
    <t>po korekcijos 10.01 = LAKD</t>
  </si>
  <si>
    <r>
      <t xml:space="preserve">Siektina reikšmė paskaičiuota naudojantis Jaspers 2020-10-16 pasiūlyta metodika: [Saved Passenger-hours/year] =
Σ nj=1 ( [Lengthj b / Speedj b] – [Lengthj f/a / Speedj f/a)] )* Occupancy * AADTj f/a * DAYS. Todėl siektina 2029 m. reikšmė paskaičiuojama </t>
    </r>
    <r>
      <rPr>
        <sz val="11"/>
        <color rgb="FFFF0000"/>
        <rFont val="Calibri"/>
        <family val="2"/>
        <charset val="186"/>
        <scheme val="minor"/>
      </rPr>
      <t>(79,95/71,16-79,95/89,32)x1,74x726x365=105324</t>
    </r>
    <r>
      <rPr>
        <sz val="11"/>
        <color theme="1"/>
        <rFont val="Calibri"/>
        <family val="2"/>
        <scheme val="minor"/>
      </rPr>
      <t xml:space="preserve">.  Pradinė reikšmė 2021 m. apskaičiuojama </t>
    </r>
    <r>
      <rPr>
        <sz val="11"/>
        <color rgb="FFFF0000"/>
        <rFont val="Calibri"/>
        <family val="2"/>
        <charset val="186"/>
        <scheme val="minor"/>
      </rPr>
      <t>(79,95/71,16)x1,74x688x365=490923</t>
    </r>
    <r>
      <rPr>
        <sz val="11"/>
        <color theme="1"/>
        <rFont val="Calibri"/>
        <family val="2"/>
        <scheme val="minor"/>
      </rPr>
      <t xml:space="preserve">. Siektina reikšmė paskaičiuota preliminariai, galutiniai skaičiavimai turėtų paaiškėti 2020 m. pabaigoje arba 2021 m. pradžioje, patvirtinus suplanuotas lėšas. </t>
    </r>
  </si>
  <si>
    <r>
      <t xml:space="preserve">Įvertinus analogiškų projektų įgyvendinimą 2014-2020 m. laikotarpyje, 1 km kainuoja  vidutiniškai 7 503 031 eurų (indeksuotas įvertinus kainos pokytį iki planuojamų darbų pradžios). Todėl skaičiuojama, kad siektina 2029 m. reikšmė bus  </t>
    </r>
    <r>
      <rPr>
        <sz val="11"/>
        <color rgb="FFFF0000"/>
        <rFont val="Calibri"/>
        <family val="2"/>
        <charset val="186"/>
        <scheme val="minor"/>
      </rPr>
      <t>173934358,82</t>
    </r>
    <r>
      <rPr>
        <sz val="11"/>
        <rFont val="Calibri"/>
        <family val="2"/>
        <scheme val="minor"/>
      </rPr>
      <t>/7503031= 23,19. Planuojama, kad 2024 m. bus pasiekta 20 proc, todėl 23,19*0,2</t>
    </r>
    <r>
      <rPr>
        <sz val="11"/>
        <rFont val="Calibri"/>
        <family val="2"/>
        <charset val="186"/>
      </rPr>
      <t>≈4,64</t>
    </r>
    <r>
      <rPr>
        <sz val="11"/>
        <rFont val="Calibri"/>
        <family val="2"/>
        <scheme val="minor"/>
      </rPr>
      <t xml:space="preserve">.  Siektinos reikšmės paskaičiuotos preliminariai, galutiniai skaičiavimai turėtų paaiškėti 2020 m. pabaigoje arba 2021 m. pradžioje, patvirtinus suplanuotas lėšas. </t>
    </r>
  </si>
  <si>
    <r>
      <t xml:space="preserve">Įvertinus to paties kelio atkarpos atliktų rekonstravimo darbų kainą, 1 km rekonstruoti kainuoja  vidutiniškai 3518162 eurų (indeksuouotas įvertinus kainos pokytį iki planuojamų darbų pradžios). Todėl skaičiuojama, kad siektina 2029 m. reikšmė bus  </t>
    </r>
    <r>
      <rPr>
        <sz val="11"/>
        <color rgb="FFFF0000"/>
        <rFont val="Calibri"/>
        <family val="2"/>
        <charset val="186"/>
        <scheme val="minor"/>
      </rPr>
      <t>31366951,76/3518162= 8,92</t>
    </r>
    <r>
      <rPr>
        <sz val="11"/>
        <rFont val="Calibri"/>
        <family val="2"/>
        <scheme val="minor"/>
      </rPr>
      <t>. Planuojama, kad 2024 m. bus pasiekta 20 proc, todėl 8,92*0,2</t>
    </r>
    <r>
      <rPr>
        <sz val="11"/>
        <rFont val="Calibri"/>
        <family val="2"/>
        <charset val="186"/>
      </rPr>
      <t>≈1,78</t>
    </r>
    <r>
      <rPr>
        <sz val="11"/>
        <rFont val="Calibri"/>
        <family val="2"/>
        <scheme val="minor"/>
      </rPr>
      <t xml:space="preserve">.  Siektinos reikšmės paskaičiuotos preliminariai, galutiniai skaičiavimai turėtų paaiškėti 2020 m. pabaigoje arba 2021 m. pradžioje, patvirtinus suplanuotas lėšas. </t>
    </r>
  </si>
  <si>
    <r>
      <t xml:space="preserve">Įvertinus analogiškų prietaisų pirkimus,  vidutinė 1 greičio kontrolės punkto kaina yra 40 000 eurų (indeksuota įvertinus kainos pokytį iki planuojamų pirkimų pradžios). Todėl skaičiuojama, kad siektina 2029 m. reikšmė bus  </t>
    </r>
    <r>
      <rPr>
        <sz val="11"/>
        <color theme="1"/>
        <rFont val="Calibri"/>
        <family val="2"/>
        <charset val="186"/>
        <scheme val="minor"/>
      </rPr>
      <t>27190470,06</t>
    </r>
    <r>
      <rPr>
        <sz val="11"/>
        <rFont val="Calibri"/>
        <family val="2"/>
        <scheme val="minor"/>
      </rPr>
      <t>/40000= 68. Planuojama, kad 2024 m. bus pasiekta 20 proc, todėl 68*0,2</t>
    </r>
    <r>
      <rPr>
        <sz val="11"/>
        <rFont val="Calibri"/>
        <family val="2"/>
        <charset val="186"/>
      </rPr>
      <t>≈14</t>
    </r>
    <r>
      <rPr>
        <sz val="11"/>
        <rFont val="Calibri"/>
        <family val="2"/>
        <scheme val="minor"/>
      </rPr>
      <t xml:space="preserve">.  Siektinos reikšmės paskaičiuotos preliminariai, galutiniai skaičiavimai turėtų paaiškėti 2020 m. pabaigoje arba 2021 m. pradžioje, patvirtinus suplanuotas lėšas. </t>
    </r>
  </si>
  <si>
    <t>2019</t>
  </si>
  <si>
    <r>
      <t xml:space="preserve">Rodikliui skiriama </t>
    </r>
    <r>
      <rPr>
        <sz val="11"/>
        <color rgb="FFFF0000"/>
        <rFont val="Calibri"/>
        <family val="2"/>
        <charset val="186"/>
        <scheme val="minor"/>
      </rPr>
      <t>8,25 proc.</t>
    </r>
    <r>
      <rPr>
        <sz val="11"/>
        <rFont val="Calibri"/>
        <family val="2"/>
        <scheme val="minor"/>
      </rPr>
      <t xml:space="preserve"> eurų intervencijos lėšų. 1 saugų eismą gerinančios ir aplinkosaugos priemonės geležinkeliuose įkainis yra apie 1 000 000 eurų. Skaičiuojama, kad 2029 m. rodiklio reikšmė bus </t>
    </r>
    <r>
      <rPr>
        <sz val="11"/>
        <color rgb="FFFF0000"/>
        <rFont val="Calibri"/>
        <family val="2"/>
        <charset val="186"/>
        <scheme val="minor"/>
      </rPr>
      <t>60576470,595*0,0825/1000000=5</t>
    </r>
    <r>
      <rPr>
        <sz val="11"/>
        <rFont val="Calibri"/>
        <family val="2"/>
        <scheme val="minor"/>
      </rPr>
      <t xml:space="preserve">. </t>
    </r>
  </si>
  <si>
    <t xml:space="preserve">Duomenis imami iš Nacionalinio pažangos plano. Reikia vertinit visų projektų visumą: tiek pagerinus kelių infrastruktūrą, tiek įdiegus saugų eismą gerinančias priemones keliuose.  </t>
  </si>
  <si>
    <t xml:space="preserve">Siektina reikšmė paskaičiuota naudojantis Jaspers 2020-10-16 pasiūlyta metodika: [Passenger-km] = Σ nj=1 [AADTj] * [Lengthj] * Occupancy * 365. Todėl siektina 2029 m. reikšmė paskaičiuojama (12193x12,90x1,85x365)+(11107x5,35x1,74x365)+(11107x4,94x1,74x365)=178796103. Pradinė reikšmė 2019 m. apskaičiuojama (11595x12,90x1,85x365)+(10564x5,35x1,74x365)+(10564x4,94x1,74x365)=170038487. Siektina reikšmė paskaičiuota preliminariai, galutiniai skaičiavimai turėtų paaiškėti 2020 m. pabaigoje arba 2021 m. pradžioje, patvirtinus suplanuotas lėšas. </t>
  </si>
  <si>
    <t xml:space="preserve">Siektina reikšmė paskaičiuota naudojantis Jaspers 2020-10-16 pasiūlyta metodika: [Saved Passenger-hours/year] =
Σ nj=1 ( [Lengthj b / Speedj b] – [Lengthj f/a / Speedj f/a)] )* Occupancy * AADTj f/a * DAYS. Todėl siektina 2029 m. reikšmė paskaičiuojama (12,90/82,91-12,90/106,48)x1,85x12193x365+(5,35/82,87-5,35/104,84)x1,74x11107x365+(4,94/82,87-4,94/104,84)x1,74x11107x365=467115.  Pradinė reikšmė 2019 m. apskaičiuojama (12,90/82,91)x1,85x11595x365+(5,35/82,87)x1,74x10564x365+(4,94/82,87)x1,74x10564x365=2051282. Siektina reikšmė paskaičiuota preliminariai, galutiniai skaičiavimai turėtų paaiškėti 2020 m. pabaigoje arba 2021 m. pradžioje, patvirtinus suplanuotas lėšas. </t>
  </si>
  <si>
    <t xml:space="preserve">Numatoma modernizuoti esamą eismo valdymo sistemą, kurios modernizavimo projekto įgyvendinimo metu numatoma įdiegti instrumentus kurie sudarys galimybes duomenų mainams ir integracijoms su vežėjais, kuriems bus užtikrintos vienodos prie informacinės sistemos preigų sąlygos. Taip bus   užtikrintas  ES reglamento 2019/773 įgyvendinimas (kuriame nurodyti įsipareigojimai viešosios geležinkelio infrastruktūros valdytojui teikti informaciją vežėjui apie traukinių buvimo vietą). Papildomi funkcionalumai eismo valdymo realiu laiku modulyje leis patogiau pognozuoti ir valdyti traukinių judėjimą, tuo pačiu didinti eismo saugą.  Visi šie projekto įgyvendinimo metu numatomi įdiegti instrumentai sudarys prielaidas modernizuotos intelektinės transporto sistemos atsiradimui, kurios diegimui, įvertinus panačių projektų 2016 m. įkainius (apie  2 374 528 Eur), juos indeksavus pagal numatomą kainų pokytį (9 proc.) iki planuojamo planuojamo projekto pradžios (2022 m.), planuojama apie 2 588 235 eurų. </t>
  </si>
  <si>
    <t xml:space="preserve">Duomenys imami iš Nacionalinio pažangos plano. Reikia vertinti visų projektų visumą. Pagerinus kelių infrastruktūrą, įdiegus saugų eismą gerinančias priemones keliuose.  </t>
  </si>
  <si>
    <t>Įvertinus analogiškų projektų įgyvendinimą 2014-2020 m. laikotarpyje, 1 km kainuoja  vidutiniškai  1 000 000 eurų (indeksuotas įvertinus kainos pokytį iki planuojamų darbų pradžios). Šiam rodikliui skiriama apie 77,26 proc. Intervencijos lėšų, todėl skaičiuojama, kad 2029 m. siektina reikšmė bus 103480882,35*0,7726/1000000=79,95. Tarpinė 2024 m. reikšmė sudarys 20 proc., 79,95*0,2=15,99. Siektinos reikšmės paskaičiuotos preliminariai, galutiniai skaičiavimai turėtų paaiškėti 2021 m. pradžioje.</t>
  </si>
  <si>
    <t>After evaluating the completed projects of 2014-2020 period, the tariff of 1 km is  1 000 000 Eur (indexed by estimating the price change before the start of the planned works).  77.26 percent of intervension investments is allocated to this indicator.  The target value for 2029 is calculated 103480882.35 * 0.7726 / 1000000 = 79.95. It is planned, that milestone value will be 20 percent in 2024 (79.95 * 0.2 = 15.99).  It should be noted that  the target value ​​have been calculated preliminarily, the final calculations should be available in  early 2021.</t>
  </si>
  <si>
    <t>Siektina reikšmė paskaičiuota naudojantis Jaspers 2020-10-16 pasiūlyta metodika: [Passenger-km] = Σ nj=1 [AADTj] * [Lengthj] * Occupancy * 365. Todėl siektina 2029 m. reikšmė paskaičiuojama 726x79,95x1,74x365=36863554. Pradinė reikšmė 2021 m. apskaičiuojama 688x79,95x1,74x365=34934057. Siektina reikšmė paskaičiuota preliminariai, galutiniai skaičiavimai turėtų paaiškėti  2021 m. pradžioje.</t>
  </si>
  <si>
    <t>After evaluating the completed projects of 2014-2020 period, the price change, it is estimated that the cost of one safety and environmental measure is 1,650,000 euros. About 22.2% is allocated for the implementation of these measures. Intervention funds, so it is estimated that the target value for 2029 will be 105976470.59 * 0.222 / 1650000≈14. Interim 2024 the value will be 20%, 14 * 0.2≈3. It should be noted that the planned target values ​​are presented tentatively, the final values ​​will be known in late 2020 or early 2021.</t>
  </si>
  <si>
    <t>The target and the baseline values are taken from Nacional progress plan. It should be noted,  The achievement of the indicator will be influenced by the implementation of all road projects.</t>
  </si>
  <si>
    <r>
      <rPr>
        <sz val="11"/>
        <color rgb="FFFF0000"/>
        <rFont val="Calibri"/>
        <family val="2"/>
        <charset val="186"/>
        <scheme val="minor"/>
      </rPr>
      <t xml:space="preserve">Based on the planned cost of construction of bicycle paths - 300000 Eur / 1 km (the cost of previous similar projects, indexed after estimating the price change before the planned start of works), </t>
    </r>
    <r>
      <rPr>
        <sz val="11"/>
        <color rgb="FF202124"/>
        <rFont val="Calibri"/>
        <family val="2"/>
        <charset val="186"/>
        <scheme val="minor"/>
      </rPr>
      <t>The target value for 2029 is calculated 11764705.88 / 300000≈39.22. 2024 it is planned to reach 50 percent in 2024 (39.22 * 0.5 = 19.61). t should be noted that  the target value ​​have been calculated preliminarily, the final calculations should be available in  early 2021.</t>
    </r>
  </si>
  <si>
    <r>
      <rPr>
        <sz val="11"/>
        <color rgb="FFFF0000"/>
        <rFont val="Calibri"/>
        <family val="2"/>
        <charset val="186"/>
        <scheme val="minor"/>
      </rPr>
      <t xml:space="preserve">The number of inhabitants of the settlements near the planned bicycle paths was used to calculate the indicator. Preliminary, it is planned to build bicycle paths near 10 settlements with a population of ~ 32,500. It is assumed that the installed bike paths will use 40 percent. population of settlements. </t>
    </r>
    <r>
      <rPr>
        <sz val="11"/>
        <color rgb="FF202124"/>
        <rFont val="Calibri"/>
        <family val="2"/>
        <charset val="186"/>
        <scheme val="minor"/>
      </rPr>
      <t xml:space="preserve"> The target value for  2029 is calculated  32500 * 0.40 </t>
    </r>
    <r>
      <rPr>
        <sz val="11"/>
        <color rgb="FFFF0000"/>
        <rFont val="Calibri"/>
        <family val="2"/>
        <charset val="186"/>
        <scheme val="minor"/>
      </rPr>
      <t>* 7 (investment period)</t>
    </r>
    <r>
      <rPr>
        <sz val="11"/>
        <color rgb="FF202124"/>
        <rFont val="Calibri"/>
        <family val="2"/>
        <charset val="186"/>
        <scheme val="minor"/>
      </rPr>
      <t xml:space="preserve"> = </t>
    </r>
    <r>
      <rPr>
        <sz val="11"/>
        <color rgb="FFFF0000"/>
        <rFont val="Calibri"/>
        <family val="2"/>
        <charset val="186"/>
        <scheme val="minor"/>
      </rPr>
      <t>91,000.</t>
    </r>
  </si>
  <si>
    <r>
      <t xml:space="preserve"> Remiantis  šiuo metu  įgyvendinamo projekto duomenimis,  1 km kainuoja </t>
    </r>
    <r>
      <rPr>
        <sz val="11"/>
        <rFont val="Calibri"/>
        <family val="2"/>
      </rPr>
      <t>~</t>
    </r>
    <r>
      <rPr>
        <sz val="11"/>
        <rFont val="Calibri"/>
        <family val="2"/>
        <scheme val="minor"/>
      </rPr>
      <t xml:space="preserve"> 869 000 eurų (įvertinus kainos pokytį iki planuojamos rangos darbų pradžios (2024 m.) bei susijusias investicijas). Rodikliui skiriama 92,85 proc. intervencijos lėšų, todėl  planuojama 2029 m. siektina reikšmė apskaičiuojama 103882352,94*0,9285/869000</t>
    </r>
    <r>
      <rPr>
        <sz val="11"/>
        <rFont val="Calibri"/>
        <family val="2"/>
      </rPr>
      <t>≈</t>
    </r>
    <r>
      <rPr>
        <sz val="11"/>
        <rFont val="Calibri"/>
        <family val="2"/>
        <scheme val="minor"/>
      </rPr>
      <t xml:space="preserve"> 120. Tarpinė reikšmė neskaičiuojama, nes veiklą numatoma pradėti vykdyti 2024 m. </t>
    </r>
  </si>
  <si>
    <t>The value of the indicator is calculated as the ratio of the planned passenger traffic per year to the RCO 49 indicator. The number of passengers is calculated on the basis of the actual and planned passenger flows / tickets sold and expected to be sold. The data for the calculation of the indicator are obtained from the passenger transport operator. It is projected that t will be 1 500 000 passengers in 2029.  The target value for 2029 m is calculated as 1 500 000/120 = 12 500. There are 1 127 000 passengers in 2019. The baseline value 2019 is calculated  1127000/120 = 9392.</t>
  </si>
  <si>
    <t xml:space="preserve"> Rodiklio reikšmė apskaičiuota kaip per metus planuojamo keleivių srauto ir RCO 49 rodiklio santykis. Keleivių skaičius apskaičiuojamas pagal faktiškai susudarančius ir planuojamus keleivių srautus/ parduotus ir numatomus parduoti bilietus. Duomenys rodiklio apskaičiavimui gaunami iš keleivių pervežimo operatoriaus. Prognozuojama, kad 2029 m. keleivių sk.  bus 1500000, todėl 2029 m. reikšmė apskaičiuojama 1500000/120=12500.  2019 m. yra  1127000 keleivių, todėl pradinė reikšmė 2019 m. skaičiuojama 1127000/120=9392. </t>
  </si>
  <si>
    <t>Corridor IXB has the lowest train capacity. As a result, manual traffic re-planning, if necessary, has been carried out so far, with 5 days left. until the moment of traffic change. 2019 75 trains were canceled and freight was transported by motor vehicle due to shortcomings in manual traffic planning. Automating scheduling could reduce the time buffer required to reschedule train traffic. With automatic scheduling, a “last minute” schedule that used to last 5 days would be changed to 1 p.m. planning. In this way, the time saved would be sufficient to run 1 additional pair of trains per day, the need of which was determined on the basis of actual and planned future requests from operators and the maximum actual and potential network capacity. The achievement of the indicator is planned after the implementation of the project, when the updated traffic management system is put into operation. When calculating the indicator, the increase of train capacity due to other LTG railway infrastructure development, renewal and modernization projects was not taken into account.</t>
  </si>
  <si>
    <t>It is planned to modernize the existing traffic management system, during the implementation of which the modernization project envisages the introduction of instruments that will enable data exchange and integration with carriers, which will ensure equal access to the information system. This will ensure the implementation of EU Regulation 2019/773 (which sets out obligations for the public infrastructure manager to provide information on the location of trains to the carrier). Additional functionalities in the real-time traffic management module will make it easier to forecast and control train movements, while increasing traffic safety. All these instruments envisaged during the implementation of the project will create preconditions for the emergence of a modernized intelligent transport system, the implementation of which, after evaluating similar projects in 2016. rates (about EUR 2,374,528), indexed according to the expected price change (9%) before the start of the planned project (2022), is planned to be about EUR 2,588,235.</t>
  </si>
  <si>
    <r>
      <t xml:space="preserve">Įvertinus analogiškų projektų įgyvendinimą 2014-2020 m. laikotarpyje, 1 km kainuoja  vidutiniškai 7 500 000 eurų (indeksuotas įvertinus kainos pokytį iki planuojamų darbų pradžios). Todėl skaičiuojma, kad siektina 2029 m. reikšmė bus  </t>
    </r>
    <r>
      <rPr>
        <sz val="11"/>
        <color rgb="FFFF0000"/>
        <rFont val="Calibri"/>
        <family val="2"/>
        <charset val="186"/>
        <scheme val="minor"/>
      </rPr>
      <t>77094168,24</t>
    </r>
    <r>
      <rPr>
        <sz val="11"/>
        <rFont val="Calibri"/>
        <family val="2"/>
        <scheme val="minor"/>
      </rPr>
      <t xml:space="preserve">/7500000= 10,28. Planuojama, kad 2024 m. bus pasiekta 20 proc, todėl 10,28*0,2=2,06. </t>
    </r>
    <r>
      <rPr>
        <sz val="11"/>
        <color rgb="FFFF0000"/>
        <rFont val="Calibri"/>
        <family val="2"/>
        <charset val="186"/>
        <scheme val="minor"/>
      </rPr>
      <t xml:space="preserve"> Pradinė reikšmė neskaičiuojama, nes bus nauja kelio atkarpa</t>
    </r>
    <r>
      <rPr>
        <sz val="11"/>
        <rFont val="Calibri"/>
        <family val="2"/>
        <scheme val="minor"/>
      </rPr>
      <t xml:space="preserve">. Siektinos reikšmės paskaičiuotos preliminariai, galutiniai skaičiavimai turėtų paaiškėti 2020 m. pabaigoje arba 2021 m. pradžioje, patvirtinus suplanuotas lėšas. </t>
    </r>
  </si>
  <si>
    <t>After evaluating the completed projects of 2014-2020 period, the tariff of 1 km is  7 500 000 Eur (indexed by estimating the price change before the start of the planned works).  The target value for 2029 is calculated   77094168.24/7500000= 10.28. It is planned, that milestone value will be 20 percent in 2024 (10.28*0.2=2.06). The baseline value is not calculated because there vill be new road section. It should be noted that  the target value ​​have been calculated preliminarily, the final calculations should be available in  early 2021.</t>
  </si>
  <si>
    <t>The target value is calculated using the methodology proposed by Jaspers on 16/10/2020: [Saved Passenger-hours / year] =Σ nj=1 ( [Lengthj b / Speedj b] – [Lengthj f/a / Speedj f/a)] )* Occupancy * AADTj f/a * DAYS. The target value for 2029 is calculated (79.95 / 71.16-79.95 / 89.32) x1.74x726x365 = 105324. The baseline value for 2019 is calculated  (79.95 / 71.16) x1.74x688x365 = 490923.  It should be noted that  the target value ​​have been calculated preliminarily, the final calculations should be available in  early 2021.</t>
  </si>
  <si>
    <t>The target value is calculated using the methodology proposed by Jaspers on 16/10/2020: [Passenger-km] = Σ nj = 1 [AADTj] * [Lengthj] * Occupancy * 365. The target value for 2029 is calculated 726x79.95x1.74x365 = 36863554. The baseline value for 2019 is calculated 688x79.95x1.74x365 = 34934057.  It should be noted that  the target value ​​have been calculated preliminarily, the final calculations should be available in  early 2021.</t>
  </si>
  <si>
    <t>The target value is calculated using the methodology proposed by Jaspers on 16/10/2020: [Passenger-km] = Σ nj = 1 [AADTj] * [Lengthj] * Occupancy * 365. The target value for 2029 is calculated  (9 335x6.90x1.74x365)+(10 967x3.38x1.75x365)=64 585 222. Baseline value for 2019 is not calculated because RCO 43 is new road section.  It should be noted that  the target value ​​have been calculated preliminarily, the final calculations should be available in  early 2021.</t>
  </si>
  <si>
    <t>The target value is calculated using the methodology proposed by Jaspers on 16/10/2020: [Saved Passenger-hours / year] =Σ nj=1 ( [Lengthj b / Speedj b] – [Lengthj f/a / Speedj f/a)] )* Occupancy * AADTj f/a * DAYS. The target value for 2029 is calculated (6.67/76.60-6.67/104,50)x1.74x9335x365+(3.26/75.83-3.26/84,53)x1.75x10967x365=174719. The Baseline value for 2019  is not calculated because RCO 43 is new road section. It should be noted that  the target value ​​have been calculated preliminarily, the final calculations should be available in  early 2021.</t>
  </si>
  <si>
    <t xml:space="preserve"> Siektina reikšmė paskaičiuota naudojantis Jaspers 2020-10-16 pasiūlyta metodika: [Saved Passenger-hours/year] =
Σ nj=1 ( [Lengthj b / Speedj b] – [Lengthj f/a / Speedj f/a)] )* Occupancy * AADTj f/a * DAYS. Todėl siektina 2029 m. reikšmė paskaičiuojama (6,67/76,60-6,67/104,50)x1,74x9335x365+(3,26/75,83-3,26/84,53)x1,75x10967x365=174719. Pradinė reikšmė neskaičiuojama, nes bus nauja kelio atkarpa. Siektina reikšmė paskaičiuota preliminariai, galutiniai skaičiavimai turėtų paaiškėti 2020 m. pabaigoje arba 2021 m. pradžioje, patvirtinus suplanuotas lėšas. </t>
  </si>
  <si>
    <t xml:space="preserve">Siektina reikšmė paskaičiuota naudojantis Jaspers 2020-10-16 pasiūlyta metodika: [Passenger-km] = Σ nj=1 [AADTj] * [Lengthj] * Occupancy * 365. Todėl siektina 2029 m. reikšmė paskaičiuojama (9335x6,90x1,74x365)+(10967x3,38x1,75x365)=64585222. Pradinė reikšmė neskaičiuojama, nes bus naujos kelio atkarpa. Siektina reikšmė paskaičiuota preliminariai, galutiniai skaičiavimai turėtų paaiškėti 2020 m. pabaigoje arba 2021 m. pradžioje, patvirtinus suplanuotas lėšas. </t>
  </si>
  <si>
    <r>
      <t>Įvetinus analogiškus įgyvendintus 2014-2020 m.  projektus, 1 km įkainis, indeksavus ir įvertinus kainų pokytį iki planuojamų darbų pradžios bei reikalingas investicijas, yra 1 406 000 eurų. Rodikliui skiriama 91,75 proc.  intervencijos lėšų, todėl skaičiuojama, kad  2029 m.  60576470,59*0,9175/1406000</t>
    </r>
    <r>
      <rPr>
        <sz val="11"/>
        <rFont val="Calibri"/>
        <family val="2"/>
      </rPr>
      <t>≈</t>
    </r>
    <r>
      <rPr>
        <sz val="11"/>
        <rFont val="Calibri"/>
        <family val="2"/>
        <scheme val="minor"/>
      </rPr>
      <t xml:space="preserve">40. </t>
    </r>
  </si>
  <si>
    <r>
      <t xml:space="preserve">Rodiklio apskaičiavimui buvo naudojami gyvenviečių, esančių prie planuojamų tiesti dviračių takų, gyventojų skaičius. Preliminariai dviračių takus planuojama tiesti prie 10 gyvenviečių, kuriose gyvena </t>
    </r>
    <r>
      <rPr>
        <sz val="11"/>
        <color rgb="FFFF0000"/>
        <rFont val="Calibri"/>
        <family val="2"/>
        <charset val="186"/>
      </rPr>
      <t>~</t>
    </r>
    <r>
      <rPr>
        <sz val="6.05"/>
        <color rgb="FFFF0000"/>
        <rFont val="Calibri"/>
        <family val="2"/>
        <charset val="186"/>
      </rPr>
      <t>32 500</t>
    </r>
    <r>
      <rPr>
        <sz val="11"/>
        <color rgb="FFFF0000"/>
        <rFont val="Calibri"/>
        <family val="2"/>
        <charset val="186"/>
        <scheme val="minor"/>
      </rPr>
      <t xml:space="preserve"> gyventojų. Daroma prielaida, kad įrengtais dviračių takais naudosis 40 proc. gyvenviečių gyventojų. Todėl skaičiuojama, kad siektina reikšmė  2029 m. 32500*0,40= 13 000. </t>
    </r>
  </si>
  <si>
    <t>After evaluating the completed projects of 2014-2020 period, the tariff of 1 km is  1 000 000 Eur (indexed by estimating the price change before the start of the planned works).  77.26 percent of intervension investments is allocated to this indicator.  The target value for 2029 is calculated 103480882.35 * 0.7726 / 1000000 = 79.95. It is planned, that the milestone value will be 20 percent in 2024 (79.95 * 0.2 = 15.99).  It should be noted that  values ​​have been calculated preliminarily, the final calculations should be available in  early 2021.</t>
  </si>
  <si>
    <t xml:space="preserve">
The indicator receives 8.25% of the intervention funds. The cost of 1 road safety and environmental measure on the railways is around € 1,000,000. It is estimated that the value of the indicator for 2029 m will be 60576470,595 * 0.0825 / 1000000 = 5.</t>
  </si>
  <si>
    <t>The achievement of the indicator should not be assessed on the basis of individual projects, but on the basis of the projects as a whole. The initial total value is 5, the planned total value in 2029 is 4, they are distributed in proportion to the number of planned traffic safety and environmental measures. It is estimated that in 2019 m 5 * 0.38≈2, and in 2029 m will be 4 * 0.38≈1.</t>
  </si>
  <si>
    <t>After evaluating the implementation of similar projects in the period of 2014-2020, 1 km costs on average 7,503,031 euros (indexed after estimating the price change before the start of the planned works). Therefore, it is estimated that the target value for 2029 m will be 173934358.82 / 7503031 = 23.19. It is planned that 20% will be achieved in 2024, therefore 23.19 * 0.2≈4.64. The target values ​​have been calculated tentatively, the final calculations should become clear in late 2020 or early 2021, when the planned funds are approved.</t>
  </si>
  <si>
    <r>
      <rPr>
        <b/>
        <sz val="11"/>
        <color rgb="FFFF0000"/>
        <rFont val="Calibri"/>
        <family val="2"/>
        <scheme val="minor"/>
      </rPr>
      <t>075</t>
    </r>
    <r>
      <rPr>
        <sz val="11"/>
        <color rgb="FFFF0000"/>
        <rFont val="Calibri"/>
        <family val="2"/>
        <scheme val="minor"/>
      </rPr>
      <t xml:space="preserve"> Cycling infrastructure</t>
    </r>
  </si>
  <si>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</si>
  <si>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t>5 prioritetas</t>
  </si>
  <si>
    <t>CF</t>
  </si>
  <si>
    <t>Number</t>
  </si>
  <si>
    <t>Number/year</t>
  </si>
  <si>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</si>
  <si>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</si>
  <si>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</si>
  <si>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Persons per year</t>
  </si>
  <si>
    <r>
      <t>Įdiegtos saugų eismą gerinančios ir aplinkosaugos priemonės/</t>
    </r>
    <r>
      <rPr>
        <sz val="11"/>
        <color rgb="FFFF0000"/>
        <rFont val="Calibri"/>
        <family val="2"/>
        <charset val="186"/>
        <scheme val="minor"/>
      </rPr>
      <t xml:space="preserve">Implemented traffic safety improvement and environmental protection measures </t>
    </r>
  </si>
  <si>
    <r>
      <t>Žuvusiųjų  keliuose skaičius /</t>
    </r>
    <r>
      <rPr>
        <sz val="11"/>
        <color rgb="FFFF0000"/>
        <rFont val="Calibri"/>
        <family val="2"/>
        <charset val="186"/>
        <scheme val="minor"/>
      </rPr>
      <t>Number of roads traffic deaths</t>
    </r>
  </si>
  <si>
    <r>
      <t>Įdiegtos saugų eismą gerinančios ir
aplinkosaugos priemonės
geležinkeliuose /</t>
    </r>
    <r>
      <rPr>
        <sz val="11"/>
        <color rgb="FFFF0000"/>
        <rFont val="Calibri"/>
        <family val="2"/>
        <charset val="186"/>
        <scheme val="minor"/>
      </rPr>
      <t>Implementation of traffic safety improvement and environmental measures, of which at level crossings</t>
    </r>
  </si>
  <si>
    <r>
      <t>Žuvusiųjų ir sužeistųjų geležinkelio pervažose skaičius/</t>
    </r>
    <r>
      <rPr>
        <sz val="11"/>
        <color rgb="FFFF0000"/>
        <rFont val="Calibri"/>
        <family val="2"/>
        <charset val="186"/>
        <scheme val="minor"/>
      </rPr>
      <t>Number of deaths and injuries at level crossings</t>
    </r>
  </si>
  <si>
    <t>The achievement of the indicator should not be assessed in terms of individual projects, but in terms of the projects as a whole. The initial total value is 5, the planned total value in 2029. there are 4, they are distributed proportionally according to the number of planned traffic safety and environmental measures. It is estimated that in 2020 5 * 0.62≈3, and 2029 m. will be 4 * 0.62≈2.</t>
  </si>
  <si>
    <r>
      <t>Įdiegtos saugų eismą gerinančios ir aplinkosaugos priemonės geležinkeliuose/</t>
    </r>
    <r>
      <rPr>
        <sz val="11"/>
        <color rgb="FFFF0000"/>
        <rFont val="Calibri"/>
        <family val="2"/>
        <charset val="186"/>
        <scheme val="minor"/>
      </rPr>
      <t xml:space="preserve">Implemented traffic safety improvement and environmental protection measures </t>
    </r>
    <r>
      <rPr>
        <sz val="11"/>
        <color theme="1"/>
        <rFont val="Calibri"/>
        <family val="2"/>
        <scheme val="minor"/>
      </rPr>
      <t>in railways</t>
    </r>
  </si>
  <si>
    <r>
      <rPr>
        <sz val="11"/>
        <color rgb="FFFF0000"/>
        <rFont val="Calibri"/>
        <family val="2"/>
        <charset val="186"/>
        <scheme val="minor"/>
      </rPr>
      <t>Įvertinus 2014-2020 m.laikotarpyje įgyvendintus projektus</t>
    </r>
    <r>
      <rPr>
        <strike/>
        <sz val="11"/>
        <color rgb="FFFF0000"/>
        <rFont val="Calibri"/>
        <family val="2"/>
        <charset val="186"/>
        <scheme val="minor"/>
      </rPr>
      <t>,</t>
    </r>
    <r>
      <rPr>
        <strike/>
        <sz val="11"/>
        <rFont val="Calibri"/>
        <family val="2"/>
        <charset val="186"/>
        <scheme val="minor"/>
      </rPr>
      <t xml:space="preserve"> </t>
    </r>
    <r>
      <rPr>
        <sz val="11"/>
        <rFont val="Calibri"/>
        <family val="2"/>
        <scheme val="minor"/>
      </rPr>
      <t xml:space="preserve">1 saugų eismą gerinančios ir aplinkosaugos priemonės geležinkeliuose įkainis yra apie 1 000 000 eurų. </t>
    </r>
    <r>
      <rPr>
        <sz val="11"/>
        <color rgb="FFFF0000"/>
        <rFont val="Calibri"/>
        <family val="2"/>
        <charset val="186"/>
        <scheme val="minor"/>
      </rPr>
      <t xml:space="preserve">Rodikliui skiriama 7,15 proc. intervencijos lėšų, todėl  skaičiuojama, kad 2029 m. rodiklio reikšmė bus 111882352,94*0,0715/1000000=8. </t>
    </r>
  </si>
  <si>
    <r>
      <t xml:space="preserve">After evaluating the completed projects of 2014-2020 period, the tariff of 1 km is  869 000  Eur (indexed by estimating the price change before the start of the planned works and related investments). 92.85 percent of intervension investments is allocated to this indicator.The target value for 2029 is calculated 103882352.94 * 0.9285 / 869000≈ 120. The milestone value is not calculated because the </t>
    </r>
    <r>
      <rPr>
        <sz val="11"/>
        <color rgb="FFFF0000"/>
        <rFont val="Calibri"/>
        <family val="2"/>
        <charset val="186"/>
        <scheme val="minor"/>
      </rPr>
      <t>project</t>
    </r>
    <r>
      <rPr>
        <sz val="11"/>
        <rFont val="Calibri"/>
        <family val="2"/>
        <charset val="186"/>
        <scheme val="minor"/>
      </rPr>
      <t xml:space="preserve"> is planned to start in 2024.</t>
    </r>
  </si>
  <si>
    <r>
      <t xml:space="preserve">After evaluating the completed projects of 2014-2020 period, the tariff of 1implemented traffic safety improvement and environmental protection measures in railways is </t>
    </r>
    <r>
      <rPr>
        <sz val="11"/>
        <color rgb="FFFF0000"/>
        <rFont val="Calibri"/>
        <family val="2"/>
        <charset val="186"/>
      </rPr>
      <t>~</t>
    </r>
    <r>
      <rPr>
        <sz val="11"/>
        <color rgb="FFFF0000"/>
        <rFont val="Calibri"/>
        <family val="2"/>
        <charset val="186"/>
        <scheme val="minor"/>
      </rPr>
      <t xml:space="preserve"> 1 000 000 Eur. 7.15 percent of intervension investments is allocated to this indicator. The target value for 2029 is calculated  103882352.94 * 0.0715 / 1000000 = 8. it is planned, that the milestone value will be 10 percent in 2024 (8*0,1</t>
    </r>
    <r>
      <rPr>
        <sz val="11"/>
        <color rgb="FFFF0000"/>
        <rFont val="Calibri"/>
        <family val="2"/>
        <charset val="186"/>
      </rPr>
      <t>≈</t>
    </r>
    <r>
      <rPr>
        <sz val="7.7"/>
        <color rgb="FFFF0000"/>
        <rFont val="Calibri"/>
        <family val="2"/>
        <charset val="186"/>
      </rPr>
      <t>1).</t>
    </r>
  </si>
  <si>
    <r>
      <t xml:space="preserve">After evaluating the completed projects of 2014-2020 period, the tariff of 1 km is 1 406 000  Eur (indexed by estimating the price change before the start of the planned works and related investments). 91.75 percent of intervension investments is allocated to this indicator.The target value for 2029 is calculated  60576470,59*0,9175/1406000≈40. </t>
    </r>
    <r>
      <rPr>
        <sz val="11"/>
        <color rgb="FFFF0000"/>
        <rFont val="Calibri"/>
        <family val="2"/>
        <charset val="186"/>
        <scheme val="minor"/>
      </rPr>
      <t>The milestone value i is not calculated bec</t>
    </r>
    <r>
      <rPr>
        <sz val="11"/>
        <rFont val="Calibri"/>
        <family val="2"/>
        <charset val="186"/>
        <scheme val="minor"/>
      </rPr>
      <t>ause the technical documentation will be prepared by 2024.</t>
    </r>
  </si>
  <si>
    <t>The value of the indicator is calculated as the ratio of the planned passenger traffic per year to the RCO 49 indicator. The number of passengers is calculated on the basis of the actual and planned passenger flows / tickets sold and expected to be sold. The data for the calculation of the indicator are obtained from the passenger transport operator. It is projected that t will be  180 000 passengers in 2029. The target value for 2029 m is calculated 180 000/40=4 500. It should be noted that the implementation of the project will affect the total number of passengers, because passenger transportation is not performed in this rail section. For this reason the baseline value is not calculated.</t>
  </si>
  <si>
    <t>The target value is calculated using the methodology proposed by Jaspers on 16/10/2020: [Passenger-km] = Σ nj = 1 [AADTj] * [Lengthj] * Occupancy * 365. The target value for 2029 is calculated (12193x12,90x1,85x365)+(11107x5,35x1,74x365)+(11107x4,94x1,74x365)=178796103. The baseline value for 2019 is calculated  (11595x12,90x1,85x365)+(10564x5,35x1,74x365)+(10564x4,94x1,74x365)=170038487.  It should be noted that  the target value ​​have been calculated preliminarily, the final calculations should be available in  early 2021.</t>
  </si>
  <si>
    <t>The target value is calculated using the methodology proposed by Jaspers on 16/10/2020: [Saved Passenger-hours / year] =Σ nj=1 ( [Lengthj b / Speedj b] – [Lengthj f/a / Speedj f/a)] )* Occupancy * AADTj f/a * DAYS. The target value for 2029 is calculated (12,90/82,91-12,90/106,48)x1,85x12193x365+(5,35/82,87-5,35/104,84)x1,74x11107x365+(4,94/82,87-4,94/104,84)x1,74x11107x365=467115. The baseline value for 2019 is calculated  (12,90/82,91)x1,85x11595x365+(5,35/82,87)x1,74x10564x365+(4,94/82,87)x1,74x10564x365=2051282.  It should be noted that  the target value ​​have been calculated preliminarily, the final calculations should be available in  early 2021.</t>
  </si>
  <si>
    <t xml:space="preserve">Siektina reikšmė paskaičiuota naudojantis Jaspers 2020-10-16 pasiūlyta metodika: [Passenger-km] = Σ nj=1 [AADTj] * [Lengthj] * Occupancy * 365. Todėl siektina 2029 m. reikšmė paskaičiuojama (6918x7,31x1,69x365)+(5037x1,61x1,73x365)=36315250. Pradinė reikšmė 2019 m. apskaičiuojama (6545x7,31x1,69x365)+(4766x1,61x1,73x365)=34357821. Siektina reikšmė paskaičiuota preliminariai, galutiniai skaičiavimai turėtų paaiškėti 2020 m. pabaigoje arba 2021 m. pradžioje, patvirtinus suplanuotas lėšas. </t>
  </si>
  <si>
    <t>The target value is calculated using the methodology proposed by Jaspers on 16/10/2020: [Passenger-km] = Σ nj = 1 [AADTj] * [Lengthj] * Occupancy * 365. The target value for 2029 is calculated (6918x7,31x1,69x365)+(5037x1,61x1,73x365)=36315250. The baseline value for 2019 is calculated (6545x7,31x1,69x365)+(4766x1,61x1,73x365)=34357821.  It should be noted that  the target value ​​have been calculated preliminarily, the final calculations should be available in  early 2021.</t>
  </si>
  <si>
    <t xml:space="preserve">Siektina reikšmė paskaičiuota naudojantis Jaspers 2020-10-16 pasiūlyta metodika: [Saved Passenger-hours/year] =
Σ nj=1 ( [Lengthj b / Speedj b] – [Lengthj f/a / Speedj f/a)] )* Occupancy * AADTj f/a * DAYS. Todėl siektina 2029 m. reikšmė paskaičiuojama (7,31/85,00-7,31/90,00)x1,69x6918x365+(1,61/39,00-1,61/46,00)x1,73x5037x365=40369.  Pradinė reikšmė 2019 m. apskaičiuojama (7,31/85,00)x1,69x6545x365+(1,61/39,00)x1,73x4766x365=471444. Siektina reikšmė paskaičiuota preliminariai, galutiniai skaičiavimai turėtų paaiškėti 2020 m. pabaigoje arba 2021 m. pradžioje, patvirtinus suplanuotas lėšas. </t>
  </si>
  <si>
    <t>The target value is calculated using the methodology proposed by Jaspers on 16/10/2020: [Saved Passenger-hours / year] =Σ nj=1 ( [Lengthj b / Speedj b] – [Lengthj f/a / Speedj f/a)] )* Occupancy * AADTj f/a * DAYS. The target value for 2029 is calculated (7.31/85.00-7.31/90.00)x1.69x6918x365+(1.61/39.00-1.61/46.00)x1.73x5037x365=40369. The baseline value for 2019 is calculated 7.31/85.00)x1.69x6545x365+(1.61/39.00)x1.73x4766x365=471444.  It should be noted that  the target value ​​have been calculated preliminarily, the final calculations should be available in  early 2021.</t>
  </si>
  <si>
    <t>Plėtoti dviračių ir pėsčiųjų infrastruktūrą miestuose ir priemiesčiose, kurie neįgyvendina Darnaus judumo mieste planų</t>
  </si>
  <si>
    <t>Additional dwellings with broadband access of very high capacity (papildomi būstai, turintys itin didelio pralaidumo plačiajuostę prieigą)</t>
  </si>
  <si>
    <t>Additional enterprises with broadband access of very high capacity (papildomos įmonės, turinčios itin didelio pralaidumo plačiajuostę prieigą)</t>
  </si>
  <si>
    <t>Indicator code</t>
  </si>
  <si>
    <t>Indicator name</t>
  </si>
  <si>
    <t>Indicator M.U.</t>
  </si>
  <si>
    <t>Indicator baseline value</t>
  </si>
  <si>
    <t>Indicator baseline year</t>
  </si>
  <si>
    <t>Dwellings with broadband subscriptions to a very high capacity network (būstai, turintys plačiajuosčio ryšio prieigos prie itin didelio pralaidumo tinklo abonementą)</t>
  </si>
  <si>
    <t>Enterprises with broadband subscriptions to a very high capacity network (įmonės, turinčios plačiajuosčio ryšio prieigos prie itin didelio pralaidumo tinklo abonementą)</t>
  </si>
  <si>
    <t>Capital</t>
  </si>
  <si>
    <t>MWR</t>
  </si>
  <si>
    <r>
      <rPr>
        <b/>
        <sz val="11"/>
        <color theme="1"/>
        <rFont val="Calibri"/>
        <family val="2"/>
        <charset val="186"/>
        <scheme val="minor"/>
      </rPr>
      <t>032</t>
    </r>
    <r>
      <rPr>
        <sz val="11"/>
        <color theme="1"/>
        <rFont val="Calibri"/>
        <family val="2"/>
        <scheme val="minor"/>
      </rPr>
      <t xml:space="preserve"> ICT: Very High-Capacity broadband network (backbone/backhaul network)(IRT: itin didelio pajėgumo plačiajuosčio ryšio tinklas (pagrindinis / tranzitinis tinklas)</t>
    </r>
  </si>
  <si>
    <r>
      <rPr>
        <b/>
        <sz val="11"/>
        <rFont val="Calibri"/>
        <family val="2"/>
        <scheme val="minor"/>
      </rPr>
      <t xml:space="preserve"> 035</t>
    </r>
    <r>
      <rPr>
        <sz val="11"/>
        <rFont val="Calibri"/>
        <family val="2"/>
        <scheme val="minor"/>
      </rPr>
      <t xml:space="preserve"> ICT: Very High-Capacity broadband network (access/local loop with a performance equivalent to an optical fibre installation up to the base station for advanced wireless communication) (IRT: itin didelio pajėgumo plačiajuosčio ryšio tinklas (prieigos / vietinė linija, kurios efektyvumas lygus optinių skaidulinių kabelių įrenginių iki bazinės stoties, skirtos pažangiam belaidžiam ryšiui užtikrinti, efektyvumui) </t>
    </r>
  </si>
  <si>
    <r>
      <rPr>
        <b/>
        <sz val="11"/>
        <rFont val="Calibri"/>
        <family val="2"/>
        <charset val="186"/>
        <scheme val="minor"/>
      </rPr>
      <t>034</t>
    </r>
    <r>
      <rPr>
        <sz val="11"/>
        <rFont val="Calibri"/>
        <family val="2"/>
        <scheme val="minor"/>
      </rPr>
      <t xml:space="preserve">  ICT: Very High Capacity broadband network (access/local loop with a performance equivalent to an optical fibre installation up to the distribution point at the serving location for homes and business premises (IRT: itin didelio pajėgumo plačiajuosčio ryšio tinklas (prieigos / vietinė linija, kurios efektyvumas lygus optinių skaidulinių kabelių įrenginių iki paskirstymo taško aptarnaujamojoje vietoje privačiuose namuose ir verslo patalpose efektyvumui)</t>
    </r>
  </si>
  <si>
    <t>Middle- west Lithuania region</t>
  </si>
  <si>
    <t>Projects data</t>
  </si>
  <si>
    <t>dwellings
(būstai)</t>
  </si>
  <si>
    <t>enterprises
(įmonės)</t>
  </si>
  <si>
    <t>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 90% of dwellings with access points will be connected.  Therefore the target The target value for 2029 is calculated RCR53 = 3852 * 0.9 ≈ 3467.</t>
  </si>
  <si>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enterprises with access points will be connected. The target value for 2029 is calculated RCR54 = 428 * 0.9 ≈ 385.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</si>
  <si>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enterprises with access points will be connected. The target value for 2029 is calculated RCR54 = 40 * 0.9 = 36.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</si>
  <si>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dwellings with access points will be connected. The target value for 2029 is calculated RCR53 = 360 * 0.9 = 324.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</si>
  <si>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dwellings with access points will be connected. The target value for 2029 is calculated RCR53 = 4734 * 0.9 ≈ 4261.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</si>
  <si>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enterprises with access points will be connected. The target value for 2029 is calculated RCR54 = 526 * 0.9 ≈ 473.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</si>
  <si>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dwellings with access points will be connected. The target value for 2029 is calculated RCR53 = 414* 0.9 ≈ 373. </t>
    </r>
  </si>
  <si>
    <r>
      <t>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t>
    </r>
    <r>
      <rPr>
        <sz val="11"/>
        <rFont val="Calibri"/>
        <family val="2"/>
        <charset val="186"/>
      </rPr>
      <t>~</t>
    </r>
    <r>
      <rPr>
        <sz val="11"/>
        <rFont val="Calibri"/>
        <family val="2"/>
        <charset val="186"/>
        <scheme val="minor"/>
      </rPr>
      <t xml:space="preserve"> 90% of enterprises with access points will be connected. The target value for 2029 is calculated RCR54 = 46 * 0.9 ≈ 41.</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</si>
  <si>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dwellings with access points will be connected. The target value for 2029 is calculated RCR53=5265*0,9≈4739.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</si>
  <si>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dwellings with access points will be connected. The target value for 2029 is calculated RCR53 = 284 * 0.9 ≈ 256.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</si>
  <si>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of enterprises with access points will be connected. The target value for 2029 is calculated RCR54 = 31* 0.9 ≈ 28.</t>
    </r>
  </si>
  <si>
    <t xml:space="preserve">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backbone line, the tariff of 1 km is 32 771 Eur (indexed after estimating the price change before the planned start of works), the tariff of 1 tower is ~ 230 000 Eur.  It is calculated that ~ 224 km (7339565/32771≈ 224) of fiber optic lines will be laid, installed access points for nearby users and installed active equipment for backbone network.  Additionaly 29 towers are planned to build. This will additionaly cost about 6 670 000 Eur (230000*29=6670000). According to the same project's data it is it is assumed  that  ~ 10 users per fiber km exists in the aggregation network part, which could be connected.  It is calculated  to connect  224 * 10  = 2 240 users with optical fiber and cover 2040 users (according to experts assessment) with broadband wireless.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9/10 (90%) will be dwelings and 1/10 (10%) enterprises.
The target values for 2029 is calculated RCO41 = (2240+2040) * 0.9=3 852 and RCO42 = (2240+2040)* 0.1 = 428. 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10 percent in 2024 ( RCO41 = 3852 * 0.1 ≈ 385 and RCO42 = 428 * 0.1 ≈ 43).
</t>
  </si>
  <si>
    <r>
      <t xml:space="preserve">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backbone line, the tariff of 1 km is </t>
    </r>
    <r>
      <rPr>
        <sz val="11"/>
        <rFont val="Calibri"/>
        <family val="2"/>
        <charset val="186"/>
        <scheme val="minor"/>
      </rPr>
      <t>32 678</t>
    </r>
    <r>
      <rPr>
        <sz val="11"/>
        <rFont val="Calibri"/>
        <family val="2"/>
        <scheme val="minor"/>
      </rPr>
      <t xml:space="preserve"> Eur (</t>
    </r>
    <r>
      <rPr>
        <sz val="11"/>
        <rFont val="Calibri"/>
        <family val="2"/>
        <charset val="186"/>
        <scheme val="minor"/>
      </rPr>
      <t>indexed after estimating the price change before the planned start of works), the tariff of 1 tower is ~ 230 000 Eur.</t>
    </r>
    <r>
      <rPr>
        <sz val="11"/>
        <rFont val="Calibri"/>
        <family val="2"/>
        <scheme val="minor"/>
      </rPr>
      <t xml:space="preserve"> It is calculated that ~ </t>
    </r>
    <r>
      <rPr>
        <sz val="11"/>
        <rFont val="Calibri"/>
        <family val="2"/>
        <charset val="186"/>
        <scheme val="minor"/>
      </rPr>
      <t>29 km (946400/32678≈ 29</t>
    </r>
    <r>
      <rPr>
        <sz val="11"/>
        <rFont val="Calibri"/>
        <family val="2"/>
        <scheme val="minor"/>
      </rPr>
      <t xml:space="preserve">) of fiber optic lines will be laid, installed access points for nearby users and installed active equipment for backbone network. </t>
    </r>
    <r>
      <rPr>
        <sz val="11"/>
        <rFont val="Calibri"/>
        <family val="2"/>
        <charset val="186"/>
        <scheme val="minor"/>
      </rPr>
      <t>Additionaly 1 tower is planned to build. This will additionaly cost about 230 000 Eur.</t>
    </r>
    <r>
      <rPr>
        <sz val="11"/>
        <rFont val="Calibri"/>
        <family val="2"/>
        <scheme val="minor"/>
      </rPr>
      <t xml:space="preserve">According to the same project's data  it is planned to connect </t>
    </r>
    <r>
      <rPr>
        <sz val="10"/>
        <rFont val="Segoe UI"/>
        <family val="2"/>
        <charset val="186"/>
      </rPr>
      <t>10</t>
    </r>
    <r>
      <rPr>
        <sz val="11"/>
        <rFont val="Calibri"/>
        <family val="2"/>
        <scheme val="minor"/>
      </rPr>
      <t xml:space="preserve"> users 1 km.  It is caculated  to connect  </t>
    </r>
    <r>
      <rPr>
        <sz val="11"/>
        <rFont val="Calibri"/>
        <family val="2"/>
        <charset val="186"/>
        <scheme val="minor"/>
      </rPr>
      <t>29 * 10</t>
    </r>
    <r>
      <rPr>
        <sz val="11"/>
        <rFont val="Calibri"/>
        <family val="2"/>
        <scheme val="minor"/>
      </rPr>
      <t xml:space="preserve">= 290 users </t>
    </r>
    <r>
      <rPr>
        <sz val="11"/>
        <rFont val="Calibri"/>
        <family val="2"/>
        <charset val="186"/>
        <scheme val="minor"/>
      </rPr>
      <t>with optical fiber and cover 110 users (according to experts assessment) with broadband wireless.</t>
    </r>
    <r>
      <rPr>
        <sz val="11"/>
        <rFont val="Calibri"/>
        <family val="2"/>
        <scheme val="minor"/>
      </rPr>
      <t xml:space="preserve">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t>
    </r>
    <r>
      <rPr>
        <sz val="11"/>
        <rFont val="Calibri"/>
        <family val="2"/>
        <charset val="186"/>
        <scheme val="minor"/>
      </rPr>
      <t>9/10 ( 90%)</t>
    </r>
    <r>
      <rPr>
        <sz val="11"/>
        <rFont val="Calibri"/>
        <family val="2"/>
        <scheme val="minor"/>
      </rPr>
      <t xml:space="preserve"> will be dwelings and </t>
    </r>
    <r>
      <rPr>
        <sz val="11"/>
        <rFont val="Calibri"/>
        <family val="2"/>
        <charset val="186"/>
        <scheme val="minor"/>
      </rPr>
      <t>1/10 ( 10%)</t>
    </r>
    <r>
      <rPr>
        <sz val="11"/>
        <rFont val="Calibri"/>
        <family val="2"/>
        <scheme val="minor"/>
      </rPr>
      <t xml:space="preserve"> enterprises.
The target values for </t>
    </r>
    <r>
      <rPr>
        <sz val="11"/>
        <rFont val="Calibri"/>
        <family val="2"/>
        <charset val="186"/>
        <scheme val="minor"/>
      </rPr>
      <t>400</t>
    </r>
    <r>
      <rPr>
        <sz val="11"/>
        <rFont val="Calibri"/>
        <family val="2"/>
        <scheme val="minor"/>
      </rPr>
      <t xml:space="preserve"> is calculated RCO41 = </t>
    </r>
    <r>
      <rPr>
        <sz val="11"/>
        <rFont val="Calibri"/>
        <family val="2"/>
        <charset val="186"/>
        <scheme val="minor"/>
      </rPr>
      <t>(290+110) * 0.90=360</t>
    </r>
    <r>
      <rPr>
        <sz val="11"/>
        <rFont val="Calibri"/>
        <family val="2"/>
        <scheme val="minor"/>
      </rPr>
      <t xml:space="preserve"> and RCO42 = </t>
    </r>
    <r>
      <rPr>
        <sz val="11"/>
        <rFont val="Calibri"/>
        <family val="2"/>
        <charset val="186"/>
        <scheme val="minor"/>
      </rPr>
      <t>(290+110)* 0.1=40</t>
    </r>
    <r>
      <rPr>
        <sz val="11"/>
        <rFont val="Calibri"/>
        <family val="2"/>
        <scheme val="minor"/>
      </rPr>
      <t xml:space="preserve">. </t>
    </r>
    <r>
      <rPr>
        <sz val="11"/>
        <rFont val="Calibri"/>
        <family val="2"/>
        <charset val="186"/>
        <scheme val="minor"/>
      </rPr>
      <t xml:space="preserve">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t>
    </r>
    <r>
      <rPr>
        <sz val="11"/>
        <rFont val="Calibri"/>
        <family val="2"/>
        <scheme val="minor"/>
      </rPr>
      <t xml:space="preserve"> </t>
    </r>
    <r>
      <rPr>
        <sz val="11"/>
        <rFont val="Calibri"/>
        <family val="2"/>
        <charset val="186"/>
        <scheme val="minor"/>
      </rPr>
      <t>10</t>
    </r>
    <r>
      <rPr>
        <sz val="11"/>
        <rFont val="Calibri"/>
        <family val="2"/>
        <scheme val="minor"/>
      </rPr>
      <t xml:space="preserve"> percent in 2024 ( RCO41 = </t>
    </r>
    <r>
      <rPr>
        <sz val="11"/>
        <rFont val="Calibri"/>
        <family val="2"/>
        <charset val="186"/>
        <scheme val="minor"/>
      </rPr>
      <t>360 * 0.1 = 36</t>
    </r>
    <r>
      <rPr>
        <sz val="11"/>
        <rFont val="Calibri"/>
        <family val="2"/>
        <scheme val="minor"/>
      </rPr>
      <t xml:space="preserve"> and RCO42 = </t>
    </r>
    <r>
      <rPr>
        <sz val="11"/>
        <rFont val="Calibri"/>
        <family val="2"/>
        <charset val="186"/>
        <scheme val="minor"/>
      </rPr>
      <t>40 * 0.1 = 4</t>
    </r>
    <r>
      <rPr>
        <sz val="11"/>
        <rFont val="Calibri"/>
        <family val="2"/>
        <scheme val="minor"/>
      </rPr>
      <t xml:space="preserve">).
</t>
    </r>
  </si>
  <si>
    <t xml:space="preserve">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fiber optic lines for distribution point connection, the tariff of 1 km is ~ 26 713 Eur (indexed after estimating the price change before the planned start of works), the tariff of 1 tower is ~ 230 000 Eur. It is calculated that ~ 90 km (2412071/26713≈ 90) of fiber optic lines will be laid, installed access points for nearby users and installed active equipment for distribution point connection. Additionaly 20 towers are planned to build. This will additionaly cost about 4 600 000 Eur (230000*20). According to the same project's data  it is assumed that  ~ 8 users per fiber km exists in the distribution network part, which could be connected.
 It is caculated  to connect  90*8 = 720 users with optical fiber and cover 4540 users (according to expert assessment) with broadband wireless.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9/10 (90%) will be dwelings and 1/10 (10%) enterprises.
 The target values for 2029 is calculated RCO41 = (720+4540) * 0.9=4734 and RCO42 = (720+4540) * 0.1=526. 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10 percent in 2024 ( RCO41 = 4734 * 0.1 ≈ 473 and RCO42 = 526 * 0.1 ≈ 53). </t>
  </si>
  <si>
    <t xml:space="preserve">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fiber optic lines for for base stations connection, the tariff of 1 km is ~ 25 884 Eur (indexed after estimating the price change before the planned start of works), the tariff of 1 tower is ~ 230 000 Eur. It is calculated that ~5 km (122400/25884≈ 5) of fiber optic lines will be laid, installed access points for nearby users and installed active equipment for base stations connection. Additionaly 2 towers are planned to build. This will additionaly cost about 460 000 Eur (230000*2). According to the same project's data,  it  is assumed  that  ~ 8 users per fiber km exists in the distribution network part, which could be connected.  I It is caculated  to connect  5*8 = 40 users with optical fiber and cover 420 users (according to experts assessment) with broadband wireless.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9/10 (90%) will be dwelings and 1/10 (10%) enterprises.
 The target values for 2029 is calculated RCO41 = (40+420) * 0.9=414 and RCO42 = (40+420) * 0.1=46. 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10 percent in 2024 ( RCO41 = 414 * 0.1 ≈ 41 and RCO42 = 46 * 0.1 ≈ 5).  
</t>
  </si>
  <si>
    <r>
      <t xml:space="preserve"> 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fiber optic lines for base stations connection, the tariff of 1 km is ~ 23 379 Eur  (indexed after estimating the price change before the planned start of works), the tariff of 1 tower is </t>
    </r>
    <r>
      <rPr>
        <sz val="11"/>
        <rFont val="Calibri"/>
        <family val="2"/>
        <charset val="186"/>
      </rPr>
      <t xml:space="preserve">~ 230 000 Eur. </t>
    </r>
    <r>
      <rPr>
        <sz val="11"/>
        <rFont val="Calibri"/>
        <family val="2"/>
        <charset val="186"/>
        <scheme val="minor"/>
      </rPr>
      <t xml:space="preserve">It is calculated that ~ 103 km (2413776/23379≈103) of fiber optic lines will be laid, installed access points for nearby users and installed active equipment for base stations connection. Additionaly 20 towers are planned to build. This will additionaly cost about 4 600 000 Eur (230000*20). According to the same project's data,  it is assumed that  that   ~ 7 users per fiber km exists, which could be connected.  
I It is caculated  to connect  103*7 = 740 users with optical fiber and cover 4802 (according to experts assessment) users with broadband wireless.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19/20 (95%) will be dwelings and 1/20 (5%) enterprises.
 The target values for 2029 is calculated  RCO41 =(740+4802)*0,95≈5265 and RCO42=(740+4802)*0,05≈277. 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10 percent in 2024 ( RCO41 = 5265 * 0.1 ≈ 527 and RCO42 = 277* 0.1 ≈ 28).  </t>
    </r>
  </si>
  <si>
    <r>
      <t xml:space="preserve">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t>
    </r>
    <r>
      <rPr>
        <sz val="11"/>
        <rFont val="Calibri"/>
        <family val="2"/>
        <charset val="186"/>
      </rPr>
      <t>~</t>
    </r>
    <r>
      <rPr>
        <sz val="11"/>
        <rFont val="Calibri"/>
        <family val="2"/>
        <charset val="186"/>
        <scheme val="minor"/>
      </rPr>
      <t xml:space="preserve"> 90 % of enterprises with access points will be connected. The target value for 2029 is calculated RCR54=277*0,9≈249. </t>
    </r>
  </si>
  <si>
    <r>
      <t xml:space="preserve">After evaluating data of project "Development of Next Generation Internet Access Infrastructure" implemented under the EU Investment Operational Program 2014–2020 Priority 2 “Promotion of the Information Society” implementation measure No. 02.1.1-CPVA-V-521 "Development of Next Generation Access", according to the ratio of the required activated equipment to the installation of connection points in  fiber optic lines for base stations connection, the tariff of 1 km is ~ 24 208 Eur (indexed after estimating the price change before the planned start of works), the tariff of 1 tower is ~ 230 000 Eur. It is calculated that ~ 5 km (121000/24208≈ 5) of fiber optic lines will be laid, installed access points for nearby users and installed active equipment for base stations connection.   Additionaly 2 towers are planned to build. This will additionaly cost about 460 000 Eur( 2*230000). According to the same project's data it is assumed that  that  per 1 km of fiber-optic lines   </t>
    </r>
    <r>
      <rPr>
        <sz val="11"/>
        <rFont val="Calibri"/>
        <family val="2"/>
        <charset val="186"/>
      </rPr>
      <t>~</t>
    </r>
    <r>
      <rPr>
        <sz val="11"/>
        <rFont val="Calibri"/>
        <family val="2"/>
        <charset val="186"/>
        <scheme val="minor"/>
      </rPr>
      <t xml:space="preserve">7 users  will be able to  get services. It is caculated  to connect  5*7 = 35 users with optical fiber and cover 280 users (according to experts assessment) with broadband wireless. 
After evaluating statistics of projects "Support for Broadband Infrastructure (Phase I)” (PRIP1) and “Support for Broadband Infrastructure (Phase II)” (PRIP 2) implemented by the European Agricultural Fund for Rural Development under the measures of the Lithuanian Rural Development Program 2014-2020 "Main services and rural renewal in rural areas", activity area "Support for broadband infrastructure", it is assumed that in rural areas 9/10 (90%) will be dwelings and 1/10 (10%) enterprises.
The target values for 2029 is calculated RCO41 = (35+280)*0,9≈284 and  RCO42=(36+279)*0,1≈31. As the projects are scheduled to start in 2023, tenders for the construction of the network will be announced in the first place. It is therefore likely that by 2024 would be signed contracts. Once the contracts are signed, design work will begin, followed by construction work. Therefore, it is likely that only a small part of the works will be implemented in 2024, which is why the figure of 10% was chosen according to expert assessment, therefore  the milestone value is planned 10 percent in 2024 ( RCO41 =284* 0.1 ≈ 28 and RCO42 = 31 * 0.1 ≈ 3).  </t>
    </r>
  </si>
  <si>
    <t>1.5 (7.1) Enhancing digital connectivity (Skaitmeninis ryšys)</t>
  </si>
  <si>
    <r>
      <t>1.5.1 (</t>
    </r>
    <r>
      <rPr>
        <sz val="11"/>
        <color theme="4"/>
        <rFont val="Calibri"/>
        <family val="2"/>
        <charset val="186"/>
        <scheme val="minor"/>
      </rPr>
      <t>7.1</t>
    </r>
    <r>
      <rPr>
        <sz val="11"/>
        <color theme="1"/>
        <rFont val="Calibri"/>
        <family val="2"/>
        <scheme val="minor"/>
      </rPr>
      <t>.1). Develop ultra-high capacity broadband networks (Plėtoti itin didelio pralaidumo plačiajuosčio ryšio tinklus)</t>
    </r>
  </si>
  <si>
    <t xml:space="preserve">Ministry of Transport </t>
  </si>
  <si>
    <t>General comments 2025-12</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</si>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</sst>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5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b/>
      <sz val="11"/>
      <color rgb="FFFF0000"/>
      <name val="Calibri"/>
      <family val="2"/>
      <charset val="186"/>
      <scheme val="minor"/>
    </font>
    <font>
      <sz val="9"/>
      <color indexed="81"/>
      <name val="Tahoma"/>
      <family val="2"/>
      <charset val="186"/>
    </font>
    <font>
      <b/>
      <sz val="9"/>
      <color indexed="81"/>
      <name val="Tahoma"/>
      <family val="2"/>
      <charset val="186"/>
    </font>
    <font>
      <sz val="11"/>
      <name val="Calibri"/>
      <family val="2"/>
      <charset val="186"/>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theme="1"/>
      <name val="Times New Roman"/>
      <family val="1"/>
      <charset val="186"/>
    </font>
    <font>
      <b/>
      <sz val="11"/>
      <name val="Calibri"/>
      <family val="2"/>
      <scheme val="minor"/>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sz val="10"/>
      <name val="Calibri"/>
      <family val="2"/>
      <charset val="186"/>
      <scheme val="minor"/>
    </font>
    <font>
      <strike/>
      <sz val="11"/>
      <color theme="1"/>
      <name val="Calibri"/>
      <family val="2"/>
      <scheme val="minor"/>
    </font>
    <font>
      <b/>
      <sz val="10"/>
      <color rgb="FFFF0000"/>
      <name val="Calibri"/>
      <family val="2"/>
      <scheme val="minor"/>
    </font>
    <font>
      <sz val="8"/>
      <name val="Calibri"/>
      <family val="2"/>
      <scheme val="minor"/>
    </font>
    <font>
      <sz val="7.7"/>
      <name val="Calibri"/>
      <family val="2"/>
    </font>
    <font>
      <strike/>
      <sz val="11"/>
      <name val="Calibri"/>
      <family val="2"/>
      <charset val="186"/>
      <scheme val="minor"/>
    </font>
    <font>
      <strike/>
      <sz val="11"/>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charset val="186"/>
    </font>
    <font>
      <b/>
      <sz val="12"/>
      <color rgb="FFFF0000"/>
      <name val="Times New Roman"/>
      <family val="1"/>
      <charset val="186"/>
    </font>
    <font>
      <sz val="6.05"/>
      <color rgb="FFFF0000"/>
      <name val="Calibri"/>
      <family val="2"/>
      <charset val="186"/>
    </font>
    <font>
      <sz val="11"/>
      <color rgb="FF202124"/>
      <name val="Calibri"/>
      <family val="2"/>
      <charset val="186"/>
      <scheme val="minor"/>
    </font>
    <font>
      <b/>
      <sz val="11"/>
      <color rgb="FFFF0000"/>
      <name val="Calibri"/>
      <family val="2"/>
      <scheme val="minor"/>
    </font>
    <font>
      <sz val="26"/>
      <color rgb="FFFF0000"/>
      <name val="Calibri"/>
      <family val="2"/>
      <scheme val="minor"/>
    </font>
    <font>
      <sz val="7.7"/>
      <color rgb="FFFF0000"/>
      <name val="Calibri"/>
      <family val="2"/>
      <charset val="186"/>
    </font>
    <font>
      <b/>
      <sz val="11"/>
      <color theme="1"/>
      <name val="Calibri"/>
      <family val="2"/>
      <scheme val="minor"/>
    </font>
    <font>
      <sz val="11"/>
      <color theme="4"/>
      <name val="Calibri"/>
      <family val="2"/>
      <charset val="186"/>
      <scheme val="minor"/>
    </font>
    <font>
      <sz val="10"/>
      <name val="Segoe UI"/>
      <family val="2"/>
      <charset val="186"/>
    </font>
  </fonts>
  <fills count="1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bottom style="medium">
        <color indexed="64"/>
      </bottom>
      <diagonal/>
    </border>
  </borders>
  <cellStyleXfs count="1">
    <xf numFmtId="0" fontId="0" fillId="0" borderId="0"/>
  </cellStyleXfs>
  <cellXfs count="665">
    <xf numFmtId="0" fontId="0" fillId="0" borderId="0" xfId="0"/>
    <xf numFmtId="0" fontId="10" fillId="0" borderId="2" xfId="0" applyFont="1" applyBorder="1" applyAlignment="1">
      <alignment vertical="top" wrapText="1"/>
    </xf>
    <xf numFmtId="0" fontId="10" fillId="0" borderId="2" xfId="0" applyFont="1" applyBorder="1" applyAlignment="1">
      <alignment vertical="top"/>
    </xf>
    <xf numFmtId="0" fontId="0" fillId="0" borderId="1" xfId="0" applyBorder="1"/>
    <xf numFmtId="4" fontId="0" fillId="0" borderId="1" xfId="0" applyNumberFormat="1" applyBorder="1"/>
    <xf numFmtId="0" fontId="11" fillId="0" borderId="14" xfId="0" applyFont="1" applyBorder="1" applyAlignment="1">
      <alignment vertical="top" wrapText="1"/>
    </xf>
    <xf numFmtId="0" fontId="10" fillId="0" borderId="14" xfId="0" applyFont="1" applyBorder="1" applyAlignment="1">
      <alignment vertical="top" wrapText="1"/>
    </xf>
    <xf numFmtId="0" fontId="10" fillId="0" borderId="2" xfId="0" applyFont="1" applyBorder="1" applyAlignment="1">
      <alignment horizontal="center" vertical="center"/>
    </xf>
    <xf numFmtId="0" fontId="13" fillId="0" borderId="1" xfId="0" applyFont="1" applyBorder="1" applyAlignment="1">
      <alignment horizontal="center" vertical="center"/>
    </xf>
    <xf numFmtId="0" fontId="10" fillId="0" borderId="0" xfId="0" applyFont="1"/>
    <xf numFmtId="49" fontId="0" fillId="0" borderId="0" xfId="0" applyNumberFormat="1"/>
    <xf numFmtId="164" fontId="10" fillId="0" borderId="2"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wrapText="1"/>
    </xf>
    <xf numFmtId="0" fontId="24" fillId="0" borderId="1" xfId="0" applyFont="1" applyBorder="1" applyAlignment="1">
      <alignment horizontal="center" vertical="center" wrapText="1"/>
    </xf>
    <xf numFmtId="0" fontId="0" fillId="0" borderId="0" xfId="0" applyAlignment="1">
      <alignment horizontal="center" vertical="center"/>
    </xf>
    <xf numFmtId="3" fontId="18" fillId="0" borderId="1" xfId="0" applyNumberFormat="1" applyFont="1" applyBorder="1" applyAlignment="1">
      <alignment horizontal="center" vertical="center" wrapText="1"/>
    </xf>
    <xf numFmtId="4" fontId="0" fillId="0" borderId="0" xfId="0" applyNumberFormat="1"/>
    <xf numFmtId="49" fontId="26" fillId="0" borderId="0" xfId="0" applyNumberFormat="1" applyFont="1" applyAlignment="1">
      <alignment wrapText="1"/>
    </xf>
    <xf numFmtId="49" fontId="26" fillId="0" borderId="0" xfId="0" applyNumberFormat="1" applyFont="1"/>
    <xf numFmtId="0" fontId="26" fillId="0" borderId="0" xfId="0" applyFont="1"/>
    <xf numFmtId="49" fontId="26" fillId="0" borderId="0" xfId="0" applyNumberFormat="1" applyFont="1" applyAlignment="1">
      <alignment horizontal="center" vertical="center" wrapText="1"/>
    </xf>
    <xf numFmtId="49" fontId="27" fillId="0" borderId="0" xfId="0" applyNumberFormat="1" applyFont="1" applyAlignment="1">
      <alignment horizontal="center" vertical="center" wrapText="1"/>
    </xf>
    <xf numFmtId="4" fontId="26" fillId="0" borderId="0" xfId="0" applyNumberFormat="1" applyFont="1" applyAlignment="1">
      <alignment horizontal="center" vertical="center" wrapText="1"/>
    </xf>
    <xf numFmtId="49" fontId="26" fillId="0" borderId="0" xfId="0" applyNumberFormat="1" applyFont="1" applyAlignment="1">
      <alignment horizontal="center" vertical="top" wrapText="1"/>
    </xf>
    <xf numFmtId="49" fontId="0" fillId="0" borderId="1" xfId="0" applyNumberFormat="1" applyBorder="1" applyAlignment="1">
      <alignment horizontal="center" vertical="center"/>
    </xf>
    <xf numFmtId="49" fontId="0" fillId="0" borderId="7" xfId="0" applyNumberFormat="1" applyBorder="1" applyAlignment="1">
      <alignment horizontal="center" vertical="center"/>
    </xf>
    <xf numFmtId="49" fontId="18" fillId="0" borderId="7" xfId="0" applyNumberFormat="1" applyFont="1" applyBorder="1" applyAlignment="1">
      <alignment horizontal="center" vertical="center" wrapText="1"/>
    </xf>
    <xf numFmtId="4" fontId="18" fillId="0" borderId="7" xfId="0" applyNumberFormat="1" applyFont="1" applyBorder="1" applyAlignment="1">
      <alignment horizontal="center" vertical="center" wrapText="1"/>
    </xf>
    <xf numFmtId="0" fontId="29" fillId="0" borderId="0" xfId="0" applyFont="1"/>
    <xf numFmtId="0" fontId="0" fillId="0" borderId="0" xfId="0" applyAlignment="1">
      <alignment horizontal="center" vertical="center" wrapText="1"/>
    </xf>
    <xf numFmtId="3" fontId="0" fillId="0" borderId="1" xfId="0" applyNumberFormat="1" applyBorder="1" applyAlignment="1">
      <alignment horizontal="center" vertical="center"/>
    </xf>
    <xf numFmtId="1" fontId="18" fillId="0" borderId="1" xfId="0" applyNumberFormat="1" applyFont="1" applyBorder="1" applyAlignment="1">
      <alignment horizontal="center" vertical="center"/>
    </xf>
    <xf numFmtId="49" fontId="18" fillId="0" borderId="2"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9" fontId="13" fillId="0" borderId="12"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0" xfId="0" applyNumberFormat="1" applyAlignment="1">
      <alignment wrapText="1"/>
    </xf>
    <xf numFmtId="165" fontId="0" fillId="0" borderId="1" xfId="0" applyNumberFormat="1" applyBorder="1" applyAlignment="1">
      <alignment horizontal="center" vertical="center" wrapText="1"/>
    </xf>
    <xf numFmtId="49" fontId="11" fillId="0" borderId="12" xfId="0" applyNumberFormat="1" applyFont="1" applyBorder="1" applyAlignment="1">
      <alignment horizontal="center" vertical="center" wrapText="1"/>
    </xf>
    <xf numFmtId="49" fontId="0" fillId="0" borderId="20" xfId="0" applyNumberFormat="1" applyBorder="1" applyAlignment="1">
      <alignment wrapText="1"/>
    </xf>
    <xf numFmtId="49" fontId="0" fillId="8" borderId="2" xfId="0" applyNumberFormat="1" applyFill="1" applyBorder="1" applyAlignment="1">
      <alignment horizontal="center" vertical="center" wrapText="1"/>
    </xf>
    <xf numFmtId="0" fontId="0" fillId="8" borderId="10" xfId="0" applyFill="1" applyBorder="1" applyAlignment="1">
      <alignment horizontal="center" vertical="center" wrapText="1"/>
    </xf>
    <xf numFmtId="4" fontId="0" fillId="8" borderId="12" xfId="0" applyNumberFormat="1" applyFill="1" applyBorder="1" applyAlignment="1">
      <alignment horizontal="center" vertical="center"/>
    </xf>
    <xf numFmtId="49" fontId="0" fillId="8" borderId="12" xfId="0" applyNumberFormat="1" applyFill="1" applyBorder="1" applyAlignment="1">
      <alignment horizontal="center" vertical="center" wrapText="1"/>
    </xf>
    <xf numFmtId="4" fontId="0" fillId="8" borderId="12" xfId="0" applyNumberFormat="1" applyFill="1" applyBorder="1" applyAlignment="1">
      <alignment horizontal="center" vertical="center" wrapText="1"/>
    </xf>
    <xf numFmtId="49" fontId="0" fillId="0" borderId="18" xfId="0" applyNumberFormat="1" applyBorder="1" applyAlignment="1">
      <alignment wrapText="1"/>
    </xf>
    <xf numFmtId="3" fontId="18" fillId="0" borderId="7" xfId="0" applyNumberFormat="1" applyFont="1" applyBorder="1" applyAlignment="1">
      <alignment horizontal="center" vertical="center" wrapText="1"/>
    </xf>
    <xf numFmtId="49" fontId="0" fillId="0" borderId="22" xfId="0" applyNumberFormat="1" applyBorder="1" applyAlignment="1">
      <alignment horizontal="center" vertical="center"/>
    </xf>
    <xf numFmtId="49" fontId="0" fillId="0" borderId="34" xfId="0" applyNumberFormat="1" applyBorder="1" applyAlignment="1">
      <alignment horizontal="center" vertical="center"/>
    </xf>
    <xf numFmtId="0" fontId="31" fillId="0" borderId="0" xfId="0" applyFont="1"/>
    <xf numFmtId="49" fontId="0" fillId="0" borderId="17" xfId="0" applyNumberFormat="1" applyBorder="1" applyAlignment="1">
      <alignment horizontal="left" vertical="center" wrapText="1"/>
    </xf>
    <xf numFmtId="49" fontId="26" fillId="0" borderId="0" xfId="0" applyNumberFormat="1" applyFont="1" applyAlignment="1">
      <alignment horizontal="center" vertical="center"/>
    </xf>
    <xf numFmtId="4" fontId="0" fillId="0" borderId="0" xfId="0" applyNumberFormat="1" applyAlignment="1">
      <alignment horizontal="center" vertical="center"/>
    </xf>
    <xf numFmtId="49" fontId="26" fillId="0" borderId="0" xfId="0" applyNumberFormat="1" applyFont="1" applyAlignment="1">
      <alignment horizontal="left" vertical="top" wrapText="1"/>
    </xf>
    <xf numFmtId="49" fontId="0" fillId="0" borderId="0" xfId="0" applyNumberFormat="1" applyAlignment="1">
      <alignment horizontal="center" vertical="center"/>
    </xf>
    <xf numFmtId="4" fontId="18" fillId="0" borderId="0" xfId="0" applyNumberFormat="1" applyFont="1" applyAlignment="1">
      <alignment horizontal="center" vertical="center"/>
    </xf>
    <xf numFmtId="4" fontId="27" fillId="0" borderId="0" xfId="0" applyNumberFormat="1" applyFont="1" applyAlignment="1">
      <alignment horizontal="center" vertical="center" wrapText="1"/>
    </xf>
    <xf numFmtId="4" fontId="27" fillId="0" borderId="0" xfId="0" applyNumberFormat="1" applyFont="1" applyAlignment="1">
      <alignment horizontal="center" vertical="center"/>
    </xf>
    <xf numFmtId="4" fontId="32" fillId="0" borderId="0" xfId="0" applyNumberFormat="1" applyFont="1" applyAlignment="1">
      <alignment wrapText="1"/>
    </xf>
    <xf numFmtId="49" fontId="32" fillId="0" borderId="0" xfId="0" applyNumberFormat="1" applyFont="1" applyAlignment="1">
      <alignment wrapText="1"/>
    </xf>
    <xf numFmtId="49" fontId="32" fillId="0" borderId="0" xfId="0" applyNumberFormat="1" applyFont="1"/>
    <xf numFmtId="0" fontId="32" fillId="0" borderId="0" xfId="0" applyFont="1"/>
    <xf numFmtId="49" fontId="18" fillId="0" borderId="28" xfId="0" applyNumberFormat="1" applyFont="1" applyBorder="1" applyAlignment="1">
      <alignment vertical="top" wrapText="1"/>
    </xf>
    <xf numFmtId="3" fontId="18" fillId="0" borderId="2" xfId="0" applyNumberFormat="1" applyFont="1" applyBorder="1" applyAlignment="1">
      <alignment horizontal="center" vertical="center" wrapText="1"/>
    </xf>
    <xf numFmtId="49" fontId="18" fillId="0" borderId="20" xfId="0" applyNumberFormat="1" applyFont="1" applyBorder="1" applyAlignment="1">
      <alignment vertical="top" wrapText="1"/>
    </xf>
    <xf numFmtId="49" fontId="18" fillId="0" borderId="17" xfId="0" applyNumberFormat="1" applyFont="1" applyBorder="1" applyAlignment="1">
      <alignment vertical="top" wrapText="1"/>
    </xf>
    <xf numFmtId="3" fontId="18" fillId="0" borderId="12" xfId="0" applyNumberFormat="1" applyFont="1" applyBorder="1" applyAlignment="1">
      <alignment horizontal="center" vertical="center" wrapText="1"/>
    </xf>
    <xf numFmtId="49" fontId="0" fillId="0" borderId="32" xfId="0" applyNumberFormat="1" applyBorder="1" applyAlignment="1">
      <alignment horizontal="center" vertical="center" wrapText="1"/>
    </xf>
    <xf numFmtId="49" fontId="0" fillId="0" borderId="4" xfId="0" applyNumberFormat="1" applyBorder="1" applyAlignment="1">
      <alignment horizontal="center" vertical="center" wrapText="1"/>
    </xf>
    <xf numFmtId="49" fontId="18" fillId="0" borderId="5" xfId="0" applyNumberFormat="1" applyFont="1" applyBorder="1" applyAlignment="1">
      <alignment horizontal="center" vertical="center" wrapText="1"/>
    </xf>
    <xf numFmtId="3" fontId="18" fillId="0" borderId="5" xfId="0" applyNumberFormat="1" applyFont="1" applyBorder="1" applyAlignment="1">
      <alignment horizontal="center" vertical="center" wrapText="1"/>
    </xf>
    <xf numFmtId="4" fontId="26" fillId="0" borderId="0" xfId="0" applyNumberFormat="1" applyFont="1" applyAlignment="1">
      <alignment wrapText="1"/>
    </xf>
    <xf numFmtId="4" fontId="0" fillId="0" borderId="0" xfId="0" applyNumberFormat="1" applyAlignment="1">
      <alignment wrapText="1"/>
    </xf>
    <xf numFmtId="3" fontId="0" fillId="0" borderId="1" xfId="0" applyNumberFormat="1" applyBorder="1" applyAlignment="1">
      <alignment horizontal="center" vertical="center" wrapText="1"/>
    </xf>
    <xf numFmtId="0" fontId="10" fillId="0" borderId="2" xfId="0" applyFont="1" applyBorder="1" applyAlignment="1">
      <alignment horizontal="center" vertical="center" wrapText="1"/>
    </xf>
    <xf numFmtId="4" fontId="0" fillId="0" borderId="1" xfId="0" applyNumberFormat="1" applyBorder="1" applyAlignment="1">
      <alignment horizontal="center" vertical="center"/>
    </xf>
    <xf numFmtId="4" fontId="0" fillId="0" borderId="1" xfId="0" applyNumberFormat="1"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wrapText="1"/>
    </xf>
    <xf numFmtId="2" fontId="26" fillId="0" borderId="0" xfId="0" applyNumberFormat="1" applyFont="1" applyAlignment="1">
      <alignment wrapText="1"/>
    </xf>
    <xf numFmtId="0" fontId="0" fillId="0" borderId="13" xfId="0" applyBorder="1"/>
    <xf numFmtId="49" fontId="0" fillId="0" borderId="2" xfId="0" applyNumberFormat="1" applyBorder="1" applyAlignment="1">
      <alignment horizontal="center" vertical="center" wrapText="1"/>
    </xf>
    <xf numFmtId="3" fontId="0" fillId="0" borderId="2" xfId="0" applyNumberFormat="1" applyBorder="1" applyAlignment="1">
      <alignment horizontal="center" vertical="center" wrapText="1"/>
    </xf>
    <xf numFmtId="4" fontId="26" fillId="0" borderId="0" xfId="0" applyNumberFormat="1" applyFont="1" applyAlignment="1">
      <alignment horizontal="left" vertical="top" wrapText="1"/>
    </xf>
    <xf numFmtId="3" fontId="0" fillId="0" borderId="0" xfId="0" applyNumberFormat="1"/>
    <xf numFmtId="3" fontId="17" fillId="0" borderId="2"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xf>
    <xf numFmtId="49" fontId="18" fillId="0" borderId="8" xfId="0" applyNumberFormat="1" applyFont="1" applyBorder="1" applyAlignment="1">
      <alignment horizontal="center" vertical="center"/>
    </xf>
    <xf numFmtId="4" fontId="0" fillId="0" borderId="10" xfId="0" applyNumberFormat="1" applyBorder="1" applyAlignment="1">
      <alignment horizontal="center" vertical="center" wrapText="1"/>
    </xf>
    <xf numFmtId="0" fontId="0" fillId="0" borderId="1" xfId="0" applyBorder="1" applyAlignment="1">
      <alignment horizontal="center" vertical="center" wrapText="1"/>
    </xf>
    <xf numFmtId="49" fontId="0" fillId="6" borderId="2" xfId="0" applyNumberFormat="1" applyFill="1" applyBorder="1" applyAlignment="1">
      <alignment horizontal="center" vertical="center" wrapText="1"/>
    </xf>
    <xf numFmtId="49" fontId="18" fillId="0" borderId="12"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49" fontId="18" fillId="0" borderId="17" xfId="0" applyNumberFormat="1" applyFont="1" applyBorder="1" applyAlignment="1">
      <alignment horizontal="left" vertical="center" wrapText="1"/>
    </xf>
    <xf numFmtId="2" fontId="32" fillId="0" borderId="0" xfId="0" applyNumberFormat="1" applyFont="1" applyAlignment="1">
      <alignment wrapText="1"/>
    </xf>
    <xf numFmtId="1" fontId="17" fillId="0" borderId="1" xfId="0" applyNumberFormat="1" applyFont="1" applyBorder="1" applyAlignment="1">
      <alignment horizontal="center" vertical="center"/>
    </xf>
    <xf numFmtId="2" fontId="18" fillId="0" borderId="1" xfId="0" applyNumberFormat="1" applyFont="1" applyBorder="1" applyAlignment="1">
      <alignment horizontal="center" vertical="center" wrapText="1"/>
    </xf>
    <xf numFmtId="4" fontId="18" fillId="0" borderId="17" xfId="0" applyNumberFormat="1" applyFont="1" applyBorder="1" applyAlignment="1">
      <alignment vertical="top" wrapText="1"/>
    </xf>
    <xf numFmtId="49" fontId="27" fillId="0" borderId="12" xfId="0" applyNumberFormat="1" applyFont="1" applyBorder="1" applyAlignment="1" applyProtection="1">
      <alignment horizontal="center" vertical="center" wrapText="1"/>
      <protection locked="0"/>
    </xf>
    <xf numFmtId="49" fontId="0" fillId="5" borderId="7" xfId="0" applyNumberFormat="1" applyFill="1" applyBorder="1" applyAlignment="1">
      <alignment horizontal="center" vertical="center"/>
    </xf>
    <xf numFmtId="49" fontId="0" fillId="5" borderId="7" xfId="0" applyNumberFormat="1" applyFill="1" applyBorder="1" applyAlignment="1">
      <alignment horizontal="center" vertical="center" wrapText="1"/>
    </xf>
    <xf numFmtId="0" fontId="8" fillId="5" borderId="1" xfId="0" applyFont="1" applyFill="1" applyBorder="1" applyAlignment="1">
      <alignment horizontal="center" vertical="center" wrapText="1"/>
    </xf>
    <xf numFmtId="165" fontId="0" fillId="5" borderId="1" xfId="0" applyNumberFormat="1" applyFill="1" applyBorder="1" applyAlignment="1">
      <alignment horizontal="center" vertical="center" wrapText="1"/>
    </xf>
    <xf numFmtId="0" fontId="24" fillId="5" borderId="1" xfId="0" applyFont="1" applyFill="1" applyBorder="1" applyAlignment="1">
      <alignment horizontal="center" vertical="center" wrapText="1"/>
    </xf>
    <xf numFmtId="4" fontId="0" fillId="5" borderId="1" xfId="0" applyNumberFormat="1" applyFill="1" applyBorder="1" applyAlignment="1">
      <alignment horizontal="center" vertical="center"/>
    </xf>
    <xf numFmtId="0" fontId="0" fillId="5" borderId="1" xfId="0" applyFill="1" applyBorder="1" applyAlignment="1">
      <alignment horizontal="center" vertical="center"/>
    </xf>
    <xf numFmtId="3" fontId="0" fillId="5" borderId="1" xfId="0" applyNumberFormat="1" applyFill="1" applyBorder="1" applyAlignment="1">
      <alignment horizontal="center" vertical="center"/>
    </xf>
    <xf numFmtId="0" fontId="0" fillId="5" borderId="0" xfId="0" applyFill="1"/>
    <xf numFmtId="4" fontId="0" fillId="5" borderId="0" xfId="0" applyNumberFormat="1" applyFill="1"/>
    <xf numFmtId="49" fontId="13" fillId="5" borderId="1" xfId="0" applyNumberFormat="1" applyFont="1" applyFill="1" applyBorder="1" applyAlignment="1">
      <alignment horizontal="center" vertical="center" wrapText="1"/>
    </xf>
    <xf numFmtId="0" fontId="0" fillId="5" borderId="1" xfId="0" applyFill="1" applyBorder="1" applyAlignment="1">
      <alignment horizontal="center" vertical="center" wrapText="1"/>
    </xf>
    <xf numFmtId="49" fontId="18" fillId="5" borderId="1" xfId="0" applyNumberFormat="1" applyFont="1" applyFill="1" applyBorder="1" applyAlignment="1">
      <alignment horizontal="center" vertical="center" wrapText="1"/>
    </xf>
    <xf numFmtId="49" fontId="0" fillId="5" borderId="1" xfId="0" applyNumberFormat="1" applyFill="1" applyBorder="1" applyAlignment="1">
      <alignment horizontal="center" vertical="center" wrapText="1"/>
    </xf>
    <xf numFmtId="49" fontId="0" fillId="5" borderId="1" xfId="0" applyNumberFormat="1" applyFill="1" applyBorder="1" applyAlignment="1">
      <alignment horizontal="center" vertical="center"/>
    </xf>
    <xf numFmtId="49" fontId="18" fillId="5" borderId="1" xfId="0" applyNumberFormat="1" applyFont="1" applyFill="1" applyBorder="1" applyAlignment="1">
      <alignment horizontal="center" vertical="center"/>
    </xf>
    <xf numFmtId="49" fontId="18" fillId="5" borderId="2" xfId="0" applyNumberFormat="1" applyFont="1" applyFill="1" applyBorder="1" applyAlignment="1">
      <alignment horizontal="center" vertical="center" wrapText="1"/>
    </xf>
    <xf numFmtId="3" fontId="0" fillId="5" borderId="1" xfId="0" applyNumberFormat="1" applyFill="1" applyBorder="1" applyAlignment="1">
      <alignment horizontal="center" vertical="center" wrapText="1"/>
    </xf>
    <xf numFmtId="49" fontId="0" fillId="5" borderId="4" xfId="0" applyNumberFormat="1" applyFill="1" applyBorder="1" applyAlignment="1">
      <alignment horizontal="center" vertical="center" wrapText="1"/>
    </xf>
    <xf numFmtId="2" fontId="0" fillId="5" borderId="1" xfId="0" applyNumberFormat="1" applyFill="1" applyBorder="1" applyAlignment="1">
      <alignment horizontal="center" vertical="center"/>
    </xf>
    <xf numFmtId="0" fontId="0" fillId="5" borderId="0" xfId="0" applyFill="1" applyAlignment="1">
      <alignment horizontal="center" vertical="center" wrapText="1"/>
    </xf>
    <xf numFmtId="1" fontId="0" fillId="5" borderId="1" xfId="0" applyNumberFormat="1" applyFill="1" applyBorder="1" applyAlignment="1">
      <alignment horizontal="center" vertical="center"/>
    </xf>
    <xf numFmtId="4" fontId="0" fillId="5" borderId="1" xfId="0" applyNumberFormat="1" applyFill="1" applyBorder="1" applyAlignment="1">
      <alignment horizontal="center" vertical="center" wrapText="1"/>
    </xf>
    <xf numFmtId="49" fontId="0" fillId="5" borderId="2" xfId="0" applyNumberFormat="1" applyFill="1" applyBorder="1" applyAlignment="1">
      <alignment horizontal="center" vertical="center" wrapText="1"/>
    </xf>
    <xf numFmtId="49" fontId="18" fillId="0" borderId="16" xfId="0" applyNumberFormat="1" applyFont="1" applyBorder="1" applyAlignment="1">
      <alignment vertical="center" wrapText="1"/>
    </xf>
    <xf numFmtId="0" fontId="18" fillId="0" borderId="1" xfId="0" applyFont="1" applyBorder="1" applyAlignment="1">
      <alignment horizontal="center" vertical="center" wrapText="1"/>
    </xf>
    <xf numFmtId="49" fontId="0" fillId="6" borderId="10" xfId="0" applyNumberFormat="1" applyFill="1" applyBorder="1" applyAlignment="1">
      <alignment horizontal="center" vertical="center" wrapText="1"/>
    </xf>
    <xf numFmtId="49" fontId="0" fillId="0" borderId="10" xfId="0" applyNumberFormat="1" applyBorder="1" applyAlignment="1">
      <alignment horizontal="center" vertical="center" wrapText="1"/>
    </xf>
    <xf numFmtId="49" fontId="0" fillId="0" borderId="21" xfId="0" applyNumberFormat="1" applyBorder="1" applyAlignment="1">
      <alignment horizontal="center" vertical="center" wrapText="1"/>
    </xf>
    <xf numFmtId="4" fontId="0" fillId="0" borderId="10" xfId="0" applyNumberFormat="1" applyBorder="1" applyAlignment="1">
      <alignment horizontal="center" vertical="center"/>
    </xf>
    <xf numFmtId="4" fontId="18" fillId="0" borderId="10" xfId="0" applyNumberFormat="1" applyFont="1" applyBorder="1" applyAlignment="1">
      <alignment horizontal="center" vertical="center"/>
    </xf>
    <xf numFmtId="3" fontId="13" fillId="0" borderId="12" xfId="0" applyNumberFormat="1" applyFont="1" applyBorder="1" applyAlignment="1">
      <alignment horizontal="center" vertical="center" wrapText="1"/>
    </xf>
    <xf numFmtId="49" fontId="17" fillId="0" borderId="17" xfId="0" applyNumberFormat="1" applyFont="1" applyBorder="1" applyAlignment="1">
      <alignment vertical="top" wrapText="1"/>
    </xf>
    <xf numFmtId="49"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3" fontId="17" fillId="0" borderId="0" xfId="0" applyNumberFormat="1" applyFont="1" applyAlignment="1">
      <alignment horizontal="center" vertical="center" wrapText="1"/>
    </xf>
    <xf numFmtId="49" fontId="18" fillId="0" borderId="0" xfId="0" applyNumberFormat="1" applyFont="1" applyAlignment="1">
      <alignment vertical="top" wrapText="1"/>
    </xf>
    <xf numFmtId="0" fontId="18" fillId="0" borderId="0" xfId="0" applyFont="1" applyAlignment="1">
      <alignment horizontal="center" vertical="center"/>
    </xf>
    <xf numFmtId="1" fontId="17" fillId="0" borderId="0" xfId="0" applyNumberFormat="1" applyFont="1" applyAlignment="1">
      <alignment horizontal="center" vertical="center"/>
    </xf>
    <xf numFmtId="4" fontId="18" fillId="0" borderId="0" xfId="0" applyNumberFormat="1" applyFont="1" applyAlignment="1">
      <alignment vertical="top" wrapText="1"/>
    </xf>
    <xf numFmtId="49" fontId="13" fillId="0" borderId="7" xfId="0" applyNumberFormat="1" applyFont="1" applyBorder="1" applyAlignment="1">
      <alignment horizontal="center" vertical="center" wrapText="1"/>
    </xf>
    <xf numFmtId="3" fontId="13" fillId="0" borderId="5" xfId="0" applyNumberFormat="1" applyFont="1" applyBorder="1" applyAlignment="1">
      <alignment horizontal="center" vertical="center" wrapText="1"/>
    </xf>
    <xf numFmtId="49" fontId="14" fillId="0" borderId="0" xfId="0" applyNumberFormat="1" applyFont="1" applyAlignment="1">
      <alignment wrapText="1"/>
    </xf>
    <xf numFmtId="49" fontId="13" fillId="0" borderId="1" xfId="0" applyNumberFormat="1" applyFont="1" applyBorder="1" applyAlignment="1">
      <alignment horizontal="center" vertical="center" wrapText="1"/>
    </xf>
    <xf numFmtId="3" fontId="0" fillId="0" borderId="10" xfId="0" applyNumberFormat="1" applyBorder="1" applyAlignment="1">
      <alignment horizontal="center" vertical="center" wrapText="1"/>
    </xf>
    <xf numFmtId="0" fontId="37" fillId="0" borderId="0" xfId="0" applyFont="1" applyAlignment="1">
      <alignment wrapText="1"/>
    </xf>
    <xf numFmtId="0" fontId="38" fillId="0" borderId="0" xfId="0" applyFont="1" applyAlignment="1">
      <alignment horizontal="center" vertical="center"/>
    </xf>
    <xf numFmtId="49" fontId="38" fillId="0" borderId="0" xfId="0" applyNumberFormat="1" applyFont="1" applyAlignment="1">
      <alignment horizontal="center" vertical="center"/>
    </xf>
    <xf numFmtId="0" fontId="38" fillId="0" borderId="0" xfId="0" applyFont="1" applyAlignment="1">
      <alignment horizontal="center" vertical="center" wrapText="1"/>
    </xf>
    <xf numFmtId="0" fontId="38" fillId="0" borderId="1" xfId="0" applyFont="1" applyBorder="1" applyAlignment="1">
      <alignment horizontal="center" vertical="center"/>
    </xf>
    <xf numFmtId="49" fontId="38" fillId="0" borderId="1" xfId="0" applyNumberFormat="1" applyFont="1" applyBorder="1" applyAlignment="1">
      <alignment horizontal="center" vertical="center"/>
    </xf>
    <xf numFmtId="0" fontId="38" fillId="0" borderId="1"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0" fontId="0" fillId="0" borderId="0" xfId="0" applyAlignment="1">
      <alignment horizontal="left" vertical="center" wrapText="1"/>
    </xf>
    <xf numFmtId="4" fontId="40" fillId="0" borderId="0" xfId="0" applyNumberFormat="1" applyFont="1" applyAlignment="1">
      <alignment wrapText="1"/>
    </xf>
    <xf numFmtId="0" fontId="0" fillId="0" borderId="0" xfId="0" applyAlignment="1">
      <alignment horizontal="left" vertical="center"/>
    </xf>
    <xf numFmtId="3" fontId="41" fillId="0" borderId="0" xfId="0" applyNumberFormat="1" applyFont="1" applyAlignment="1">
      <alignment horizontal="center" vertical="center"/>
    </xf>
    <xf numFmtId="3" fontId="41" fillId="0" borderId="18" xfId="0" applyNumberFormat="1" applyFont="1" applyBorder="1" applyAlignment="1">
      <alignment horizontal="center" vertical="center"/>
    </xf>
    <xf numFmtId="49" fontId="38" fillId="0" borderId="11" xfId="0" applyNumberFormat="1" applyFont="1" applyBorder="1" applyAlignment="1">
      <alignment horizontal="center" vertical="center"/>
    </xf>
    <xf numFmtId="3" fontId="41" fillId="0" borderId="17" xfId="0" applyNumberFormat="1" applyFont="1" applyBorder="1" applyAlignment="1">
      <alignment horizontal="center" vertical="center"/>
    </xf>
    <xf numFmtId="49" fontId="38" fillId="0" borderId="9" xfId="0" applyNumberFormat="1" applyFont="1" applyBorder="1" applyAlignment="1">
      <alignment horizontal="center" vertical="center"/>
    </xf>
    <xf numFmtId="3" fontId="41" fillId="0" borderId="16" xfId="0" applyNumberFormat="1" applyFont="1" applyBorder="1" applyAlignment="1">
      <alignment horizontal="center" vertical="center"/>
    </xf>
    <xf numFmtId="49" fontId="38" fillId="0" borderId="6" xfId="0" applyNumberFormat="1" applyFont="1" applyBorder="1" applyAlignment="1">
      <alignment horizontal="center" vertical="center"/>
    </xf>
    <xf numFmtId="4" fontId="42" fillId="0" borderId="0" xfId="0" applyNumberFormat="1" applyFont="1" applyAlignment="1">
      <alignment horizontal="left" vertical="center" wrapText="1"/>
    </xf>
    <xf numFmtId="3" fontId="38" fillId="9" borderId="36" xfId="0" applyNumberFormat="1" applyFont="1" applyFill="1" applyBorder="1" applyAlignment="1">
      <alignment horizontal="center" vertical="center"/>
    </xf>
    <xf numFmtId="3" fontId="38" fillId="9" borderId="18" xfId="0" applyNumberFormat="1" applyFont="1" applyFill="1" applyBorder="1" applyAlignment="1">
      <alignment horizontal="center" vertical="center"/>
    </xf>
    <xf numFmtId="49" fontId="38" fillId="9" borderId="12" xfId="0" applyNumberFormat="1" applyFont="1" applyFill="1" applyBorder="1" applyAlignment="1">
      <alignment horizontal="center" vertical="center"/>
    </xf>
    <xf numFmtId="0" fontId="38" fillId="9" borderId="12" xfId="0" applyFont="1" applyFill="1" applyBorder="1" applyAlignment="1">
      <alignment horizontal="center" vertical="center"/>
    </xf>
    <xf numFmtId="0" fontId="38" fillId="9" borderId="12" xfId="0" applyFont="1" applyFill="1" applyBorder="1" applyAlignment="1">
      <alignment horizontal="center" vertical="center" wrapText="1"/>
    </xf>
    <xf numFmtId="0" fontId="38" fillId="9" borderId="11" xfId="0" applyFont="1" applyFill="1" applyBorder="1" applyAlignment="1">
      <alignment horizontal="center" vertical="center"/>
    </xf>
    <xf numFmtId="3" fontId="38" fillId="9" borderId="37" xfId="0" applyNumberFormat="1" applyFont="1" applyFill="1" applyBorder="1" applyAlignment="1">
      <alignment horizontal="center" vertical="center"/>
    </xf>
    <xf numFmtId="3" fontId="38" fillId="9" borderId="17" xfId="0" applyNumberFormat="1" applyFont="1" applyFill="1" applyBorder="1" applyAlignment="1">
      <alignment horizontal="center" vertical="center"/>
    </xf>
    <xf numFmtId="49" fontId="38" fillId="9" borderId="1" xfId="0" applyNumberFormat="1" applyFont="1" applyFill="1" applyBorder="1" applyAlignment="1">
      <alignment horizontal="center" vertical="center"/>
    </xf>
    <xf numFmtId="0" fontId="38" fillId="9" borderId="1" xfId="0" applyFont="1" applyFill="1" applyBorder="1" applyAlignment="1">
      <alignment horizontal="center" vertical="center"/>
    </xf>
    <xf numFmtId="0" fontId="38" fillId="9" borderId="1" xfId="0" applyFont="1" applyFill="1" applyBorder="1" applyAlignment="1">
      <alignment horizontal="center" vertical="center" wrapText="1"/>
    </xf>
    <xf numFmtId="0" fontId="38" fillId="9" borderId="9" xfId="0" applyFont="1" applyFill="1" applyBorder="1" applyAlignment="1">
      <alignment horizontal="center" vertical="center"/>
    </xf>
    <xf numFmtId="3" fontId="38" fillId="10" borderId="37" xfId="0" applyNumberFormat="1" applyFont="1" applyFill="1" applyBorder="1" applyAlignment="1">
      <alignment horizontal="center" vertical="center"/>
    </xf>
    <xf numFmtId="3" fontId="38" fillId="10" borderId="17" xfId="0" applyNumberFormat="1" applyFont="1" applyFill="1" applyBorder="1" applyAlignment="1">
      <alignment horizontal="center" vertical="center"/>
    </xf>
    <xf numFmtId="49" fontId="38" fillId="10" borderId="1" xfId="0" applyNumberFormat="1" applyFont="1" applyFill="1" applyBorder="1" applyAlignment="1">
      <alignment horizontal="center" vertical="center"/>
    </xf>
    <xf numFmtId="0" fontId="38" fillId="10" borderId="1" xfId="0" applyFont="1" applyFill="1" applyBorder="1" applyAlignment="1">
      <alignment horizontal="center" vertical="center"/>
    </xf>
    <xf numFmtId="0" fontId="38" fillId="10" borderId="1" xfId="0" applyFont="1" applyFill="1" applyBorder="1" applyAlignment="1">
      <alignment horizontal="center" vertical="center" wrapText="1"/>
    </xf>
    <xf numFmtId="0" fontId="38" fillId="10" borderId="9" xfId="0" applyFont="1" applyFill="1" applyBorder="1" applyAlignment="1">
      <alignment horizontal="center" vertical="center"/>
    </xf>
    <xf numFmtId="4" fontId="40" fillId="0" borderId="0" xfId="0" applyNumberFormat="1" applyFont="1" applyAlignment="1">
      <alignment horizontal="left" vertical="center" wrapText="1"/>
    </xf>
    <xf numFmtId="3" fontId="38" fillId="11" borderId="39" xfId="0" applyNumberFormat="1" applyFont="1" applyFill="1" applyBorder="1" applyAlignment="1">
      <alignment horizontal="center" vertical="center"/>
    </xf>
    <xf numFmtId="3" fontId="38" fillId="11" borderId="16" xfId="0" applyNumberFormat="1" applyFont="1" applyFill="1" applyBorder="1" applyAlignment="1">
      <alignment horizontal="center" vertical="center"/>
    </xf>
    <xf numFmtId="49" fontId="38" fillId="11" borderId="7" xfId="0" applyNumberFormat="1" applyFont="1" applyFill="1" applyBorder="1" applyAlignment="1">
      <alignment horizontal="center" vertical="center"/>
    </xf>
    <xf numFmtId="0" fontId="38" fillId="11" borderId="7" xfId="0" applyFont="1" applyFill="1" applyBorder="1" applyAlignment="1">
      <alignment horizontal="center" vertical="center"/>
    </xf>
    <xf numFmtId="0" fontId="38" fillId="11" borderId="7" xfId="0" applyFont="1" applyFill="1" applyBorder="1" applyAlignment="1">
      <alignment horizontal="center" vertical="center" wrapText="1"/>
    </xf>
    <xf numFmtId="0" fontId="38" fillId="11" borderId="6" xfId="0" applyFont="1" applyFill="1" applyBorder="1" applyAlignment="1">
      <alignment horizontal="center" vertical="center"/>
    </xf>
    <xf numFmtId="0" fontId="38" fillId="12" borderId="0" xfId="0" applyFont="1" applyFill="1" applyAlignment="1">
      <alignment horizontal="center" vertical="center"/>
    </xf>
    <xf numFmtId="3" fontId="38" fillId="12" borderId="36" xfId="0" applyNumberFormat="1" applyFont="1" applyFill="1" applyBorder="1" applyAlignment="1">
      <alignment horizontal="center" vertical="center"/>
    </xf>
    <xf numFmtId="3" fontId="38" fillId="7" borderId="37" xfId="0" applyNumberFormat="1" applyFont="1" applyFill="1" applyBorder="1" applyAlignment="1">
      <alignment horizontal="center" vertical="center"/>
    </xf>
    <xf numFmtId="3" fontId="38" fillId="7" borderId="17" xfId="0" applyNumberFormat="1" applyFont="1" applyFill="1" applyBorder="1" applyAlignment="1">
      <alignment horizontal="center" vertical="center"/>
    </xf>
    <xf numFmtId="49" fontId="38" fillId="7" borderId="1" xfId="0" applyNumberFormat="1" applyFont="1" applyFill="1" applyBorder="1" applyAlignment="1">
      <alignment horizontal="center" vertical="center"/>
    </xf>
    <xf numFmtId="0" fontId="38" fillId="7" borderId="1" xfId="0" applyFont="1" applyFill="1" applyBorder="1" applyAlignment="1">
      <alignment horizontal="center" vertical="center"/>
    </xf>
    <xf numFmtId="0" fontId="38" fillId="7" borderId="1" xfId="0" applyFont="1" applyFill="1" applyBorder="1" applyAlignment="1">
      <alignment horizontal="center" vertical="center" wrapText="1"/>
    </xf>
    <xf numFmtId="0" fontId="38" fillId="7" borderId="9" xfId="0" applyFont="1" applyFill="1" applyBorder="1" applyAlignment="1">
      <alignment horizontal="center" vertical="center"/>
    </xf>
    <xf numFmtId="3" fontId="38" fillId="7" borderId="39" xfId="0" applyNumberFormat="1" applyFont="1" applyFill="1" applyBorder="1" applyAlignment="1">
      <alignment horizontal="center" vertical="center"/>
    </xf>
    <xf numFmtId="3" fontId="38" fillId="7" borderId="16" xfId="0" applyNumberFormat="1" applyFont="1" applyFill="1" applyBorder="1" applyAlignment="1">
      <alignment horizontal="center" vertical="center"/>
    </xf>
    <xf numFmtId="49" fontId="38" fillId="7" borderId="7" xfId="0" applyNumberFormat="1" applyFont="1" applyFill="1" applyBorder="1" applyAlignment="1">
      <alignment horizontal="center" vertical="center"/>
    </xf>
    <xf numFmtId="0" fontId="38" fillId="7" borderId="7" xfId="0" applyFont="1" applyFill="1" applyBorder="1" applyAlignment="1">
      <alignment horizontal="center" vertical="center"/>
    </xf>
    <xf numFmtId="0" fontId="38" fillId="7" borderId="7" xfId="0" applyFont="1" applyFill="1" applyBorder="1" applyAlignment="1">
      <alignment horizontal="center" vertical="center" wrapText="1"/>
    </xf>
    <xf numFmtId="0" fontId="38" fillId="7" borderId="6" xfId="0" applyFont="1" applyFill="1" applyBorder="1" applyAlignment="1">
      <alignment horizontal="center" vertical="center"/>
    </xf>
    <xf numFmtId="0" fontId="39" fillId="0" borderId="2" xfId="0" applyFont="1" applyBorder="1" applyAlignment="1">
      <alignment horizontal="center" vertical="center" wrapText="1"/>
    </xf>
    <xf numFmtId="49" fontId="39" fillId="0" borderId="2" xfId="0" applyNumberFormat="1" applyFont="1" applyBorder="1" applyAlignment="1">
      <alignment horizontal="center" vertical="center" wrapText="1"/>
    </xf>
    <xf numFmtId="0" fontId="44" fillId="0" borderId="0" xfId="0" applyFont="1" applyAlignment="1">
      <alignment horizontal="center" vertical="center" wrapText="1"/>
    </xf>
    <xf numFmtId="0" fontId="37" fillId="0" borderId="0" xfId="0" applyFont="1" applyAlignment="1">
      <alignment horizontal="left" vertical="center" wrapText="1"/>
    </xf>
    <xf numFmtId="3" fontId="41" fillId="12" borderId="14" xfId="0" applyNumberFormat="1" applyFont="1" applyFill="1" applyBorder="1" applyAlignment="1">
      <alignment horizontal="center" vertical="center"/>
    </xf>
    <xf numFmtId="3" fontId="41" fillId="12" borderId="41" xfId="0" applyNumberFormat="1" applyFont="1" applyFill="1" applyBorder="1" applyAlignment="1">
      <alignment horizontal="center" vertical="center"/>
    </xf>
    <xf numFmtId="49" fontId="38" fillId="12" borderId="12" xfId="0" applyNumberFormat="1" applyFont="1" applyFill="1" applyBorder="1" applyAlignment="1">
      <alignment horizontal="center" vertical="center"/>
    </xf>
    <xf numFmtId="0" fontId="38" fillId="12" borderId="12" xfId="0" applyFont="1" applyFill="1" applyBorder="1" applyAlignment="1">
      <alignment horizontal="center" vertical="center"/>
    </xf>
    <xf numFmtId="0" fontId="38" fillId="12" borderId="12" xfId="0" applyFont="1" applyFill="1" applyBorder="1" applyAlignment="1">
      <alignment horizontal="center" vertical="center" wrapText="1"/>
    </xf>
    <xf numFmtId="0" fontId="38" fillId="12" borderId="11" xfId="0" applyFont="1" applyFill="1" applyBorder="1" applyAlignment="1">
      <alignment horizontal="center" vertical="center"/>
    </xf>
    <xf numFmtId="3" fontId="38" fillId="12" borderId="3" xfId="0" applyNumberFormat="1" applyFont="1" applyFill="1" applyBorder="1" applyAlignment="1">
      <alignment horizontal="center" vertical="center"/>
    </xf>
    <xf numFmtId="49" fontId="38" fillId="12" borderId="1" xfId="0" applyNumberFormat="1" applyFont="1" applyFill="1" applyBorder="1" applyAlignment="1">
      <alignment horizontal="center" vertical="center"/>
    </xf>
    <xf numFmtId="0" fontId="38" fillId="12" borderId="1" xfId="0" applyFont="1" applyFill="1" applyBorder="1" applyAlignment="1">
      <alignment horizontal="center" vertical="center"/>
    </xf>
    <xf numFmtId="0" fontId="38" fillId="12" borderId="1" xfId="0" applyFont="1" applyFill="1" applyBorder="1" applyAlignment="1">
      <alignment horizontal="center" vertical="center" wrapText="1"/>
    </xf>
    <xf numFmtId="0" fontId="38" fillId="12" borderId="9" xfId="0" applyFont="1" applyFill="1" applyBorder="1" applyAlignment="1">
      <alignment horizontal="center" vertical="center"/>
    </xf>
    <xf numFmtId="0" fontId="37" fillId="0" borderId="37" xfId="0" applyFont="1" applyBorder="1" applyAlignment="1">
      <alignment horizontal="left" vertical="center" wrapText="1"/>
    </xf>
    <xf numFmtId="49" fontId="38" fillId="13" borderId="13" xfId="0" applyNumberFormat="1" applyFont="1" applyFill="1" applyBorder="1" applyAlignment="1">
      <alignment horizontal="center" vertical="center"/>
    </xf>
    <xf numFmtId="0" fontId="38" fillId="13" borderId="13" xfId="0" applyFont="1" applyFill="1" applyBorder="1" applyAlignment="1">
      <alignment horizontal="center" vertical="center"/>
    </xf>
    <xf numFmtId="0" fontId="38" fillId="13" borderId="13" xfId="0" applyFont="1" applyFill="1" applyBorder="1" applyAlignment="1">
      <alignment horizontal="center" vertical="center" wrapText="1"/>
    </xf>
    <xf numFmtId="0" fontId="38" fillId="13" borderId="25" xfId="0" applyFont="1" applyFill="1" applyBorder="1" applyAlignment="1">
      <alignment horizontal="center" vertical="center"/>
    </xf>
    <xf numFmtId="0" fontId="0" fillId="13" borderId="10" xfId="0" applyFill="1" applyBorder="1" applyAlignment="1">
      <alignment horizontal="center" vertical="center"/>
    </xf>
    <xf numFmtId="0" fontId="37" fillId="0" borderId="36" xfId="0" applyFont="1" applyBorder="1" applyAlignment="1">
      <alignment horizontal="left" vertical="center" wrapText="1"/>
    </xf>
    <xf numFmtId="49" fontId="38" fillId="14" borderId="1" xfId="0" applyNumberFormat="1" applyFont="1" applyFill="1" applyBorder="1" applyAlignment="1">
      <alignment horizontal="center" vertical="center"/>
    </xf>
    <xf numFmtId="0" fontId="38" fillId="14" borderId="1" xfId="0" applyFont="1" applyFill="1" applyBorder="1" applyAlignment="1">
      <alignment horizontal="center" vertical="center"/>
    </xf>
    <xf numFmtId="0" fontId="38" fillId="14" borderId="1" xfId="0" applyFont="1" applyFill="1" applyBorder="1" applyAlignment="1">
      <alignment horizontal="center" vertical="center" wrapText="1"/>
    </xf>
    <xf numFmtId="0" fontId="38" fillId="14" borderId="9" xfId="0" applyFont="1" applyFill="1" applyBorder="1" applyAlignment="1">
      <alignment horizontal="center" vertical="center"/>
    </xf>
    <xf numFmtId="0" fontId="13" fillId="0" borderId="0" xfId="0" applyFont="1" applyAlignment="1">
      <alignment vertical="center"/>
    </xf>
    <xf numFmtId="3" fontId="38" fillId="11" borderId="1" xfId="0" applyNumberFormat="1" applyFont="1" applyFill="1" applyBorder="1" applyAlignment="1">
      <alignment horizontal="center" vertical="center"/>
    </xf>
    <xf numFmtId="0" fontId="38" fillId="11" borderId="1" xfId="0" applyFont="1" applyFill="1" applyBorder="1" applyAlignment="1">
      <alignment horizontal="center" vertical="center" wrapText="1"/>
    </xf>
    <xf numFmtId="0" fontId="0" fillId="15" borderId="0" xfId="0" applyFill="1"/>
    <xf numFmtId="0" fontId="37" fillId="0" borderId="37" xfId="0" applyFont="1" applyBorder="1" applyAlignment="1">
      <alignment wrapText="1"/>
    </xf>
    <xf numFmtId="0" fontId="38" fillId="0" borderId="0" xfId="0" applyFont="1" applyAlignment="1">
      <alignment wrapText="1"/>
    </xf>
    <xf numFmtId="49" fontId="38" fillId="11" borderId="1" xfId="0" applyNumberFormat="1" applyFont="1" applyFill="1" applyBorder="1" applyAlignment="1">
      <alignment horizontal="center" vertical="center"/>
    </xf>
    <xf numFmtId="49" fontId="38" fillId="11" borderId="8" xfId="0" applyNumberFormat="1" applyFont="1" applyFill="1" applyBorder="1" applyAlignment="1">
      <alignment horizontal="center" vertical="center"/>
    </xf>
    <xf numFmtId="0" fontId="38" fillId="11" borderId="8" xfId="0" applyFont="1" applyFill="1" applyBorder="1" applyAlignment="1">
      <alignment horizontal="center" vertical="center"/>
    </xf>
    <xf numFmtId="3" fontId="13" fillId="0" borderId="0" xfId="0" applyNumberFormat="1" applyFont="1" applyAlignment="1">
      <alignment vertical="center"/>
    </xf>
    <xf numFmtId="3" fontId="38" fillId="15" borderId="3" xfId="0" applyNumberFormat="1" applyFont="1" applyFill="1" applyBorder="1" applyAlignment="1">
      <alignment horizontal="center" vertical="center"/>
    </xf>
    <xf numFmtId="49" fontId="38" fillId="15" borderId="1" xfId="0" applyNumberFormat="1" applyFont="1" applyFill="1" applyBorder="1" applyAlignment="1">
      <alignment horizontal="center" vertical="center"/>
    </xf>
    <xf numFmtId="0" fontId="38" fillId="15" borderId="1" xfId="0" applyFont="1" applyFill="1" applyBorder="1" applyAlignment="1">
      <alignment horizontal="center" vertical="center"/>
    </xf>
    <xf numFmtId="0" fontId="38" fillId="15" borderId="1" xfId="0" applyFont="1" applyFill="1" applyBorder="1" applyAlignment="1">
      <alignment horizontal="center" vertical="center" wrapText="1"/>
    </xf>
    <xf numFmtId="49" fontId="38" fillId="16" borderId="12" xfId="0" applyNumberFormat="1" applyFont="1" applyFill="1" applyBorder="1" applyAlignment="1">
      <alignment horizontal="center" vertical="center"/>
    </xf>
    <xf numFmtId="0" fontId="38" fillId="16" borderId="12" xfId="0" applyFont="1" applyFill="1" applyBorder="1" applyAlignment="1">
      <alignment horizontal="center" vertical="center"/>
    </xf>
    <xf numFmtId="0" fontId="38" fillId="16" borderId="12" xfId="0" applyFont="1" applyFill="1" applyBorder="1" applyAlignment="1">
      <alignment horizontal="center" vertical="center" wrapText="1"/>
    </xf>
    <xf numFmtId="49" fontId="38" fillId="16" borderId="7" xfId="0" applyNumberFormat="1" applyFont="1" applyFill="1" applyBorder="1" applyAlignment="1">
      <alignment horizontal="center" vertical="center"/>
    </xf>
    <xf numFmtId="0" fontId="38" fillId="16" borderId="7" xfId="0" applyFont="1" applyFill="1" applyBorder="1" applyAlignment="1">
      <alignment horizontal="center" vertical="center"/>
    </xf>
    <xf numFmtId="0" fontId="38" fillId="16" borderId="7" xfId="0" applyFont="1" applyFill="1" applyBorder="1" applyAlignment="1">
      <alignment horizontal="center" vertical="center" wrapText="1"/>
    </xf>
    <xf numFmtId="0" fontId="48" fillId="0" borderId="0" xfId="0" applyFont="1" applyAlignment="1">
      <alignment horizontal="center" vertical="center" wrapText="1"/>
    </xf>
    <xf numFmtId="3" fontId="38" fillId="16" borderId="44" xfId="0" applyNumberFormat="1" applyFont="1" applyFill="1" applyBorder="1" applyAlignment="1">
      <alignment horizontal="center" vertical="center"/>
    </xf>
    <xf numFmtId="3" fontId="38" fillId="16" borderId="41" xfId="0" applyNumberFormat="1" applyFont="1" applyFill="1" applyBorder="1" applyAlignment="1">
      <alignment horizontal="center" vertical="center"/>
    </xf>
    <xf numFmtId="3" fontId="38" fillId="11" borderId="3" xfId="0" applyNumberFormat="1" applyFont="1" applyFill="1" applyBorder="1" applyAlignment="1">
      <alignment horizontal="center" vertical="center"/>
    </xf>
    <xf numFmtId="3" fontId="38" fillId="10" borderId="3" xfId="0" applyNumberFormat="1" applyFont="1" applyFill="1" applyBorder="1" applyAlignment="1">
      <alignment horizontal="center" vertical="center"/>
    </xf>
    <xf numFmtId="3" fontId="38" fillId="14" borderId="3" xfId="0" applyNumberFormat="1" applyFont="1" applyFill="1" applyBorder="1" applyAlignment="1">
      <alignment horizontal="center" vertical="center"/>
    </xf>
    <xf numFmtId="3" fontId="38" fillId="9" borderId="41" xfId="0" applyNumberFormat="1" applyFont="1" applyFill="1" applyBorder="1" applyAlignment="1">
      <alignment horizontal="center" vertical="center"/>
    </xf>
    <xf numFmtId="3" fontId="38" fillId="13" borderId="29" xfId="0" applyNumberFormat="1" applyFont="1" applyFill="1" applyBorder="1" applyAlignment="1">
      <alignment horizontal="center" vertical="center"/>
    </xf>
    <xf numFmtId="3" fontId="38" fillId="16" borderId="1" xfId="0" applyNumberFormat="1" applyFont="1" applyFill="1" applyBorder="1" applyAlignment="1">
      <alignment horizontal="center" vertical="center"/>
    </xf>
    <xf numFmtId="3" fontId="38" fillId="12" borderId="1" xfId="0" applyNumberFormat="1" applyFont="1" applyFill="1" applyBorder="1" applyAlignment="1">
      <alignment horizontal="center" vertical="center"/>
    </xf>
    <xf numFmtId="3" fontId="38" fillId="15" borderId="1" xfId="0" applyNumberFormat="1" applyFont="1" applyFill="1" applyBorder="1" applyAlignment="1">
      <alignment horizontal="center" vertical="center"/>
    </xf>
    <xf numFmtId="3" fontId="38" fillId="10" borderId="1" xfId="0" applyNumberFormat="1" applyFont="1" applyFill="1" applyBorder="1" applyAlignment="1">
      <alignment horizontal="center" vertical="center"/>
    </xf>
    <xf numFmtId="3" fontId="38" fillId="14" borderId="1" xfId="0" applyNumberFormat="1" applyFont="1" applyFill="1" applyBorder="1" applyAlignment="1">
      <alignment horizontal="center" vertical="center"/>
    </xf>
    <xf numFmtId="3" fontId="38" fillId="9" borderId="1" xfId="0" applyNumberFormat="1" applyFont="1" applyFill="1" applyBorder="1" applyAlignment="1">
      <alignment horizontal="center" vertical="center"/>
    </xf>
    <xf numFmtId="3" fontId="38" fillId="13" borderId="1" xfId="0" applyNumberFormat="1" applyFont="1" applyFill="1" applyBorder="1" applyAlignment="1">
      <alignment horizontal="center" vertical="center"/>
    </xf>
    <xf numFmtId="3" fontId="41" fillId="12" borderId="1" xfId="0" applyNumberFormat="1" applyFont="1" applyFill="1" applyBorder="1" applyAlignment="1">
      <alignment horizontal="center" vertical="center"/>
    </xf>
    <xf numFmtId="0" fontId="44" fillId="9" borderId="33" xfId="0" applyFont="1" applyFill="1" applyBorder="1" applyAlignment="1">
      <alignment horizontal="center" vertical="center" wrapText="1"/>
    </xf>
    <xf numFmtId="0" fontId="0" fillId="9" borderId="26" xfId="0" applyFill="1" applyBorder="1" applyAlignment="1">
      <alignment horizontal="center" vertical="center"/>
    </xf>
    <xf numFmtId="3" fontId="18" fillId="0" borderId="1" xfId="0" applyNumberFormat="1" applyFont="1" applyBorder="1"/>
    <xf numFmtId="0" fontId="38" fillId="10" borderId="7" xfId="0" applyFont="1" applyFill="1" applyBorder="1" applyAlignment="1">
      <alignment horizontal="center" vertical="center"/>
    </xf>
    <xf numFmtId="0" fontId="38" fillId="10" borderId="7" xfId="0" applyFont="1" applyFill="1" applyBorder="1" applyAlignment="1">
      <alignment horizontal="center" vertical="center" wrapText="1"/>
    </xf>
    <xf numFmtId="0" fontId="38" fillId="10" borderId="6" xfId="0" applyFont="1" applyFill="1" applyBorder="1" applyAlignment="1">
      <alignment horizontal="center" vertical="center"/>
    </xf>
    <xf numFmtId="0" fontId="38" fillId="11" borderId="12" xfId="0" applyFont="1" applyFill="1" applyBorder="1" applyAlignment="1">
      <alignment horizontal="center" vertical="center" wrapText="1"/>
    </xf>
    <xf numFmtId="0" fontId="37" fillId="0" borderId="36" xfId="0" applyFont="1" applyBorder="1" applyAlignment="1">
      <alignment vertical="center" wrapText="1"/>
    </xf>
    <xf numFmtId="49" fontId="38" fillId="3" borderId="12" xfId="0" applyNumberFormat="1" applyFont="1" applyFill="1" applyBorder="1" applyAlignment="1">
      <alignment horizontal="center" vertical="center"/>
    </xf>
    <xf numFmtId="0" fontId="38" fillId="3" borderId="12" xfId="0" applyFont="1" applyFill="1" applyBorder="1" applyAlignment="1">
      <alignment horizontal="center" vertical="center"/>
    </xf>
    <xf numFmtId="0" fontId="38" fillId="3" borderId="12" xfId="0" applyFont="1" applyFill="1" applyBorder="1" applyAlignment="1">
      <alignment horizontal="center" vertical="center" wrapText="1"/>
    </xf>
    <xf numFmtId="0" fontId="44" fillId="3" borderId="12" xfId="0" applyFont="1" applyFill="1" applyBorder="1" applyAlignment="1">
      <alignment horizontal="center" vertical="center" wrapText="1"/>
    </xf>
    <xf numFmtId="0" fontId="0" fillId="3" borderId="11" xfId="0" applyFill="1" applyBorder="1" applyAlignment="1">
      <alignment horizontal="center" vertical="center"/>
    </xf>
    <xf numFmtId="0" fontId="37" fillId="0" borderId="37" xfId="0" applyFont="1" applyBorder="1" applyAlignment="1">
      <alignment vertical="center" wrapText="1"/>
    </xf>
    <xf numFmtId="3" fontId="0" fillId="0" borderId="1" xfId="0" applyNumberFormat="1" applyBorder="1"/>
    <xf numFmtId="49" fontId="38" fillId="12" borderId="7" xfId="0" applyNumberFormat="1" applyFont="1" applyFill="1" applyBorder="1" applyAlignment="1">
      <alignment horizontal="center" vertical="center"/>
    </xf>
    <xf numFmtId="0" fontId="38" fillId="12" borderId="7" xfId="0" applyFont="1" applyFill="1" applyBorder="1" applyAlignment="1">
      <alignment horizontal="center" vertical="center"/>
    </xf>
    <xf numFmtId="0" fontId="38" fillId="12" borderId="7" xfId="0" applyFont="1" applyFill="1" applyBorder="1" applyAlignment="1">
      <alignment horizontal="center" vertical="center" wrapText="1"/>
    </xf>
    <xf numFmtId="0" fontId="47" fillId="12" borderId="7" xfId="0" applyFont="1" applyFill="1" applyBorder="1" applyAlignment="1">
      <alignment vertical="center" wrapText="1"/>
    </xf>
    <xf numFmtId="0" fontId="0" fillId="12" borderId="6" xfId="0" applyFill="1" applyBorder="1" applyAlignment="1">
      <alignment horizontal="center" vertical="center" wrapText="1"/>
    </xf>
    <xf numFmtId="3" fontId="38" fillId="12" borderId="44" xfId="0" applyNumberFormat="1" applyFont="1" applyFill="1" applyBorder="1" applyAlignment="1">
      <alignment horizontal="center" vertical="center"/>
    </xf>
    <xf numFmtId="3" fontId="38" fillId="3" borderId="41" xfId="0" applyNumberFormat="1" applyFont="1" applyFill="1" applyBorder="1" applyAlignment="1">
      <alignment horizontal="center" vertical="center"/>
    </xf>
    <xf numFmtId="3" fontId="38" fillId="11" borderId="44" xfId="0" applyNumberFormat="1" applyFont="1" applyFill="1" applyBorder="1" applyAlignment="1">
      <alignment horizontal="center" vertical="center"/>
    </xf>
    <xf numFmtId="3" fontId="38" fillId="11" borderId="41" xfId="0" applyNumberFormat="1" applyFont="1" applyFill="1" applyBorder="1" applyAlignment="1">
      <alignment horizontal="center" vertical="center"/>
    </xf>
    <xf numFmtId="3" fontId="38" fillId="10" borderId="44" xfId="0" applyNumberFormat="1" applyFont="1" applyFill="1" applyBorder="1" applyAlignment="1">
      <alignment horizontal="center" vertical="center"/>
    </xf>
    <xf numFmtId="3" fontId="38" fillId="13" borderId="3" xfId="0" applyNumberFormat="1" applyFont="1" applyFill="1" applyBorder="1" applyAlignment="1">
      <alignment horizontal="center" vertical="center"/>
    </xf>
    <xf numFmtId="3" fontId="38" fillId="3" borderId="1" xfId="0" applyNumberFormat="1" applyFont="1" applyFill="1" applyBorder="1" applyAlignment="1">
      <alignment horizontal="center" vertical="center"/>
    </xf>
    <xf numFmtId="0" fontId="38" fillId="11" borderId="13" xfId="0" applyFont="1" applyFill="1" applyBorder="1" applyAlignment="1">
      <alignment horizontal="center" vertical="center" wrapText="1"/>
    </xf>
    <xf numFmtId="49" fontId="38" fillId="11" borderId="10" xfId="0" applyNumberFormat="1" applyFont="1" applyFill="1" applyBorder="1" applyAlignment="1">
      <alignment horizontal="center" vertical="center"/>
    </xf>
    <xf numFmtId="3" fontId="38" fillId="11" borderId="29" xfId="0" applyNumberFormat="1" applyFont="1" applyFill="1" applyBorder="1" applyAlignment="1">
      <alignment horizontal="center" vertical="center"/>
    </xf>
    <xf numFmtId="0" fontId="38" fillId="11" borderId="2" xfId="0" applyFont="1" applyFill="1" applyBorder="1" applyAlignment="1">
      <alignment horizontal="center" vertical="center" wrapText="1"/>
    </xf>
    <xf numFmtId="3" fontId="38" fillId="11" borderId="14" xfId="0" applyNumberFormat="1" applyFont="1" applyFill="1" applyBorder="1" applyAlignment="1">
      <alignment horizontal="center" vertical="center"/>
    </xf>
    <xf numFmtId="0" fontId="38" fillId="11" borderId="10" xfId="0" applyFont="1" applyFill="1" applyBorder="1" applyAlignment="1">
      <alignment horizontal="center" vertical="center" wrapText="1"/>
    </xf>
    <xf numFmtId="3" fontId="38" fillId="11" borderId="19" xfId="0" applyNumberFormat="1" applyFont="1" applyFill="1" applyBorder="1" applyAlignment="1">
      <alignment horizontal="center" vertical="center"/>
    </xf>
    <xf numFmtId="49" fontId="38" fillId="10" borderId="13" xfId="0" applyNumberFormat="1" applyFont="1" applyFill="1" applyBorder="1" applyAlignment="1">
      <alignment horizontal="center" vertical="center"/>
    </xf>
    <xf numFmtId="3" fontId="13" fillId="0" borderId="1" xfId="0" applyNumberFormat="1" applyFont="1" applyBorder="1" applyAlignment="1">
      <alignment horizontal="center" vertical="center" wrapText="1"/>
    </xf>
    <xf numFmtId="4" fontId="13" fillId="0" borderId="1" xfId="0" applyNumberFormat="1" applyFont="1" applyBorder="1" applyAlignment="1">
      <alignment vertical="center"/>
    </xf>
    <xf numFmtId="49" fontId="7" fillId="0" borderId="1" xfId="0" applyNumberFormat="1" applyFont="1" applyBorder="1" applyAlignment="1">
      <alignment vertical="center" wrapText="1"/>
    </xf>
    <xf numFmtId="49" fontId="0" fillId="0" borderId="1" xfId="0" applyNumberFormat="1" applyBorder="1" applyAlignment="1">
      <alignment vertical="center" wrapText="1"/>
    </xf>
    <xf numFmtId="4" fontId="13" fillId="0" borderId="1" xfId="0" applyNumberFormat="1" applyFont="1" applyBorder="1" applyAlignment="1">
      <alignment vertical="center" wrapText="1"/>
    </xf>
    <xf numFmtId="4" fontId="0" fillId="0" borderId="7" xfId="0" applyNumberFormat="1" applyBorder="1" applyAlignment="1">
      <alignment horizontal="center" vertical="center" wrapText="1"/>
    </xf>
    <xf numFmtId="4" fontId="18" fillId="0" borderId="10" xfId="0" applyNumberFormat="1" applyFont="1" applyBorder="1" applyAlignment="1">
      <alignment horizontal="center" vertical="center" wrapText="1"/>
    </xf>
    <xf numFmtId="49" fontId="12" fillId="0" borderId="18" xfId="0" applyNumberFormat="1" applyFont="1" applyBorder="1" applyAlignment="1">
      <alignment horizontal="left" vertical="center" wrapText="1"/>
    </xf>
    <xf numFmtId="4" fontId="13" fillId="0" borderId="2" xfId="0" applyNumberFormat="1" applyFont="1" applyBorder="1" applyAlignment="1">
      <alignment horizontal="center" vertical="center"/>
    </xf>
    <xf numFmtId="49" fontId="13" fillId="0" borderId="2"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1" fontId="0" fillId="5" borderId="1" xfId="0" applyNumberFormat="1" applyFill="1" applyBorder="1"/>
    <xf numFmtId="4" fontId="18" fillId="0" borderId="0" xfId="0" applyNumberFormat="1" applyFont="1" applyAlignment="1">
      <alignment horizontal="center" vertical="center" wrapText="1"/>
    </xf>
    <xf numFmtId="1" fontId="17" fillId="0" borderId="2"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2" fontId="50" fillId="0" borderId="0" xfId="0" applyNumberFormat="1" applyFont="1" applyAlignment="1">
      <alignment horizontal="left" vertical="center" wrapText="1"/>
    </xf>
    <xf numFmtId="49" fontId="6" fillId="0" borderId="17" xfId="0" applyNumberFormat="1" applyFont="1" applyBorder="1" applyAlignment="1">
      <alignment horizontal="left" vertical="center" wrapText="1"/>
    </xf>
    <xf numFmtId="0" fontId="6" fillId="0" borderId="0" xfId="0" applyFont="1" applyAlignment="1">
      <alignment wrapText="1"/>
    </xf>
    <xf numFmtId="49" fontId="6" fillId="0" borderId="0" xfId="0" applyNumberFormat="1" applyFont="1" applyAlignment="1">
      <alignment wrapText="1"/>
    </xf>
    <xf numFmtId="0" fontId="6" fillId="5" borderId="0" xfId="0" applyFont="1" applyFill="1" applyAlignment="1">
      <alignment wrapText="1"/>
    </xf>
    <xf numFmtId="0" fontId="50" fillId="0" borderId="0" xfId="0" applyFont="1" applyAlignment="1">
      <alignment horizontal="left" vertical="center" wrapText="1"/>
    </xf>
    <xf numFmtId="2" fontId="18" fillId="0" borderId="7" xfId="0" applyNumberFormat="1" applyFont="1" applyBorder="1" applyAlignment="1">
      <alignment horizontal="center" vertical="center" wrapText="1"/>
    </xf>
    <xf numFmtId="4" fontId="18" fillId="0" borderId="1" xfId="0" applyNumberFormat="1" applyFont="1" applyBorder="1" applyAlignment="1">
      <alignment vertical="center" wrapText="1"/>
    </xf>
    <xf numFmtId="4" fontId="18" fillId="0" borderId="1" xfId="0" applyNumberFormat="1" applyFont="1" applyBorder="1" applyAlignment="1">
      <alignment vertical="center"/>
    </xf>
    <xf numFmtId="4" fontId="17" fillId="2" borderId="0" xfId="0" applyNumberFormat="1" applyFont="1" applyFill="1" applyAlignment="1">
      <alignment horizontal="left" vertical="center" wrapText="1"/>
    </xf>
    <xf numFmtId="0" fontId="50" fillId="2" borderId="0" xfId="0" applyFont="1" applyFill="1" applyAlignment="1">
      <alignment horizontal="left" vertical="center" wrapText="1"/>
    </xf>
    <xf numFmtId="0" fontId="50" fillId="4" borderId="0" xfId="0" applyFont="1" applyFill="1" applyAlignment="1">
      <alignment horizontal="left" vertical="center" wrapText="1"/>
    </xf>
    <xf numFmtId="49" fontId="17" fillId="0" borderId="7" xfId="0" applyNumberFormat="1" applyFont="1" applyBorder="1" applyAlignment="1">
      <alignment horizontal="center" vertical="center" wrapText="1"/>
    </xf>
    <xf numFmtId="49" fontId="17" fillId="2" borderId="0" xfId="0" applyNumberFormat="1" applyFont="1" applyFill="1" applyAlignment="1">
      <alignment vertical="top" wrapText="1"/>
    </xf>
    <xf numFmtId="49" fontId="17" fillId="2" borderId="22" xfId="0" applyNumberFormat="1" applyFont="1" applyFill="1" applyBorder="1" applyAlignment="1">
      <alignment horizontal="left" vertical="center" wrapText="1"/>
    </xf>
    <xf numFmtId="0" fontId="50" fillId="0" borderId="9" xfId="0" applyFont="1" applyBorder="1" applyAlignment="1">
      <alignment horizontal="left" vertical="center" wrapText="1"/>
    </xf>
    <xf numFmtId="49" fontId="18" fillId="0" borderId="41" xfId="0" applyNumberFormat="1" applyFont="1" applyBorder="1" applyAlignment="1">
      <alignment horizontal="left" vertical="top" wrapText="1"/>
    </xf>
    <xf numFmtId="49" fontId="18" fillId="0" borderId="44" xfId="0" applyNumberFormat="1" applyFont="1" applyBorder="1" applyAlignment="1">
      <alignment vertical="center" wrapText="1"/>
    </xf>
    <xf numFmtId="49" fontId="0" fillId="0" borderId="3" xfId="0" applyNumberFormat="1" applyBorder="1" applyAlignment="1">
      <alignment vertical="top" wrapText="1"/>
    </xf>
    <xf numFmtId="49" fontId="18" fillId="0" borderId="29" xfId="0" applyNumberFormat="1" applyFont="1" applyBorder="1" applyAlignment="1">
      <alignment vertical="center" wrapText="1"/>
    </xf>
    <xf numFmtId="49" fontId="18" fillId="0" borderId="3" xfId="0" applyNumberFormat="1" applyFont="1" applyBorder="1" applyAlignment="1">
      <alignment vertical="center" wrapText="1"/>
    </xf>
    <xf numFmtId="49" fontId="18" fillId="0" borderId="19" xfId="0" applyNumberFormat="1" applyFont="1" applyBorder="1" applyAlignment="1">
      <alignment vertical="center" wrapText="1"/>
    </xf>
    <xf numFmtId="49" fontId="18" fillId="0" borderId="44" xfId="0" applyNumberFormat="1" applyFont="1" applyBorder="1" applyAlignment="1">
      <alignment wrapText="1"/>
    </xf>
    <xf numFmtId="49" fontId="18" fillId="0" borderId="41" xfId="0" applyNumberFormat="1" applyFont="1" applyBorder="1" applyAlignment="1">
      <alignment vertical="center" wrapText="1"/>
    </xf>
    <xf numFmtId="49" fontId="17" fillId="0" borderId="1" xfId="0" applyNumberFormat="1" applyFont="1" applyBorder="1" applyAlignment="1">
      <alignment vertical="center" wrapText="1"/>
    </xf>
    <xf numFmtId="49" fontId="30" fillId="2" borderId="1" xfId="0" applyNumberFormat="1" applyFont="1" applyFill="1" applyBorder="1" applyAlignment="1">
      <alignment wrapText="1"/>
    </xf>
    <xf numFmtId="0" fontId="17" fillId="2" borderId="1" xfId="0" applyFont="1" applyFill="1" applyBorder="1" applyAlignment="1">
      <alignment vertical="center" wrapText="1"/>
    </xf>
    <xf numFmtId="0" fontId="17" fillId="2" borderId="1" xfId="0" applyFont="1" applyFill="1" applyBorder="1" applyAlignment="1">
      <alignment vertical="top" wrapText="1"/>
    </xf>
    <xf numFmtId="49" fontId="18" fillId="0" borderId="3" xfId="0" applyNumberFormat="1" applyFont="1" applyBorder="1" applyAlignment="1">
      <alignment vertical="top" wrapText="1"/>
    </xf>
    <xf numFmtId="49" fontId="17" fillId="0" borderId="3" xfId="0" applyNumberFormat="1" applyFont="1" applyBorder="1" applyAlignment="1">
      <alignment vertical="top" wrapText="1"/>
    </xf>
    <xf numFmtId="4" fontId="10" fillId="0" borderId="12"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4" fontId="0" fillId="8" borderId="2" xfId="0" applyNumberFormat="1" applyFill="1" applyBorder="1" applyAlignment="1">
      <alignment horizontal="center" vertical="center" wrapText="1"/>
    </xf>
    <xf numFmtId="4" fontId="0" fillId="8" borderId="2" xfId="0" applyNumberFormat="1" applyFill="1" applyBorder="1" applyAlignment="1">
      <alignment horizontal="center" vertical="center"/>
    </xf>
    <xf numFmtId="4" fontId="17" fillId="4" borderId="27" xfId="0" applyNumberFormat="1" applyFont="1" applyFill="1" applyBorder="1" applyAlignment="1">
      <alignment horizontal="center" vertical="top" wrapText="1"/>
    </xf>
    <xf numFmtId="49" fontId="17" fillId="4" borderId="4" xfId="0" applyNumberFormat="1" applyFont="1" applyFill="1" applyBorder="1" applyAlignment="1">
      <alignment horizontal="center" vertical="center" wrapText="1"/>
    </xf>
    <xf numFmtId="49" fontId="18" fillId="0" borderId="1" xfId="0" applyNumberFormat="1" applyFont="1" applyBorder="1" applyAlignment="1">
      <alignment horizontal="left" vertical="top" wrapText="1"/>
    </xf>
    <xf numFmtId="49" fontId="13" fillId="0" borderId="7" xfId="0" applyNumberFormat="1" applyFont="1" applyBorder="1" applyAlignment="1">
      <alignment horizontal="center" vertical="center"/>
    </xf>
    <xf numFmtId="3" fontId="13" fillId="0" borderId="7" xfId="0" applyNumberFormat="1" applyFont="1" applyBorder="1" applyAlignment="1">
      <alignment horizontal="center" vertical="center" wrapText="1"/>
    </xf>
    <xf numFmtId="49" fontId="13" fillId="0" borderId="16" xfId="0" applyNumberFormat="1" applyFont="1" applyBorder="1" applyAlignment="1">
      <alignment vertical="center" wrapText="1"/>
    </xf>
    <xf numFmtId="49" fontId="13" fillId="0" borderId="35" xfId="0" applyNumberFormat="1" applyFont="1" applyBorder="1" applyAlignment="1">
      <alignment horizontal="center" vertical="center"/>
    </xf>
    <xf numFmtId="4" fontId="13" fillId="0" borderId="12" xfId="0" applyNumberFormat="1" applyFont="1" applyBorder="1" applyAlignment="1">
      <alignment horizontal="center" vertical="center" wrapText="1"/>
    </xf>
    <xf numFmtId="49" fontId="13" fillId="0" borderId="18" xfId="0" applyNumberFormat="1" applyFont="1" applyBorder="1" applyAlignment="1">
      <alignment vertical="center" wrapText="1"/>
    </xf>
    <xf numFmtId="3" fontId="43" fillId="0" borderId="0" xfId="0" applyNumberFormat="1" applyFont="1" applyAlignment="1">
      <alignment horizontal="center" vertical="center" wrapText="1"/>
    </xf>
    <xf numFmtId="49" fontId="13" fillId="2" borderId="16" xfId="0" applyNumberFormat="1" applyFont="1" applyFill="1" applyBorder="1" applyAlignment="1">
      <alignment vertical="center" wrapText="1"/>
    </xf>
    <xf numFmtId="49" fontId="13" fillId="2" borderId="0" xfId="0" applyNumberFormat="1" applyFont="1" applyFill="1" applyAlignment="1">
      <alignment vertical="top" wrapText="1"/>
    </xf>
    <xf numFmtId="49" fontId="12" fillId="0" borderId="22" xfId="0" applyNumberFormat="1" applyFont="1" applyBorder="1" applyAlignment="1">
      <alignment horizontal="left" vertical="center" wrapText="1"/>
    </xf>
    <xf numFmtId="0" fontId="12" fillId="2" borderId="1" xfId="0" applyFont="1" applyFill="1" applyBorder="1" applyAlignment="1">
      <alignment horizontal="left" vertical="center" wrapText="1"/>
    </xf>
    <xf numFmtId="49" fontId="17" fillId="0" borderId="27" xfId="0" applyNumberFormat="1" applyFont="1" applyBorder="1" applyAlignment="1">
      <alignment horizontal="left" vertical="top" wrapText="1"/>
    </xf>
    <xf numFmtId="49" fontId="5" fillId="2" borderId="0" xfId="0" applyNumberFormat="1" applyFont="1" applyFill="1" applyAlignment="1">
      <alignment wrapText="1"/>
    </xf>
    <xf numFmtId="0" fontId="0" fillId="0" borderId="0" xfId="0" applyAlignment="1">
      <alignment wrapText="1"/>
    </xf>
    <xf numFmtId="1" fontId="18" fillId="0" borderId="0" xfId="0" applyNumberFormat="1" applyFont="1" applyAlignment="1">
      <alignment horizontal="center" vertical="center" wrapText="1"/>
    </xf>
    <xf numFmtId="0" fontId="0" fillId="5" borderId="0" xfId="0" applyFill="1" applyAlignment="1">
      <alignment wrapText="1"/>
    </xf>
    <xf numFmtId="0" fontId="0" fillId="2" borderId="1" xfId="0" applyFill="1" applyBorder="1" applyAlignment="1">
      <alignment vertical="top" wrapText="1"/>
    </xf>
    <xf numFmtId="0" fontId="0" fillId="2" borderId="1" xfId="0" applyFill="1" applyBorder="1" applyAlignment="1">
      <alignment horizontal="left" vertical="top" wrapText="1"/>
    </xf>
    <xf numFmtId="0" fontId="0" fillId="2" borderId="1" xfId="0" applyFill="1" applyBorder="1" applyAlignment="1">
      <alignment wrapText="1"/>
    </xf>
    <xf numFmtId="0" fontId="17" fillId="0" borderId="1" xfId="0" applyFont="1" applyBorder="1" applyAlignment="1">
      <alignment horizontal="left" vertical="top" wrapText="1"/>
    </xf>
    <xf numFmtId="49" fontId="17" fillId="0" borderId="1" xfId="0" applyNumberFormat="1" applyFont="1" applyBorder="1" applyAlignment="1">
      <alignment horizontal="left" vertical="top" wrapText="1"/>
    </xf>
    <xf numFmtId="0" fontId="17" fillId="2" borderId="1" xfId="0" applyFont="1" applyFill="1" applyBorder="1" applyAlignment="1">
      <alignment horizontal="left" vertical="top" wrapText="1"/>
    </xf>
    <xf numFmtId="0" fontId="0" fillId="0" borderId="0" xfId="0" applyAlignment="1">
      <alignment horizontal="center"/>
    </xf>
    <xf numFmtId="49" fontId="0" fillId="17" borderId="8" xfId="0" applyNumberFormat="1" applyFill="1" applyBorder="1" applyAlignment="1">
      <alignment horizontal="center" vertical="center"/>
    </xf>
    <xf numFmtId="49" fontId="0" fillId="17" borderId="7" xfId="0" applyNumberFormat="1" applyFill="1" applyBorder="1" applyAlignment="1">
      <alignment horizontal="center" vertical="center" wrapText="1"/>
    </xf>
    <xf numFmtId="49" fontId="0" fillId="17" borderId="1" xfId="0" applyNumberFormat="1" applyFill="1" applyBorder="1" applyAlignment="1">
      <alignment horizontal="center" vertical="center"/>
    </xf>
    <xf numFmtId="49" fontId="0" fillId="17" borderId="13" xfId="0" applyNumberFormat="1" applyFill="1" applyBorder="1" applyAlignment="1">
      <alignment horizontal="center" vertical="center" wrapText="1"/>
    </xf>
    <xf numFmtId="49" fontId="0" fillId="17" borderId="13" xfId="0" applyNumberFormat="1" applyFill="1" applyBorder="1" applyAlignment="1">
      <alignment horizontal="center" vertical="center"/>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49" fontId="18" fillId="17" borderId="7" xfId="0" applyNumberFormat="1" applyFont="1" applyFill="1" applyBorder="1" applyAlignment="1">
      <alignment horizontal="center" vertical="center" wrapText="1"/>
    </xf>
    <xf numFmtId="49" fontId="18" fillId="17" borderId="13" xfId="0" applyNumberFormat="1" applyFont="1" applyFill="1" applyBorder="1" applyAlignment="1">
      <alignment horizontal="center" vertical="center" wrapText="1"/>
    </xf>
    <xf numFmtId="49" fontId="0" fillId="17" borderId="10" xfId="0" applyNumberFormat="1" applyFill="1" applyBorder="1" applyAlignment="1">
      <alignment horizontal="center" vertical="center"/>
    </xf>
    <xf numFmtId="49" fontId="18" fillId="17" borderId="1" xfId="0" applyNumberFormat="1" applyFont="1" applyFill="1" applyBorder="1" applyAlignment="1">
      <alignment horizontal="center" vertical="center" wrapText="1"/>
    </xf>
    <xf numFmtId="49" fontId="0" fillId="17" borderId="12" xfId="0" applyNumberFormat="1" applyFill="1" applyBorder="1" applyAlignment="1">
      <alignment horizontal="center" vertical="center"/>
    </xf>
    <xf numFmtId="49" fontId="0" fillId="17" borderId="12" xfId="0" applyNumberFormat="1" applyFill="1" applyBorder="1" applyAlignment="1">
      <alignment horizontal="center" vertical="center" wrapText="1"/>
    </xf>
    <xf numFmtId="3" fontId="0" fillId="0" borderId="0" xfId="0" applyNumberFormat="1" applyAlignment="1">
      <alignment horizontal="center" vertical="center" wrapText="1"/>
    </xf>
    <xf numFmtId="4" fontId="17" fillId="0" borderId="0" xfId="0" applyNumberFormat="1" applyFont="1"/>
    <xf numFmtId="1" fontId="0" fillId="0" borderId="1" xfId="0" applyNumberFormat="1" applyBorder="1" applyAlignment="1">
      <alignment horizontal="center" vertical="center"/>
    </xf>
    <xf numFmtId="0" fontId="4" fillId="0" borderId="1" xfId="0" applyFont="1" applyBorder="1" applyAlignment="1">
      <alignment horizontal="center" vertical="center" wrapText="1"/>
    </xf>
    <xf numFmtId="4" fontId="12" fillId="0" borderId="0" xfId="0" applyNumberFormat="1" applyFont="1"/>
    <xf numFmtId="4" fontId="42" fillId="0" borderId="0" xfId="0" applyNumberFormat="1" applyFont="1"/>
    <xf numFmtId="4" fontId="0" fillId="0" borderId="7" xfId="0" applyNumberFormat="1" applyBorder="1" applyAlignment="1">
      <alignment horizontal="center" vertical="center"/>
    </xf>
    <xf numFmtId="4" fontId="13" fillId="0" borderId="0" xfId="0" applyNumberFormat="1" applyFont="1" applyAlignment="1">
      <alignment horizontal="center" vertical="center" wrapText="1"/>
    </xf>
    <xf numFmtId="49" fontId="0" fillId="0" borderId="6" xfId="0" applyNumberFormat="1" applyBorder="1" applyAlignment="1">
      <alignment horizontal="center" vertical="center"/>
    </xf>
    <xf numFmtId="1" fontId="0" fillId="0" borderId="7" xfId="0" applyNumberFormat="1" applyBorder="1" applyAlignment="1">
      <alignment horizontal="center" vertical="center" wrapText="1"/>
    </xf>
    <xf numFmtId="0" fontId="4" fillId="0" borderId="7" xfId="0" applyFont="1" applyBorder="1" applyAlignment="1">
      <alignment horizontal="center" vertical="center" wrapText="1"/>
    </xf>
    <xf numFmtId="0" fontId="18" fillId="0" borderId="7" xfId="0" applyFont="1" applyBorder="1" applyAlignment="1">
      <alignment horizontal="center" vertical="center"/>
    </xf>
    <xf numFmtId="3" fontId="0" fillId="0" borderId="7" xfId="0" applyNumberFormat="1" applyBorder="1" applyAlignment="1">
      <alignment horizontal="center" vertical="center"/>
    </xf>
    <xf numFmtId="3" fontId="0" fillId="0" borderId="16" xfId="0" applyNumberFormat="1" applyBorder="1" applyAlignment="1">
      <alignment horizontal="center" vertical="center"/>
    </xf>
    <xf numFmtId="49" fontId="0" fillId="0" borderId="9" xfId="0" applyNumberFormat="1" applyBorder="1" applyAlignment="1">
      <alignment horizontal="center" vertical="center"/>
    </xf>
    <xf numFmtId="3" fontId="0" fillId="0" borderId="17" xfId="0" applyNumberFormat="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1" fontId="0" fillId="0" borderId="12" xfId="0" applyNumberFormat="1" applyBorder="1" applyAlignment="1">
      <alignment horizontal="center" vertical="center"/>
    </xf>
    <xf numFmtId="0" fontId="4" fillId="0" borderId="12" xfId="0" applyFont="1" applyBorder="1" applyAlignment="1">
      <alignment horizontal="center" vertical="center" wrapText="1"/>
    </xf>
    <xf numFmtId="0" fontId="0" fillId="0" borderId="12" xfId="0" applyBorder="1" applyAlignment="1">
      <alignment horizontal="center" vertical="center"/>
    </xf>
    <xf numFmtId="4" fontId="0" fillId="0" borderId="12" xfId="0" applyNumberFormat="1" applyBorder="1" applyAlignment="1">
      <alignment horizontal="center" vertical="center"/>
    </xf>
    <xf numFmtId="3" fontId="0" fillId="0" borderId="18" xfId="0" applyNumberFormat="1" applyBorder="1" applyAlignment="1">
      <alignment horizontal="center" vertical="center"/>
    </xf>
    <xf numFmtId="0" fontId="18" fillId="0" borderId="0" xfId="0" applyFont="1"/>
    <xf numFmtId="3" fontId="27" fillId="0" borderId="0" xfId="0" applyNumberFormat="1" applyFont="1" applyAlignment="1">
      <alignment horizontal="center" vertical="center" wrapText="1"/>
    </xf>
    <xf numFmtId="0" fontId="54" fillId="0" borderId="0" xfId="0" applyFont="1"/>
    <xf numFmtId="49" fontId="0" fillId="17" borderId="1" xfId="0" applyNumberFormat="1" applyFill="1" applyBorder="1" applyAlignment="1">
      <alignment horizontal="center" vertical="center" wrapText="1"/>
    </xf>
    <xf numFmtId="0" fontId="10" fillId="0" borderId="12" xfId="0" applyFont="1" applyBorder="1" applyAlignment="1">
      <alignment vertical="top" wrapText="1"/>
    </xf>
    <xf numFmtId="0" fontId="10" fillId="0" borderId="41" xfId="0" applyFont="1" applyBorder="1" applyAlignment="1">
      <alignment vertical="top" wrapText="1"/>
    </xf>
    <xf numFmtId="0" fontId="11" fillId="0" borderId="41" xfId="0" applyFont="1" applyBorder="1" applyAlignment="1">
      <alignment vertical="top" wrapText="1"/>
    </xf>
    <xf numFmtId="0" fontId="10" fillId="0" borderId="12" xfId="0" applyFont="1" applyBorder="1" applyAlignment="1">
      <alignment vertical="top"/>
    </xf>
    <xf numFmtId="0" fontId="25" fillId="0" borderId="12" xfId="0" applyFont="1" applyBorder="1" applyAlignment="1">
      <alignment vertical="top"/>
    </xf>
    <xf numFmtId="3" fontId="18" fillId="17" borderId="1" xfId="0" applyNumberFormat="1" applyFont="1" applyFill="1" applyBorder="1" applyAlignment="1">
      <alignment horizontal="center" vertical="center" wrapText="1"/>
    </xf>
    <xf numFmtId="3" fontId="18" fillId="17" borderId="12" xfId="0" applyNumberFormat="1" applyFont="1" applyFill="1" applyBorder="1" applyAlignment="1">
      <alignment horizontal="center" vertical="center" wrapText="1"/>
    </xf>
    <xf numFmtId="49" fontId="18" fillId="17" borderId="8" xfId="0" applyNumberFormat="1" applyFont="1" applyFill="1" applyBorder="1" applyAlignment="1">
      <alignment horizontal="center" vertical="center" wrapText="1"/>
    </xf>
    <xf numFmtId="49" fontId="18" fillId="17" borderId="10" xfId="0" applyNumberFormat="1" applyFont="1" applyFill="1" applyBorder="1" applyAlignment="1">
      <alignment horizontal="center" vertical="center" wrapText="1"/>
    </xf>
    <xf numFmtId="49" fontId="18" fillId="17" borderId="12" xfId="0" applyNumberFormat="1" applyFont="1" applyFill="1" applyBorder="1" applyAlignment="1">
      <alignment horizontal="center" vertical="center" wrapText="1"/>
    </xf>
    <xf numFmtId="3" fontId="17" fillId="0" borderId="0" xfId="0" applyNumberFormat="1" applyFont="1" applyAlignment="1">
      <alignment horizontal="left" vertical="center" wrapText="1"/>
    </xf>
    <xf numFmtId="3" fontId="17" fillId="0" borderId="0" xfId="0" applyNumberFormat="1" applyFont="1" applyAlignment="1">
      <alignment horizontal="center" vertical="center"/>
    </xf>
    <xf numFmtId="3" fontId="17" fillId="0" borderId="0" xfId="0" applyNumberFormat="1" applyFont="1" applyAlignment="1">
      <alignment horizontal="left"/>
    </xf>
    <xf numFmtId="3" fontId="17" fillId="0" borderId="0" xfId="0" applyNumberFormat="1" applyFont="1"/>
    <xf numFmtId="3" fontId="0" fillId="0" borderId="0" xfId="0" applyNumberFormat="1" applyAlignment="1">
      <alignment horizontal="center"/>
    </xf>
    <xf numFmtId="49" fontId="18" fillId="0" borderId="12" xfId="0" applyNumberFormat="1" applyFont="1" applyBorder="1" applyAlignment="1">
      <alignment horizontal="center" vertical="center"/>
    </xf>
    <xf numFmtId="3" fontId="18" fillId="0" borderId="8" xfId="0" applyNumberFormat="1" applyFont="1" applyBorder="1" applyAlignment="1">
      <alignment horizontal="center" vertical="center" wrapText="1"/>
    </xf>
    <xf numFmtId="0" fontId="17" fillId="0" borderId="3" xfId="0" applyFont="1" applyBorder="1" applyAlignment="1">
      <alignment vertical="center" wrapText="1"/>
    </xf>
    <xf numFmtId="0" fontId="17" fillId="0" borderId="41" xfId="0" applyFont="1" applyBorder="1" applyAlignment="1">
      <alignment vertical="center" wrapText="1"/>
    </xf>
    <xf numFmtId="0" fontId="0" fillId="0" borderId="50" xfId="0" applyBorder="1"/>
    <xf numFmtId="0" fontId="0" fillId="0" borderId="12" xfId="0" applyBorder="1"/>
    <xf numFmtId="14" fontId="0" fillId="0" borderId="31" xfId="0" applyNumberFormat="1" applyBorder="1" applyAlignment="1">
      <alignment horizontal="center"/>
    </xf>
    <xf numFmtId="0" fontId="0" fillId="0" borderId="0" xfId="0" applyAlignment="1">
      <alignment horizontal="center"/>
    </xf>
    <xf numFmtId="14" fontId="18" fillId="0" borderId="31" xfId="0" applyNumberFormat="1" applyFont="1" applyBorder="1" applyAlignment="1">
      <alignment horizontal="center" vertical="center"/>
    </xf>
    <xf numFmtId="0" fontId="18" fillId="0" borderId="0" xfId="0" applyFont="1" applyAlignment="1">
      <alignment horizontal="center" vertical="center"/>
    </xf>
    <xf numFmtId="4" fontId="40" fillId="0" borderId="43" xfId="0" applyNumberFormat="1" applyFont="1" applyBorder="1" applyAlignment="1">
      <alignment horizontal="center" vertical="center" wrapText="1"/>
    </xf>
    <xf numFmtId="4" fontId="40" fillId="0" borderId="42" xfId="0" applyNumberFormat="1" applyFont="1" applyBorder="1" applyAlignment="1">
      <alignment horizontal="center" vertical="center" wrapText="1"/>
    </xf>
    <xf numFmtId="4" fontId="40" fillId="0" borderId="40" xfId="0" applyNumberFormat="1" applyFont="1" applyBorder="1" applyAlignment="1">
      <alignment horizontal="center" vertical="center" wrapText="1"/>
    </xf>
    <xf numFmtId="3" fontId="46" fillId="0" borderId="31" xfId="0" applyNumberFormat="1" applyFont="1" applyBorder="1" applyAlignment="1">
      <alignment horizontal="center" vertical="center"/>
    </xf>
    <xf numFmtId="3" fontId="46" fillId="0" borderId="0" xfId="0" applyNumberFormat="1" applyFont="1" applyAlignment="1">
      <alignment horizontal="center" vertical="center"/>
    </xf>
    <xf numFmtId="0" fontId="39" fillId="0" borderId="3" xfId="0" applyFont="1" applyBorder="1" applyAlignment="1">
      <alignment horizontal="left" vertical="center" wrapText="1"/>
    </xf>
    <xf numFmtId="0" fontId="0" fillId="0" borderId="37" xfId="0" applyBorder="1" applyAlignment="1">
      <alignment horizontal="left" vertical="center" wrapText="1"/>
    </xf>
    <xf numFmtId="0" fontId="0" fillId="0" borderId="4" xfId="0" applyBorder="1" applyAlignment="1">
      <alignment horizontal="left" vertical="center" wrapText="1"/>
    </xf>
    <xf numFmtId="0" fontId="39" fillId="0" borderId="3" xfId="0" applyFont="1" applyBorder="1" applyAlignment="1">
      <alignment horizontal="left" vertical="center"/>
    </xf>
    <xf numFmtId="0" fontId="0" fillId="0" borderId="37" xfId="0" applyBorder="1" applyAlignment="1">
      <alignment horizontal="left" vertical="center"/>
    </xf>
    <xf numFmtId="0" fontId="0" fillId="0" borderId="4" xfId="0" applyBorder="1" applyAlignment="1">
      <alignment horizontal="left" vertical="center"/>
    </xf>
    <xf numFmtId="0" fontId="37" fillId="0" borderId="45" xfId="0" applyFont="1" applyBorder="1" applyAlignment="1">
      <alignment horizontal="left" vertical="center" wrapText="1"/>
    </xf>
    <xf numFmtId="0" fontId="37" fillId="0" borderId="46" xfId="0" applyFont="1" applyBorder="1" applyAlignment="1">
      <alignment horizontal="left" vertical="center" wrapText="1"/>
    </xf>
    <xf numFmtId="0" fontId="37" fillId="0" borderId="4" xfId="0" applyFont="1" applyBorder="1" applyAlignment="1">
      <alignment horizontal="left" wrapText="1"/>
    </xf>
    <xf numFmtId="0" fontId="38" fillId="12" borderId="15" xfId="0" applyFont="1" applyFill="1" applyBorder="1" applyAlignment="1">
      <alignment horizontal="center" vertical="center"/>
    </xf>
    <xf numFmtId="0" fontId="38" fillId="12" borderId="26" xfId="0" applyFont="1" applyFill="1" applyBorder="1" applyAlignment="1">
      <alignment horizontal="center" vertical="center"/>
    </xf>
    <xf numFmtId="0" fontId="38" fillId="12" borderId="2" xfId="0" applyFont="1" applyFill="1" applyBorder="1" applyAlignment="1">
      <alignment horizontal="center" vertical="center"/>
    </xf>
    <xf numFmtId="0" fontId="38" fillId="12" borderId="5" xfId="0" applyFont="1" applyFill="1" applyBorder="1" applyAlignment="1">
      <alignment horizontal="center" vertical="center"/>
    </xf>
    <xf numFmtId="0" fontId="38" fillId="12" borderId="2" xfId="0" applyFont="1" applyFill="1" applyBorder="1" applyAlignment="1">
      <alignment horizontal="center" vertical="center" wrapText="1"/>
    </xf>
    <xf numFmtId="0" fontId="38" fillId="12" borderId="5" xfId="0" applyFont="1" applyFill="1" applyBorder="1" applyAlignment="1">
      <alignment horizontal="center" vertical="center" wrapText="1"/>
    </xf>
    <xf numFmtId="0" fontId="37" fillId="0" borderId="4" xfId="0" applyFont="1" applyBorder="1" applyAlignment="1">
      <alignment horizontal="left" vertical="center" wrapText="1"/>
    </xf>
    <xf numFmtId="3" fontId="45" fillId="0" borderId="31" xfId="0" applyNumberFormat="1" applyFont="1" applyBorder="1" applyAlignment="1">
      <alignment horizontal="center" vertical="center" wrapText="1"/>
    </xf>
    <xf numFmtId="0" fontId="38" fillId="11" borderId="8" xfId="0" applyFont="1" applyFill="1" applyBorder="1" applyAlignment="1">
      <alignment horizontal="center" vertical="center"/>
    </xf>
    <xf numFmtId="0" fontId="38" fillId="11" borderId="5" xfId="0" applyFont="1" applyFill="1" applyBorder="1" applyAlignment="1">
      <alignment horizontal="center" vertical="center"/>
    </xf>
    <xf numFmtId="0" fontId="38" fillId="11" borderId="10" xfId="0" applyFont="1" applyFill="1" applyBorder="1" applyAlignment="1">
      <alignment horizontal="center" vertical="center"/>
    </xf>
    <xf numFmtId="49" fontId="38" fillId="11" borderId="2" xfId="0" applyNumberFormat="1" applyFont="1" applyFill="1" applyBorder="1" applyAlignment="1">
      <alignment horizontal="center" vertical="center"/>
    </xf>
    <xf numFmtId="49" fontId="38" fillId="11" borderId="13" xfId="0" applyNumberFormat="1" applyFont="1" applyFill="1" applyBorder="1" applyAlignment="1">
      <alignment horizontal="center" vertical="center"/>
    </xf>
    <xf numFmtId="49" fontId="38" fillId="11" borderId="1" xfId="0" applyNumberFormat="1" applyFont="1" applyFill="1" applyBorder="1" applyAlignment="1">
      <alignment horizontal="center" vertical="center"/>
    </xf>
    <xf numFmtId="0" fontId="0" fillId="10" borderId="6" xfId="0" applyFill="1" applyBorder="1" applyAlignment="1">
      <alignment horizontal="center" vertical="center"/>
    </xf>
    <xf numFmtId="0" fontId="0" fillId="10" borderId="9" xfId="0" applyFill="1" applyBorder="1" applyAlignment="1">
      <alignment horizontal="center" vertical="center"/>
    </xf>
    <xf numFmtId="0" fontId="44" fillId="10" borderId="28" xfId="0" applyFont="1" applyFill="1" applyBorder="1" applyAlignment="1">
      <alignment horizontal="center" vertical="center" wrapText="1"/>
    </xf>
    <xf numFmtId="0" fontId="44" fillId="10" borderId="23" xfId="0" applyFont="1" applyFill="1" applyBorder="1" applyAlignment="1">
      <alignment horizontal="center" vertical="center" wrapText="1"/>
    </xf>
    <xf numFmtId="0" fontId="44" fillId="10" borderId="30" xfId="0" applyFont="1" applyFill="1" applyBorder="1" applyAlignment="1">
      <alignment horizontal="center" vertical="center" wrapText="1"/>
    </xf>
    <xf numFmtId="49" fontId="38" fillId="12" borderId="2" xfId="0" applyNumberFormat="1" applyFont="1" applyFill="1" applyBorder="1" applyAlignment="1">
      <alignment horizontal="center" vertical="center"/>
    </xf>
    <xf numFmtId="49" fontId="38" fillId="12" borderId="5" xfId="0" applyNumberFormat="1" applyFont="1" applyFill="1" applyBorder="1" applyAlignment="1">
      <alignment horizontal="center" vertical="center"/>
    </xf>
    <xf numFmtId="3" fontId="38" fillId="12" borderId="20" xfId="0" applyNumberFormat="1" applyFont="1" applyFill="1" applyBorder="1" applyAlignment="1">
      <alignment horizontal="center" vertical="center"/>
    </xf>
    <xf numFmtId="0" fontId="38" fillId="12" borderId="38" xfId="0" applyFont="1" applyFill="1" applyBorder="1" applyAlignment="1">
      <alignment horizontal="center" vertical="center"/>
    </xf>
    <xf numFmtId="0" fontId="0" fillId="14" borderId="15" xfId="0" applyFill="1"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44" fillId="14" borderId="14" xfId="0" applyFont="1" applyFill="1" applyBorder="1" applyAlignment="1">
      <alignment horizontal="center" vertical="center" wrapText="1"/>
    </xf>
    <xf numFmtId="0" fontId="0" fillId="14" borderId="19" xfId="0" applyFill="1" applyBorder="1" applyAlignment="1">
      <alignment horizontal="center" vertical="center" wrapText="1"/>
    </xf>
    <xf numFmtId="0" fontId="0" fillId="14" borderId="29" xfId="0" applyFill="1" applyBorder="1" applyAlignment="1">
      <alignment horizontal="center" vertical="center" wrapText="1"/>
    </xf>
    <xf numFmtId="0" fontId="0" fillId="12" borderId="2" xfId="0" applyFill="1" applyBorder="1" applyAlignment="1">
      <alignment horizontal="center" vertical="center"/>
    </xf>
    <xf numFmtId="0" fontId="0" fillId="12" borderId="13" xfId="0" applyFill="1" applyBorder="1" applyAlignment="1">
      <alignment horizontal="center" vertical="center"/>
    </xf>
    <xf numFmtId="0" fontId="44" fillId="13" borderId="28" xfId="0" applyFont="1" applyFill="1" applyBorder="1" applyAlignment="1">
      <alignment horizontal="center" vertical="center" wrapText="1"/>
    </xf>
    <xf numFmtId="0" fontId="44" fillId="13" borderId="30" xfId="0" applyFont="1" applyFill="1" applyBorder="1" applyAlignment="1">
      <alignment horizontal="center" vertical="center" wrapText="1"/>
    </xf>
    <xf numFmtId="0" fontId="44" fillId="12" borderId="20" xfId="0" applyFont="1" applyFill="1" applyBorder="1" applyAlignment="1">
      <alignment horizontal="center" vertical="center" wrapText="1"/>
    </xf>
    <xf numFmtId="0" fontId="44" fillId="12" borderId="30" xfId="0" applyFont="1" applyFill="1" applyBorder="1" applyAlignment="1">
      <alignment horizontal="center" vertical="center" wrapText="1"/>
    </xf>
    <xf numFmtId="0" fontId="0" fillId="11" borderId="24" xfId="0" applyFill="1" applyBorder="1" applyAlignment="1">
      <alignment horizontal="center" vertical="center"/>
    </xf>
    <xf numFmtId="0" fontId="0" fillId="11" borderId="21" xfId="0" applyFill="1" applyBorder="1" applyAlignment="1">
      <alignment horizontal="center" vertical="center"/>
    </xf>
    <xf numFmtId="0" fontId="0" fillId="11" borderId="26" xfId="0" applyFill="1" applyBorder="1" applyAlignment="1">
      <alignment horizontal="center" vertical="center"/>
    </xf>
    <xf numFmtId="0" fontId="0" fillId="16" borderId="6" xfId="0" applyFill="1" applyBorder="1" applyAlignment="1">
      <alignment horizontal="center" vertical="center" wrapText="1"/>
    </xf>
    <xf numFmtId="0" fontId="0" fillId="16" borderId="11" xfId="0" applyFill="1" applyBorder="1" applyAlignment="1">
      <alignment horizontal="center" vertical="center" wrapText="1"/>
    </xf>
    <xf numFmtId="0" fontId="44" fillId="16" borderId="7" xfId="0" applyFont="1" applyFill="1" applyBorder="1" applyAlignment="1">
      <alignment horizontal="center" vertical="center" wrapText="1"/>
    </xf>
    <xf numFmtId="0" fontId="44" fillId="0" borderId="12" xfId="0" applyFont="1" applyBorder="1" applyAlignment="1">
      <alignment horizontal="center" vertical="center" wrapText="1"/>
    </xf>
    <xf numFmtId="0" fontId="37" fillId="0" borderId="37" xfId="0" applyFont="1" applyBorder="1" applyAlignment="1">
      <alignment vertical="center" wrapText="1"/>
    </xf>
    <xf numFmtId="0" fontId="0" fillId="15" borderId="9" xfId="0" applyFill="1" applyBorder="1" applyAlignment="1">
      <alignment horizontal="center" vertical="center"/>
    </xf>
    <xf numFmtId="0" fontId="44" fillId="15" borderId="1" xfId="0" applyFont="1" applyFill="1" applyBorder="1" applyAlignment="1">
      <alignment horizontal="center" vertical="center" wrapText="1"/>
    </xf>
    <xf numFmtId="0" fontId="38" fillId="11" borderId="24" xfId="0" applyFont="1" applyFill="1" applyBorder="1" applyAlignment="1">
      <alignment horizontal="center" vertical="center"/>
    </xf>
    <xf numFmtId="0" fontId="38" fillId="11" borderId="21" xfId="0" applyFont="1" applyFill="1" applyBorder="1" applyAlignment="1">
      <alignment horizontal="center" vertical="center"/>
    </xf>
    <xf numFmtId="0" fontId="38" fillId="11" borderId="26" xfId="0" applyFont="1" applyFill="1" applyBorder="1" applyAlignment="1">
      <alignment horizontal="center" vertical="center"/>
    </xf>
    <xf numFmtId="0" fontId="44" fillId="11" borderId="28" xfId="0" applyFont="1" applyFill="1" applyBorder="1" applyAlignment="1">
      <alignment horizontal="center" vertical="center" wrapText="1"/>
    </xf>
    <xf numFmtId="0" fontId="44" fillId="11" borderId="23" xfId="0" applyFont="1" applyFill="1" applyBorder="1" applyAlignment="1">
      <alignment horizontal="center" vertical="center" wrapText="1"/>
    </xf>
    <xf numFmtId="0" fontId="44" fillId="11" borderId="38" xfId="0" applyFont="1" applyFill="1" applyBorder="1" applyAlignment="1">
      <alignment horizontal="center" vertical="center" wrapText="1"/>
    </xf>
    <xf numFmtId="0" fontId="11" fillId="17" borderId="13"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8" fillId="2" borderId="8"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0" fillId="0" borderId="8" xfId="0" applyFont="1" applyBorder="1" applyAlignment="1">
      <alignment horizontal="center" vertical="top"/>
    </xf>
    <xf numFmtId="0" fontId="10" fillId="0" borderId="5" xfId="0" applyFont="1" applyBorder="1" applyAlignment="1">
      <alignment horizontal="center" vertical="top"/>
    </xf>
    <xf numFmtId="0" fontId="18" fillId="0" borderId="14" xfId="0" applyFont="1" applyBorder="1" applyAlignment="1">
      <alignment horizontal="left" vertical="top" wrapText="1"/>
    </xf>
    <xf numFmtId="0" fontId="18" fillId="0" borderId="29" xfId="0" applyFont="1" applyBorder="1" applyAlignment="1">
      <alignment horizontal="left" vertical="top" wrapText="1"/>
    </xf>
    <xf numFmtId="0" fontId="17" fillId="0" borderId="14" xfId="0" applyFont="1" applyBorder="1" applyAlignment="1">
      <alignment horizontal="left" vertical="center" wrapText="1"/>
    </xf>
    <xf numFmtId="0" fontId="17" fillId="0" borderId="29" xfId="0" applyFont="1" applyBorder="1" applyAlignment="1">
      <alignment horizontal="left" vertical="center" wrapText="1"/>
    </xf>
    <xf numFmtId="0" fontId="17" fillId="0" borderId="14" xfId="0" applyFont="1" applyBorder="1" applyAlignment="1">
      <alignment horizontal="left" vertical="top" wrapText="1"/>
    </xf>
    <xf numFmtId="0" fontId="17" fillId="0" borderId="29" xfId="0" applyFont="1" applyBorder="1" applyAlignment="1">
      <alignment horizontal="left" vertical="top" wrapText="1"/>
    </xf>
    <xf numFmtId="0" fontId="10" fillId="0" borderId="8" xfId="0" applyFont="1" applyBorder="1" applyAlignment="1">
      <alignment horizontal="center" vertical="top" wrapText="1"/>
    </xf>
    <xf numFmtId="0" fontId="10" fillId="0" borderId="5"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5" xfId="0" applyNumberFormat="1" applyBorder="1" applyAlignment="1">
      <alignment horizontal="center" vertical="center" wrapText="1"/>
    </xf>
    <xf numFmtId="0" fontId="10" fillId="0" borderId="44" xfId="0" applyFont="1" applyBorder="1" applyAlignment="1">
      <alignment horizontal="center" vertical="top" wrapText="1"/>
    </xf>
    <xf numFmtId="0" fontId="10" fillId="0" borderId="48" xfId="0" applyFont="1" applyBorder="1" applyAlignment="1">
      <alignment horizontal="center" vertical="top" wrapText="1"/>
    </xf>
    <xf numFmtId="0" fontId="17" fillId="0" borderId="49" xfId="0" applyFont="1" applyBorder="1" applyAlignment="1">
      <alignment horizontal="left" vertical="top" wrapText="1"/>
    </xf>
    <xf numFmtId="49" fontId="0" fillId="0" borderId="13" xfId="0" applyNumberFormat="1" applyBorder="1" applyAlignment="1">
      <alignment horizontal="center" vertical="center" wrapText="1"/>
    </xf>
    <xf numFmtId="0" fontId="10" fillId="0" borderId="49" xfId="0" applyFont="1" applyBorder="1" applyAlignment="1">
      <alignment horizontal="left" vertical="top"/>
    </xf>
    <xf numFmtId="0" fontId="10" fillId="0" borderId="33" xfId="0" applyFont="1" applyBorder="1" applyAlignment="1">
      <alignment horizontal="left" vertical="top"/>
    </xf>
    <xf numFmtId="49" fontId="0" fillId="0" borderId="7" xfId="0" applyNumberFormat="1" applyBorder="1" applyAlignment="1">
      <alignment horizontal="center" vertical="center" wrapText="1"/>
    </xf>
    <xf numFmtId="49" fontId="0" fillId="0" borderId="1" xfId="0" applyNumberFormat="1" applyBorder="1" applyAlignment="1">
      <alignment horizontal="center" vertical="center" wrapText="1"/>
    </xf>
    <xf numFmtId="3" fontId="10" fillId="0" borderId="8" xfId="0" applyNumberFormat="1" applyFont="1" applyBorder="1" applyAlignment="1">
      <alignment horizontal="center" vertical="top" wrapText="1"/>
    </xf>
    <xf numFmtId="3" fontId="10" fillId="0" borderId="5" xfId="0" applyNumberFormat="1" applyFont="1" applyBorder="1" applyAlignment="1">
      <alignment horizontal="center" vertical="top" wrapText="1"/>
    </xf>
    <xf numFmtId="0" fontId="10" fillId="0" borderId="44" xfId="0" applyFont="1" applyBorder="1" applyAlignment="1">
      <alignment horizontal="center" vertical="top"/>
    </xf>
    <xf numFmtId="0" fontId="10" fillId="0" borderId="48" xfId="0" applyFont="1" applyBorder="1" applyAlignment="1">
      <alignment horizontal="center" vertical="top"/>
    </xf>
    <xf numFmtId="3" fontId="18" fillId="17" borderId="1" xfId="0" applyNumberFormat="1" applyFont="1" applyFill="1" applyBorder="1" applyAlignment="1">
      <alignment horizontal="center" vertical="center"/>
    </xf>
    <xf numFmtId="49" fontId="18" fillId="0" borderId="1" xfId="0" applyNumberFormat="1" applyFont="1" applyBorder="1" applyAlignment="1">
      <alignment horizontal="center" vertical="center" wrapText="1"/>
    </xf>
    <xf numFmtId="49" fontId="18" fillId="0" borderId="12" xfId="0" applyNumberFormat="1" applyFont="1" applyBorder="1" applyAlignment="1">
      <alignment horizontal="center" vertical="center" wrapText="1"/>
    </xf>
    <xf numFmtId="0" fontId="0" fillId="17" borderId="2" xfId="0" applyFill="1" applyBorder="1" applyAlignment="1">
      <alignment horizontal="center" vertical="center" wrapText="1"/>
    </xf>
    <xf numFmtId="0" fontId="0" fillId="17" borderId="10" xfId="0" applyFill="1" applyBorder="1" applyAlignment="1">
      <alignment horizontal="center" vertical="center" wrapText="1"/>
    </xf>
    <xf numFmtId="0" fontId="0" fillId="17" borderId="5" xfId="0" applyFill="1" applyBorder="1" applyAlignment="1">
      <alignment horizontal="center" vertical="center" wrapText="1"/>
    </xf>
    <xf numFmtId="49" fontId="0" fillId="17" borderId="1" xfId="0" applyNumberFormat="1" applyFill="1" applyBorder="1" applyAlignment="1">
      <alignment horizontal="center" vertical="center" wrapText="1"/>
    </xf>
    <xf numFmtId="0" fontId="0" fillId="17" borderId="1" xfId="0" applyFill="1" applyBorder="1" applyAlignment="1">
      <alignment horizontal="center" vertical="center" wrapText="1"/>
    </xf>
    <xf numFmtId="49" fontId="0" fillId="17" borderId="8" xfId="0" applyNumberFormat="1" applyFill="1" applyBorder="1" applyAlignment="1">
      <alignment horizontal="center" vertical="center" wrapText="1"/>
    </xf>
    <xf numFmtId="3" fontId="18" fillId="17" borderId="1" xfId="0" applyNumberFormat="1" applyFont="1" applyFill="1" applyBorder="1" applyAlignment="1">
      <alignment horizontal="center" vertical="center" wrapText="1"/>
    </xf>
    <xf numFmtId="0" fontId="0" fillId="17" borderId="13" xfId="0" applyFill="1" applyBorder="1" applyAlignment="1">
      <alignment horizontal="center" vertical="center" wrapText="1"/>
    </xf>
    <xf numFmtId="3" fontId="18" fillId="17" borderId="2" xfId="0" applyNumberFormat="1" applyFont="1" applyFill="1" applyBorder="1" applyAlignment="1">
      <alignment horizontal="center" vertical="center"/>
    </xf>
    <xf numFmtId="3" fontId="18" fillId="17" borderId="10" xfId="0" applyNumberFormat="1" applyFont="1" applyFill="1" applyBorder="1" applyAlignment="1">
      <alignment horizontal="center" vertical="center"/>
    </xf>
    <xf numFmtId="3" fontId="18" fillId="17" borderId="13" xfId="0" applyNumberFormat="1" applyFont="1" applyFill="1" applyBorder="1" applyAlignment="1">
      <alignment horizontal="center" vertical="center"/>
    </xf>
    <xf numFmtId="3" fontId="18" fillId="17" borderId="12" xfId="0" applyNumberFormat="1" applyFont="1" applyFill="1" applyBorder="1" applyAlignment="1">
      <alignment horizontal="center" vertical="center"/>
    </xf>
    <xf numFmtId="0" fontId="10" fillId="0" borderId="24" xfId="0" applyFont="1" applyBorder="1" applyAlignment="1">
      <alignment horizontal="left" vertical="top" wrapText="1"/>
    </xf>
    <xf numFmtId="0" fontId="10" fillId="0" borderId="26" xfId="0" applyFont="1" applyBorder="1" applyAlignment="1">
      <alignment horizontal="left" vertical="top"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49" fontId="2" fillId="0" borderId="24" xfId="0" applyNumberFormat="1" applyFont="1" applyBorder="1" applyAlignment="1">
      <alignment horizontal="center" vertical="center" wrapText="1"/>
    </xf>
    <xf numFmtId="49" fontId="0" fillId="0" borderId="21" xfId="0" applyNumberFormat="1" applyBorder="1" applyAlignment="1">
      <alignment horizontal="center" vertical="center" wrapText="1"/>
    </xf>
    <xf numFmtId="49" fontId="0" fillId="0" borderId="26" xfId="0" applyNumberFormat="1" applyBorder="1" applyAlignment="1">
      <alignment horizontal="center" vertical="center" wrapText="1"/>
    </xf>
    <xf numFmtId="49" fontId="3" fillId="0" borderId="8" xfId="0" applyNumberFormat="1" applyFont="1" applyBorder="1" applyAlignment="1">
      <alignment horizontal="center" vertical="center" wrapText="1"/>
    </xf>
    <xf numFmtId="3" fontId="0" fillId="17" borderId="8" xfId="0" applyNumberFormat="1" applyFill="1" applyBorder="1" applyAlignment="1">
      <alignment horizontal="center" vertical="center" wrapText="1"/>
    </xf>
    <xf numFmtId="3" fontId="0" fillId="17" borderId="10" xfId="0" applyNumberFormat="1" applyFill="1" applyBorder="1" applyAlignment="1">
      <alignment horizontal="center" vertical="center" wrapText="1"/>
    </xf>
    <xf numFmtId="3" fontId="0" fillId="17" borderId="7" xfId="0" applyNumberFormat="1" applyFill="1" applyBorder="1" applyAlignment="1">
      <alignment horizontal="center" vertical="center"/>
    </xf>
    <xf numFmtId="3" fontId="0" fillId="17" borderId="1" xfId="0" applyNumberFormat="1" applyFill="1" applyBorder="1" applyAlignment="1">
      <alignment horizontal="center" vertical="center"/>
    </xf>
    <xf numFmtId="3" fontId="0" fillId="17" borderId="2" xfId="0" applyNumberFormat="1" applyFill="1" applyBorder="1" applyAlignment="1">
      <alignment horizontal="center" vertical="center"/>
    </xf>
    <xf numFmtId="3" fontId="0" fillId="17" borderId="1" xfId="0" applyNumberFormat="1" applyFill="1" applyBorder="1" applyAlignment="1">
      <alignment horizontal="center" vertical="center" wrapText="1"/>
    </xf>
    <xf numFmtId="3" fontId="0" fillId="17" borderId="12" xfId="0" applyNumberFormat="1" applyFill="1" applyBorder="1" applyAlignment="1">
      <alignment horizontal="center" vertical="center" wrapText="1"/>
    </xf>
    <xf numFmtId="0" fontId="10" fillId="0" borderId="47" xfId="0" applyFont="1" applyBorder="1" applyAlignment="1">
      <alignment horizontal="center" vertical="top" wrapText="1"/>
    </xf>
    <xf numFmtId="3" fontId="18" fillId="17" borderId="12" xfId="0" applyNumberFormat="1" applyFont="1" applyFill="1" applyBorder="1" applyAlignment="1">
      <alignment horizontal="center" vertical="center" wrapText="1"/>
    </xf>
    <xf numFmtId="4" fontId="18" fillId="17" borderId="8" xfId="0" applyNumberFormat="1" applyFont="1" applyFill="1" applyBorder="1" applyAlignment="1">
      <alignment horizontal="center" vertical="center"/>
    </xf>
    <xf numFmtId="4" fontId="18" fillId="17" borderId="10" xfId="0" applyNumberFormat="1" applyFont="1" applyFill="1" applyBorder="1" applyAlignment="1">
      <alignment horizontal="center" vertical="center"/>
    </xf>
    <xf numFmtId="4" fontId="18" fillId="17" borderId="13" xfId="0" applyNumberFormat="1" applyFont="1" applyFill="1" applyBorder="1" applyAlignment="1">
      <alignment horizontal="center" vertical="center"/>
    </xf>
    <xf numFmtId="49" fontId="17" fillId="0" borderId="2"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13" xfId="0" applyNumberFormat="1" applyFont="1" applyBorder="1" applyAlignment="1">
      <alignment horizontal="center" vertical="center" wrapText="1"/>
    </xf>
    <xf numFmtId="3" fontId="18" fillId="17" borderId="8" xfId="0" applyNumberFormat="1" applyFont="1" applyFill="1" applyBorder="1" applyAlignment="1">
      <alignment horizontal="center" vertical="center"/>
    </xf>
    <xf numFmtId="3" fontId="0" fillId="17" borderId="2" xfId="0" applyNumberFormat="1" applyFill="1" applyBorder="1" applyAlignment="1">
      <alignment horizontal="center" vertical="center" wrapText="1"/>
    </xf>
    <xf numFmtId="3" fontId="0" fillId="17" borderId="13" xfId="0" applyNumberFormat="1" applyFill="1" applyBorder="1" applyAlignment="1">
      <alignment horizontal="center" vertical="center"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49" fontId="18" fillId="0" borderId="24" xfId="0" applyNumberFormat="1" applyFont="1" applyBorder="1" applyAlignment="1">
      <alignment horizontal="center" vertical="center" wrapText="1"/>
    </xf>
    <xf numFmtId="49" fontId="0" fillId="0" borderId="21" xfId="0" applyNumberFormat="1" applyBorder="1" applyAlignment="1">
      <alignment horizontal="center" vertical="center"/>
    </xf>
    <xf numFmtId="4" fontId="0" fillId="0" borderId="8" xfId="0" applyNumberFormat="1" applyBorder="1" applyAlignment="1">
      <alignment horizontal="center" vertical="center" wrapText="1"/>
    </xf>
    <xf numFmtId="4" fontId="0" fillId="0" borderId="10" xfId="0" applyNumberFormat="1" applyBorder="1" applyAlignment="1">
      <alignment horizontal="center" vertical="center" wrapText="1"/>
    </xf>
    <xf numFmtId="4" fontId="0" fillId="0" borderId="5" xfId="0" applyNumberForma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10" xfId="0" applyNumberFormat="1" applyFont="1" applyBorder="1" applyAlignment="1">
      <alignment horizontal="center" vertical="center" wrapText="1"/>
    </xf>
    <xf numFmtId="4" fontId="0" fillId="0" borderId="1" xfId="0" applyNumberFormat="1" applyBorder="1" applyAlignment="1">
      <alignment horizontal="center" vertical="center"/>
    </xf>
    <xf numFmtId="4" fontId="0" fillId="0" borderId="10" xfId="0" applyNumberFormat="1" applyBorder="1" applyAlignment="1">
      <alignment horizontal="center" vertical="center"/>
    </xf>
    <xf numFmtId="4" fontId="0" fillId="0" borderId="5" xfId="0" applyNumberFormat="1" applyBorder="1" applyAlignment="1">
      <alignment horizontal="center" vertical="center"/>
    </xf>
    <xf numFmtId="0" fontId="10" fillId="0" borderId="1" xfId="0" applyFont="1" applyBorder="1" applyAlignment="1">
      <alignment horizontal="center" vertical="top" wrapText="1"/>
    </xf>
    <xf numFmtId="0" fontId="10" fillId="0" borderId="3" xfId="0" applyFont="1" applyBorder="1" applyAlignment="1">
      <alignment horizontal="center" vertical="top" wrapText="1"/>
    </xf>
    <xf numFmtId="4" fontId="0" fillId="0" borderId="2" xfId="0" applyNumberFormat="1" applyBorder="1" applyAlignment="1">
      <alignment horizontal="center" vertical="center" wrapText="1"/>
    </xf>
    <xf numFmtId="4" fontId="0" fillId="0" borderId="13" xfId="0" applyNumberFormat="1" applyBorder="1" applyAlignment="1">
      <alignment horizontal="center" vertical="center" wrapText="1"/>
    </xf>
    <xf numFmtId="49" fontId="9" fillId="0" borderId="2"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4" fontId="18" fillId="0" borderId="13" xfId="0" applyNumberFormat="1" applyFont="1" applyBorder="1" applyAlignment="1">
      <alignment horizontal="center" vertical="center" wrapText="1"/>
    </xf>
    <xf numFmtId="0" fontId="10" fillId="0" borderId="1" xfId="0" applyFont="1" applyBorder="1" applyAlignment="1">
      <alignment horizontal="center" vertical="top"/>
    </xf>
    <xf numFmtId="0" fontId="10" fillId="0" borderId="2" xfId="0" applyFont="1" applyBorder="1" applyAlignment="1">
      <alignment horizontal="center" vertical="top" wrapText="1"/>
    </xf>
    <xf numFmtId="0" fontId="10" fillId="0" borderId="4" xfId="0" applyFont="1" applyBorder="1" applyAlignment="1">
      <alignment horizontal="center" vertical="top" wrapText="1"/>
    </xf>
    <xf numFmtId="0" fontId="10" fillId="0" borderId="2" xfId="0" applyFont="1" applyBorder="1" applyAlignment="1">
      <alignment horizontal="center" vertical="top"/>
    </xf>
    <xf numFmtId="0" fontId="10" fillId="0" borderId="10" xfId="0" applyFont="1" applyBorder="1" applyAlignment="1">
      <alignment horizontal="center" vertical="top"/>
    </xf>
    <xf numFmtId="0" fontId="10" fillId="0" borderId="10" xfId="0" applyFont="1" applyBorder="1" applyAlignment="1">
      <alignment horizontal="center" vertical="top" wrapText="1"/>
    </xf>
    <xf numFmtId="0" fontId="10" fillId="0" borderId="2" xfId="0" applyFont="1" applyBorder="1" applyAlignment="1">
      <alignment horizontal="left" vertical="top"/>
    </xf>
    <xf numFmtId="0" fontId="10" fillId="0" borderId="13" xfId="0" applyFont="1" applyBorder="1" applyAlignment="1">
      <alignment horizontal="left" vertical="top"/>
    </xf>
    <xf numFmtId="49" fontId="0" fillId="6" borderId="8" xfId="0" applyNumberFormat="1" applyFill="1" applyBorder="1" applyAlignment="1">
      <alignment horizontal="center" vertical="center" wrapText="1"/>
    </xf>
    <xf numFmtId="49" fontId="0" fillId="6" borderId="10" xfId="0" applyNumberFormat="1" applyFill="1" applyBorder="1" applyAlignment="1">
      <alignment horizontal="center" vertical="center" wrapText="1"/>
    </xf>
    <xf numFmtId="49" fontId="0" fillId="0" borderId="8" xfId="0" applyNumberFormat="1" applyBorder="1" applyAlignment="1">
      <alignment horizontal="center" vertical="center" wrapText="1"/>
    </xf>
    <xf numFmtId="4" fontId="13" fillId="0" borderId="2" xfId="0" applyNumberFormat="1" applyFont="1" applyBorder="1" applyAlignment="1">
      <alignment horizontal="center" vertical="center"/>
    </xf>
    <xf numFmtId="4" fontId="13" fillId="0" borderId="10" xfId="0" applyNumberFormat="1" applyFont="1" applyBorder="1" applyAlignment="1">
      <alignment horizontal="center" vertical="center"/>
    </xf>
    <xf numFmtId="4" fontId="13" fillId="0" borderId="13" xfId="0" applyNumberFormat="1" applyFont="1" applyBorder="1" applyAlignment="1">
      <alignment horizontal="center" vertical="center"/>
    </xf>
    <xf numFmtId="49" fontId="0" fillId="0" borderId="15" xfId="0" applyNumberFormat="1" applyBorder="1" applyAlignment="1">
      <alignment horizontal="center" vertical="center" wrapText="1"/>
    </xf>
    <xf numFmtId="4" fontId="13" fillId="0" borderId="8" xfId="0" applyNumberFormat="1" applyFont="1" applyBorder="1" applyAlignment="1">
      <alignment horizontal="center" vertical="center"/>
    </xf>
    <xf numFmtId="49" fontId="9" fillId="0" borderId="8" xfId="0" applyNumberFormat="1" applyFont="1" applyBorder="1" applyAlignment="1">
      <alignment horizontal="center" vertical="center" wrapText="1"/>
    </xf>
    <xf numFmtId="49" fontId="0" fillId="0" borderId="0" xfId="0" applyNumberFormat="1" applyAlignment="1">
      <alignment horizontal="center" vertical="center" wrapText="1"/>
    </xf>
    <xf numFmtId="4" fontId="0" fillId="0" borderId="8" xfId="0" applyNumberFormat="1" applyBorder="1" applyAlignment="1">
      <alignment horizontal="center" vertical="center"/>
    </xf>
    <xf numFmtId="49" fontId="9" fillId="0" borderId="1" xfId="0" applyNumberFormat="1" applyFont="1" applyBorder="1" applyAlignment="1">
      <alignment horizontal="center" vertical="center" wrapText="1"/>
    </xf>
    <xf numFmtId="49" fontId="0" fillId="0" borderId="36" xfId="0" applyNumberFormat="1" applyBorder="1" applyAlignment="1">
      <alignment horizontal="center" vertical="center" wrapText="1"/>
    </xf>
    <xf numFmtId="49" fontId="0" fillId="0" borderId="37" xfId="0" applyNumberFormat="1" applyBorder="1" applyAlignment="1">
      <alignment horizontal="center" vertical="center" wrapText="1"/>
    </xf>
    <xf numFmtId="49" fontId="0" fillId="0" borderId="24" xfId="0" applyNumberFormat="1" applyBorder="1" applyAlignment="1">
      <alignment horizontal="center" vertical="center" wrapText="1"/>
    </xf>
    <xf numFmtId="4" fontId="13" fillId="0" borderId="5" xfId="0" applyNumberFormat="1" applyFont="1" applyBorder="1" applyAlignment="1">
      <alignment horizontal="center" vertical="center"/>
    </xf>
    <xf numFmtId="4" fontId="0" fillId="0" borderId="7" xfId="0" applyNumberFormat="1" applyBorder="1" applyAlignment="1">
      <alignment horizontal="center" vertical="center"/>
    </xf>
    <xf numFmtId="4" fontId="0" fillId="0" borderId="12" xfId="0" applyNumberFormat="1" applyBorder="1" applyAlignment="1">
      <alignment horizontal="center" vertical="center"/>
    </xf>
    <xf numFmtId="49" fontId="0" fillId="6" borderId="5" xfId="0" applyNumberFormat="1" applyFill="1" applyBorder="1" applyAlignment="1">
      <alignment horizontal="center" vertical="center" wrapText="1"/>
    </xf>
    <xf numFmtId="49" fontId="0" fillId="6" borderId="2" xfId="0" applyNumberFormat="1" applyFill="1" applyBorder="1" applyAlignment="1">
      <alignment horizontal="center" vertical="center" wrapText="1"/>
    </xf>
    <xf numFmtId="49" fontId="0" fillId="6" borderId="13" xfId="0" applyNumberFormat="1" applyFill="1" applyBorder="1" applyAlignment="1">
      <alignment horizontal="center" vertical="center" wrapText="1"/>
    </xf>
    <xf numFmtId="49" fontId="18" fillId="6" borderId="8" xfId="0" applyNumberFormat="1" applyFont="1" applyFill="1" applyBorder="1" applyAlignment="1">
      <alignment horizontal="center" vertical="center" wrapText="1"/>
    </xf>
    <xf numFmtId="49" fontId="18" fillId="6" borderId="10" xfId="0" applyNumberFormat="1" applyFont="1" applyFill="1" applyBorder="1" applyAlignment="1">
      <alignment horizontal="center" vertical="center" wrapText="1"/>
    </xf>
    <xf numFmtId="49" fontId="18" fillId="0" borderId="8"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4" fontId="18" fillId="0" borderId="1" xfId="0" applyNumberFormat="1" applyFont="1" applyBorder="1" applyAlignment="1">
      <alignment horizontal="center" vertical="center"/>
    </xf>
    <xf numFmtId="4" fontId="18" fillId="0" borderId="1" xfId="0" applyNumberFormat="1" applyFont="1" applyBorder="1" applyAlignment="1">
      <alignment horizontal="center" vertical="center" wrapText="1"/>
    </xf>
    <xf numFmtId="49" fontId="0" fillId="3" borderId="1" xfId="0" applyNumberForma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49" fontId="13" fillId="3" borderId="12" xfId="0" applyNumberFormat="1" applyFont="1" applyFill="1" applyBorder="1" applyAlignment="1">
      <alignment horizontal="center" vertical="center" wrapText="1"/>
    </xf>
    <xf numFmtId="49" fontId="13" fillId="0" borderId="8"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2" fontId="52" fillId="0" borderId="0" xfId="0" applyNumberFormat="1" applyFont="1" applyAlignment="1">
      <alignment horizontal="center" vertical="center" wrapText="1"/>
    </xf>
    <xf numFmtId="0" fontId="0" fillId="0" borderId="1" xfId="0" applyBorder="1" applyAlignment="1">
      <alignment horizontal="center" vertical="center" wrapText="1"/>
    </xf>
    <xf numFmtId="4" fontId="0" fillId="8" borderId="10" xfId="0" applyNumberFormat="1" applyFill="1" applyBorder="1" applyAlignment="1">
      <alignment horizontal="center" vertical="center"/>
    </xf>
    <xf numFmtId="4" fontId="0" fillId="8" borderId="5" xfId="0" applyNumberFormat="1" applyFill="1" applyBorder="1" applyAlignment="1">
      <alignment horizontal="center" vertical="center"/>
    </xf>
    <xf numFmtId="49" fontId="18" fillId="8" borderId="2" xfId="0" applyNumberFormat="1" applyFont="1" applyFill="1" applyBorder="1" applyAlignment="1">
      <alignment horizontal="center" vertical="center" wrapText="1"/>
    </xf>
    <xf numFmtId="49" fontId="18" fillId="8" borderId="5" xfId="0" applyNumberFormat="1" applyFont="1" applyFill="1" applyBorder="1" applyAlignment="1">
      <alignment horizontal="center" vertical="center" wrapText="1"/>
    </xf>
    <xf numFmtId="4" fontId="0" fillId="8" borderId="2" xfId="0" applyNumberFormat="1" applyFill="1" applyBorder="1" applyAlignment="1">
      <alignment horizontal="center" vertical="center" wrapText="1"/>
    </xf>
    <xf numFmtId="4" fontId="0" fillId="8" borderId="5" xfId="0" applyNumberFormat="1" applyFill="1" applyBorder="1" applyAlignment="1">
      <alignment horizontal="center" vertical="center" wrapText="1"/>
    </xf>
    <xf numFmtId="4" fontId="0" fillId="8" borderId="2" xfId="0" applyNumberFormat="1" applyFill="1" applyBorder="1" applyAlignment="1">
      <alignment horizontal="center" vertical="center"/>
    </xf>
    <xf numFmtId="49" fontId="13" fillId="0" borderId="24" xfId="0" applyNumberFormat="1" applyFont="1" applyBorder="1" applyAlignment="1">
      <alignment horizontal="center" vertical="center" wrapText="1"/>
    </xf>
    <xf numFmtId="49" fontId="13" fillId="0" borderId="2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49" fontId="10" fillId="0" borderId="16" xfId="0" applyNumberFormat="1" applyFont="1" applyBorder="1" applyAlignment="1">
      <alignment horizontal="left" vertical="top" wrapText="1"/>
    </xf>
    <xf numFmtId="49" fontId="10" fillId="0" borderId="18" xfId="0" applyNumberFormat="1" applyFont="1" applyBorder="1" applyAlignment="1">
      <alignment horizontal="left" vertical="top" wrapText="1"/>
    </xf>
    <xf numFmtId="4" fontId="10" fillId="0" borderId="7" xfId="0" applyNumberFormat="1" applyFont="1" applyBorder="1" applyAlignment="1">
      <alignment horizontal="center" vertical="center" wrapText="1"/>
    </xf>
    <xf numFmtId="4" fontId="10" fillId="0" borderId="12" xfId="0" applyNumberFormat="1" applyFont="1" applyBorder="1" applyAlignment="1">
      <alignment horizontal="center" vertical="center" wrapText="1"/>
    </xf>
    <xf numFmtId="49" fontId="10" fillId="0" borderId="7" xfId="0" applyNumberFormat="1" applyFont="1" applyBorder="1" applyAlignment="1">
      <alignment horizontal="center" vertical="center"/>
    </xf>
    <xf numFmtId="49" fontId="10" fillId="0" borderId="6"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_vp_dep/bendras/Stebesenos_rodikliai/Post%202020/VP%20projektai/4%20draft/7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zoomScale="55" zoomScaleNormal="55" workbookViewId="0">
      <selection activeCell="J3" sqref="J3"/>
    </sheetView>
  </sheetViews>
  <sheetFormatPr defaultRowHeight="15" x14ac:dyDescent="0.25"/>
  <cols>
    <col min="1" max="1" width="15" customWidth="1"/>
    <col min="2" max="2" width="31.140625" customWidth="1"/>
    <col min="3" max="3" width="10.85546875" style="151" customWidth="1"/>
    <col min="4" max="4" width="11" style="151" customWidth="1"/>
    <col min="5" max="5" width="15.140625" style="153" customWidth="1"/>
    <col min="6" max="6" width="12.85546875" style="151" customWidth="1"/>
    <col min="7" max="7" width="12.85546875" style="152" customWidth="1"/>
    <col min="8" max="10" width="23.42578125" style="151" customWidth="1"/>
    <col min="11" max="11" width="54.42578125" style="150" customWidth="1"/>
    <col min="12" max="12" width="21" customWidth="1"/>
    <col min="14" max="14" width="16.28515625" customWidth="1"/>
    <col min="15" max="15" width="8.42578125" customWidth="1"/>
    <col min="16" max="16" width="26.28515625" customWidth="1"/>
    <col min="18" max="18" width="13.28515625" customWidth="1"/>
    <col min="19" max="19" width="10.28515625" bestFit="1" customWidth="1"/>
    <col min="20" max="20" width="11.85546875" bestFit="1" customWidth="1"/>
  </cols>
  <sheetData>
    <row r="1" spans="1:16" ht="18.75" x14ac:dyDescent="0.3">
      <c r="C1" s="455" t="s">
        <v>235</v>
      </c>
      <c r="D1" s="456"/>
      <c r="E1" s="456"/>
      <c r="F1" s="456"/>
      <c r="G1" s="456"/>
      <c r="H1" s="457"/>
      <c r="I1" s="162"/>
      <c r="J1" s="162"/>
      <c r="L1" s="161"/>
    </row>
    <row r="2" spans="1:16" ht="32.25" thickBot="1" x14ac:dyDescent="0.35">
      <c r="C2" s="210" t="s">
        <v>163</v>
      </c>
      <c r="D2" s="210" t="s">
        <v>13</v>
      </c>
      <c r="E2" s="210" t="s">
        <v>14</v>
      </c>
      <c r="F2" s="210" t="s">
        <v>162</v>
      </c>
      <c r="G2" s="211" t="s">
        <v>161</v>
      </c>
      <c r="H2" s="210" t="s">
        <v>160</v>
      </c>
      <c r="I2" s="256" t="s">
        <v>239</v>
      </c>
      <c r="J2" s="256" t="s">
        <v>236</v>
      </c>
      <c r="L2" s="161"/>
    </row>
    <row r="3" spans="1:16" ht="38.25" customHeight="1" x14ac:dyDescent="0.25">
      <c r="A3" s="499" t="s">
        <v>234</v>
      </c>
      <c r="B3" s="501" t="s">
        <v>233</v>
      </c>
      <c r="C3" s="254">
        <v>2</v>
      </c>
      <c r="D3" s="254" t="s">
        <v>15</v>
      </c>
      <c r="E3" s="255" t="s">
        <v>171</v>
      </c>
      <c r="F3" s="254" t="s">
        <v>175</v>
      </c>
      <c r="G3" s="253" t="s">
        <v>224</v>
      </c>
      <c r="H3" s="257">
        <v>103039200</v>
      </c>
      <c r="I3" s="264">
        <f>H3+20897600-10000000</f>
        <v>113936800</v>
      </c>
      <c r="J3" s="264">
        <f>124531822+10000000</f>
        <v>134531822</v>
      </c>
      <c r="K3" s="503" t="s">
        <v>223</v>
      </c>
      <c r="L3" s="447" t="s">
        <v>232</v>
      </c>
      <c r="M3" s="443">
        <v>44105</v>
      </c>
      <c r="N3" s="444"/>
    </row>
    <row r="4" spans="1:16" ht="67.150000000000006" customHeight="1" thickBot="1" x14ac:dyDescent="0.3">
      <c r="A4" s="500"/>
      <c r="B4" s="502"/>
      <c r="C4" s="251">
        <v>2</v>
      </c>
      <c r="D4" s="251" t="s">
        <v>21</v>
      </c>
      <c r="E4" s="252" t="s">
        <v>69</v>
      </c>
      <c r="F4" s="251" t="s">
        <v>175</v>
      </c>
      <c r="G4" s="250" t="s">
        <v>224</v>
      </c>
      <c r="H4" s="258">
        <v>7000000</v>
      </c>
      <c r="I4" s="264">
        <f>H4-600000</f>
        <v>6400000</v>
      </c>
      <c r="J4" s="264">
        <v>6400000</v>
      </c>
      <c r="K4" s="503"/>
      <c r="L4" s="448"/>
      <c r="M4" s="450">
        <v>123936800</v>
      </c>
      <c r="N4" s="451"/>
      <c r="O4" s="3" t="s">
        <v>15</v>
      </c>
      <c r="P4" s="286">
        <f>I3+I8</f>
        <v>123936800</v>
      </c>
    </row>
    <row r="5" spans="1:16" ht="40.5" customHeight="1" x14ac:dyDescent="0.25">
      <c r="A5" s="291" t="s">
        <v>231</v>
      </c>
      <c r="B5" s="290" t="s">
        <v>230</v>
      </c>
      <c r="C5" s="288">
        <v>2</v>
      </c>
      <c r="D5" s="288" t="s">
        <v>21</v>
      </c>
      <c r="E5" s="289" t="s">
        <v>69</v>
      </c>
      <c r="F5" s="288" t="s">
        <v>173</v>
      </c>
      <c r="G5" s="287" t="s">
        <v>229</v>
      </c>
      <c r="H5" s="292">
        <v>122382600</v>
      </c>
      <c r="I5" s="265">
        <f>(H5-615010)</f>
        <v>121767590</v>
      </c>
      <c r="J5" s="265">
        <v>121730794</v>
      </c>
      <c r="K5" s="285" t="s">
        <v>228</v>
      </c>
      <c r="L5" s="448"/>
      <c r="M5" s="450">
        <v>173867590</v>
      </c>
      <c r="N5" s="451"/>
      <c r="O5" s="3" t="s">
        <v>227</v>
      </c>
      <c r="P5" s="286">
        <f>SUM(I5:I7)</f>
        <v>167467590</v>
      </c>
    </row>
    <row r="6" spans="1:16" ht="16.5" customHeight="1" x14ac:dyDescent="0.25">
      <c r="A6" s="504" t="s">
        <v>226</v>
      </c>
      <c r="B6" s="505" t="s">
        <v>225</v>
      </c>
      <c r="C6" s="248">
        <v>2</v>
      </c>
      <c r="D6" s="248" t="s">
        <v>21</v>
      </c>
      <c r="E6" s="249" t="s">
        <v>69</v>
      </c>
      <c r="F6" s="248" t="s">
        <v>173</v>
      </c>
      <c r="G6" s="247" t="s">
        <v>224</v>
      </c>
      <c r="H6" s="246">
        <v>300000</v>
      </c>
      <c r="I6" s="266">
        <v>0</v>
      </c>
      <c r="J6" s="266">
        <v>0</v>
      </c>
      <c r="K6" s="285" t="s">
        <v>223</v>
      </c>
      <c r="L6" s="448"/>
      <c r="M6" s="236"/>
      <c r="N6" s="236"/>
    </row>
    <row r="7" spans="1:16" ht="25.5" customHeight="1" x14ac:dyDescent="0.25">
      <c r="A7" s="504"/>
      <c r="B7" s="505"/>
      <c r="C7" s="248">
        <v>2</v>
      </c>
      <c r="D7" s="248" t="s">
        <v>21</v>
      </c>
      <c r="E7" s="249" t="s">
        <v>69</v>
      </c>
      <c r="F7" s="248" t="s">
        <v>173</v>
      </c>
      <c r="G7" s="247" t="s">
        <v>222</v>
      </c>
      <c r="H7" s="246">
        <v>46000000</v>
      </c>
      <c r="I7" s="266">
        <f>H7-600000+H6</f>
        <v>45700000</v>
      </c>
      <c r="J7" s="266">
        <v>45700000</v>
      </c>
      <c r="K7" s="279" t="s">
        <v>221</v>
      </c>
      <c r="L7" s="448"/>
      <c r="M7" s="236"/>
      <c r="N7" s="245"/>
    </row>
    <row r="8" spans="1:16" ht="25.5" customHeight="1" thickBot="1" x14ac:dyDescent="0.3">
      <c r="A8" s="284" t="s">
        <v>238</v>
      </c>
      <c r="B8" s="283" t="s">
        <v>237</v>
      </c>
      <c r="C8" s="281">
        <v>2</v>
      </c>
      <c r="D8" s="281" t="s">
        <v>15</v>
      </c>
      <c r="E8" s="282" t="s">
        <v>171</v>
      </c>
      <c r="F8" s="281" t="s">
        <v>173</v>
      </c>
      <c r="G8" s="280" t="s">
        <v>178</v>
      </c>
      <c r="H8" s="293">
        <v>8000000</v>
      </c>
      <c r="I8" s="298">
        <v>10000000</v>
      </c>
      <c r="J8" s="298">
        <v>0</v>
      </c>
      <c r="K8" s="279" t="s">
        <v>180</v>
      </c>
      <c r="L8" s="449"/>
      <c r="M8" s="236"/>
      <c r="N8" s="245"/>
    </row>
    <row r="9" spans="1:16" ht="39.75" customHeight="1" x14ac:dyDescent="0.25">
      <c r="A9" s="496" t="s">
        <v>220</v>
      </c>
      <c r="B9" s="509" t="s">
        <v>219</v>
      </c>
      <c r="C9" s="506">
        <v>3</v>
      </c>
      <c r="D9" s="469" t="s">
        <v>15</v>
      </c>
      <c r="E9" s="194" t="s">
        <v>171</v>
      </c>
      <c r="F9" s="244"/>
      <c r="G9" s="243" t="s">
        <v>218</v>
      </c>
      <c r="H9" s="294">
        <v>5000000</v>
      </c>
      <c r="I9" s="237">
        <f>H9+1250000+ 6250000</f>
        <v>12500000</v>
      </c>
      <c r="J9" s="237">
        <v>11908130</v>
      </c>
      <c r="K9" s="225" t="s">
        <v>217</v>
      </c>
      <c r="L9" s="447" t="s">
        <v>216</v>
      </c>
      <c r="M9" s="236"/>
      <c r="N9" s="236"/>
    </row>
    <row r="10" spans="1:16" ht="39.75" customHeight="1" thickBot="1" x14ac:dyDescent="0.3">
      <c r="A10" s="497"/>
      <c r="B10" s="510"/>
      <c r="C10" s="507"/>
      <c r="D10" s="470"/>
      <c r="E10" s="299" t="s">
        <v>179</v>
      </c>
      <c r="F10" s="471" t="s">
        <v>109</v>
      </c>
      <c r="G10" s="300"/>
      <c r="H10" s="301"/>
      <c r="I10" s="237"/>
      <c r="J10" s="237">
        <v>588200</v>
      </c>
      <c r="K10" s="213"/>
      <c r="L10" s="448"/>
      <c r="M10" s="236"/>
      <c r="N10" s="236"/>
    </row>
    <row r="11" spans="1:16" s="239" customFormat="1" ht="59.25" customHeight="1" x14ac:dyDescent="0.25">
      <c r="A11" s="497"/>
      <c r="B11" s="510"/>
      <c r="C11" s="507"/>
      <c r="D11" s="469" t="s">
        <v>15</v>
      </c>
      <c r="E11" s="238" t="s">
        <v>171</v>
      </c>
      <c r="F11" s="471"/>
      <c r="G11" s="472" t="s">
        <v>215</v>
      </c>
      <c r="H11" s="259">
        <v>5000000</v>
      </c>
      <c r="I11" s="237">
        <v>0</v>
      </c>
      <c r="J11" s="237">
        <v>0</v>
      </c>
      <c r="K11" s="241" t="s">
        <v>214</v>
      </c>
      <c r="L11" s="448"/>
      <c r="M11" s="236"/>
      <c r="N11" s="236"/>
    </row>
    <row r="12" spans="1:16" s="239" customFormat="1" ht="59.25" customHeight="1" thickBot="1" x14ac:dyDescent="0.3">
      <c r="A12" s="497"/>
      <c r="B12" s="510"/>
      <c r="C12" s="507"/>
      <c r="D12" s="470"/>
      <c r="E12" s="238" t="s">
        <v>179</v>
      </c>
      <c r="F12" s="471"/>
      <c r="G12" s="473"/>
      <c r="H12" s="259"/>
      <c r="I12" s="237"/>
      <c r="J12" s="237">
        <v>0</v>
      </c>
      <c r="K12" s="241"/>
      <c r="L12" s="448"/>
      <c r="M12" s="236"/>
      <c r="N12" s="236"/>
    </row>
    <row r="13" spans="1:16" s="239" customFormat="1" ht="42" customHeight="1" x14ac:dyDescent="0.25">
      <c r="A13" s="497"/>
      <c r="B13" s="510"/>
      <c r="C13" s="507"/>
      <c r="D13" s="469" t="s">
        <v>15</v>
      </c>
      <c r="E13" s="238" t="s">
        <v>171</v>
      </c>
      <c r="F13" s="471"/>
      <c r="G13" s="474" t="s">
        <v>213</v>
      </c>
      <c r="H13" s="259">
        <v>5000000</v>
      </c>
      <c r="I13" s="237">
        <f>H13+1250000</f>
        <v>6250000</v>
      </c>
      <c r="J13" s="237">
        <v>5960260</v>
      </c>
      <c r="K13" s="240" t="s">
        <v>212</v>
      </c>
      <c r="L13" s="448"/>
      <c r="M13" s="236"/>
      <c r="N13" s="236"/>
    </row>
    <row r="14" spans="1:16" s="239" customFormat="1" ht="42" customHeight="1" thickBot="1" x14ac:dyDescent="0.3">
      <c r="A14" s="497"/>
      <c r="B14" s="510"/>
      <c r="C14" s="507"/>
      <c r="D14" s="470"/>
      <c r="E14" s="302" t="s">
        <v>179</v>
      </c>
      <c r="F14" s="471"/>
      <c r="G14" s="474"/>
      <c r="H14" s="303"/>
      <c r="I14" s="237"/>
      <c r="J14" s="237">
        <v>291200</v>
      </c>
      <c r="K14" s="240"/>
      <c r="L14" s="448"/>
      <c r="M14" s="236"/>
      <c r="N14" s="236"/>
    </row>
    <row r="15" spans="1:16" ht="42" customHeight="1" thickBot="1" x14ac:dyDescent="0.3">
      <c r="A15" s="497"/>
      <c r="B15" s="510"/>
      <c r="C15" s="507"/>
      <c r="D15" s="469" t="s">
        <v>15</v>
      </c>
      <c r="E15" s="278" t="s">
        <v>171</v>
      </c>
      <c r="F15" s="471"/>
      <c r="G15" s="242" t="s">
        <v>211</v>
      </c>
      <c r="H15" s="295">
        <v>5000000</v>
      </c>
      <c r="I15" s="237">
        <f>H15+1250000</f>
        <v>6250000</v>
      </c>
      <c r="J15" s="237">
        <v>5961710</v>
      </c>
      <c r="K15" s="225" t="s">
        <v>210</v>
      </c>
      <c r="L15" s="448"/>
      <c r="M15" s="236"/>
      <c r="N15" s="236"/>
    </row>
    <row r="16" spans="1:16" ht="42" customHeight="1" thickBot="1" x14ac:dyDescent="0.3">
      <c r="A16" s="498"/>
      <c r="B16" s="511"/>
      <c r="C16" s="508"/>
      <c r="D16" s="470"/>
      <c r="E16" s="304"/>
      <c r="F16" s="470"/>
      <c r="G16" s="242"/>
      <c r="H16" s="305"/>
      <c r="I16" s="237"/>
      <c r="J16" s="237">
        <v>290500</v>
      </c>
      <c r="K16" s="225"/>
      <c r="L16" s="448"/>
      <c r="M16" s="236"/>
      <c r="N16" s="236"/>
    </row>
    <row r="17" spans="1:20" ht="14.25" customHeight="1" x14ac:dyDescent="0.25">
      <c r="A17" s="475" t="s">
        <v>209</v>
      </c>
      <c r="B17" s="477" t="s">
        <v>208</v>
      </c>
      <c r="C17" s="277">
        <v>3</v>
      </c>
      <c r="D17" s="275" t="s">
        <v>21</v>
      </c>
      <c r="E17" s="276" t="s">
        <v>69</v>
      </c>
      <c r="F17" s="275" t="s">
        <v>110</v>
      </c>
      <c r="G17" s="306" t="s">
        <v>207</v>
      </c>
      <c r="H17" s="296">
        <v>94000000</v>
      </c>
      <c r="I17" s="267">
        <f>H17-900000+2000000</f>
        <v>95100000</v>
      </c>
      <c r="J17" s="267">
        <f>I17</f>
        <v>95100000</v>
      </c>
      <c r="K17" s="225" t="s">
        <v>206</v>
      </c>
      <c r="L17" s="448"/>
      <c r="M17" s="236"/>
      <c r="N17" s="236"/>
    </row>
    <row r="18" spans="1:20" ht="25.5" customHeight="1" x14ac:dyDescent="0.25">
      <c r="A18" s="476"/>
      <c r="B18" s="478"/>
      <c r="C18" s="188">
        <v>3</v>
      </c>
      <c r="D18" s="186" t="s">
        <v>21</v>
      </c>
      <c r="E18" s="187" t="s">
        <v>69</v>
      </c>
      <c r="F18" s="186" t="s">
        <v>110</v>
      </c>
      <c r="G18" s="185" t="s">
        <v>205</v>
      </c>
      <c r="H18" s="260">
        <v>52290000</v>
      </c>
      <c r="I18" s="267">
        <f>H18-800000</f>
        <v>51490000</v>
      </c>
      <c r="J18" s="267">
        <f>I18</f>
        <v>51490000</v>
      </c>
      <c r="K18" s="225" t="s">
        <v>204</v>
      </c>
      <c r="L18" s="448"/>
      <c r="M18" s="236"/>
      <c r="N18" s="245">
        <f>I17+I18+I19+I24</f>
        <v>158790000</v>
      </c>
      <c r="P18" s="87"/>
      <c r="S18">
        <f>123936800+121767590+45700000+6400000+25000000+90080000+10000000+146790000+242432250+10000000+2000000</f>
        <v>824106640</v>
      </c>
    </row>
    <row r="19" spans="1:20" ht="86.25" customHeight="1" x14ac:dyDescent="0.25">
      <c r="A19" s="476"/>
      <c r="B19" s="479"/>
      <c r="C19" s="188">
        <v>3</v>
      </c>
      <c r="D19" s="186" t="s">
        <v>21</v>
      </c>
      <c r="E19" s="187" t="s">
        <v>69</v>
      </c>
      <c r="F19" s="186" t="s">
        <v>110</v>
      </c>
      <c r="G19" s="185" t="s">
        <v>203</v>
      </c>
      <c r="H19" s="260">
        <v>3000000</v>
      </c>
      <c r="I19" s="267">
        <f>H19-800000</f>
        <v>2200000</v>
      </c>
      <c r="J19" s="267">
        <f>I19</f>
        <v>2200000</v>
      </c>
      <c r="K19" s="231" t="s">
        <v>202</v>
      </c>
      <c r="L19" s="448"/>
      <c r="M19" s="445">
        <v>44105</v>
      </c>
      <c r="N19" s="446"/>
      <c r="P19" s="87"/>
      <c r="S19">
        <f>113936800+10000000+121767590+45700000+6400000+25000000+90080000+10000000+148790000+242432250+10000000</f>
        <v>824106640</v>
      </c>
      <c r="T19" s="17">
        <f>824106640-S19</f>
        <v>0</v>
      </c>
    </row>
    <row r="20" spans="1:20" ht="25.5" customHeight="1" x14ac:dyDescent="0.25">
      <c r="A20" s="484" t="s">
        <v>201</v>
      </c>
      <c r="B20" s="487" t="s">
        <v>200</v>
      </c>
      <c r="C20" s="235">
        <v>3</v>
      </c>
      <c r="D20" s="233" t="s">
        <v>21</v>
      </c>
      <c r="E20" s="234" t="s">
        <v>69</v>
      </c>
      <c r="F20" s="233" t="s">
        <v>110</v>
      </c>
      <c r="G20" s="232" t="s">
        <v>199</v>
      </c>
      <c r="H20" s="261">
        <v>177000000</v>
      </c>
      <c r="I20" s="268">
        <v>63315000</v>
      </c>
      <c r="J20" s="268">
        <v>65530043</v>
      </c>
      <c r="K20" s="225" t="s">
        <v>198</v>
      </c>
      <c r="L20" s="448"/>
      <c r="M20" s="450">
        <v>125080000</v>
      </c>
      <c r="N20" s="451"/>
      <c r="O20" s="3" t="s">
        <v>15</v>
      </c>
      <c r="P20" s="4">
        <f>SUM(I9:I15,I25)</f>
        <v>115080000</v>
      </c>
    </row>
    <row r="21" spans="1:20" ht="36" customHeight="1" x14ac:dyDescent="0.25">
      <c r="A21" s="485"/>
      <c r="B21" s="488"/>
      <c r="C21" s="235">
        <v>3</v>
      </c>
      <c r="D21" s="233" t="s">
        <v>21</v>
      </c>
      <c r="E21" s="234" t="s">
        <v>69</v>
      </c>
      <c r="F21" s="233" t="s">
        <v>110</v>
      </c>
      <c r="G21" s="232" t="s">
        <v>197</v>
      </c>
      <c r="H21" s="261">
        <v>44500000</v>
      </c>
      <c r="I21" s="268">
        <v>147896000</v>
      </c>
      <c r="J21" s="268">
        <v>147844205</v>
      </c>
      <c r="K21" s="231" t="s">
        <v>196</v>
      </c>
      <c r="L21" s="448"/>
      <c r="M21" s="450">
        <v>401222250</v>
      </c>
      <c r="N21" s="451"/>
      <c r="O21" s="3" t="s">
        <v>195</v>
      </c>
      <c r="P21" s="274">
        <f>SUM(I17:I24)</f>
        <v>401222250</v>
      </c>
      <c r="R21" s="87"/>
    </row>
    <row r="22" spans="1:20" ht="15" customHeight="1" x14ac:dyDescent="0.25">
      <c r="A22" s="485"/>
      <c r="B22" s="488"/>
      <c r="C22" s="235">
        <v>3</v>
      </c>
      <c r="D22" s="233" t="s">
        <v>21</v>
      </c>
      <c r="E22" s="234" t="s">
        <v>69</v>
      </c>
      <c r="F22" s="233" t="s">
        <v>110</v>
      </c>
      <c r="G22" s="232" t="s">
        <v>194</v>
      </c>
      <c r="H22" s="261">
        <v>18500000</v>
      </c>
      <c r="I22" s="268">
        <v>26671250</v>
      </c>
      <c r="J22" s="268">
        <v>26661909</v>
      </c>
      <c r="K22" s="231" t="s">
        <v>193</v>
      </c>
      <c r="L22" s="448"/>
    </row>
    <row r="23" spans="1:20" x14ac:dyDescent="0.25">
      <c r="A23" s="486"/>
      <c r="B23" s="489"/>
      <c r="C23" s="235">
        <v>3</v>
      </c>
      <c r="D23" s="233" t="s">
        <v>21</v>
      </c>
      <c r="E23" s="234" t="s">
        <v>69</v>
      </c>
      <c r="F23" s="233" t="s">
        <v>110</v>
      </c>
      <c r="G23" s="232" t="s">
        <v>192</v>
      </c>
      <c r="H23" s="261">
        <v>5000000</v>
      </c>
      <c r="I23" s="268">
        <v>4550000</v>
      </c>
      <c r="J23" s="268">
        <v>2311190</v>
      </c>
      <c r="K23" s="231" t="s">
        <v>191</v>
      </c>
      <c r="L23" s="448"/>
    </row>
    <row r="24" spans="1:20" ht="34.5" thickBot="1" x14ac:dyDescent="0.3">
      <c r="A24" s="273" t="s">
        <v>190</v>
      </c>
      <c r="B24" s="272" t="s">
        <v>189</v>
      </c>
      <c r="C24" s="176">
        <v>3</v>
      </c>
      <c r="D24" s="174" t="s">
        <v>21</v>
      </c>
      <c r="E24" s="175" t="s">
        <v>69</v>
      </c>
      <c r="F24" s="174" t="s">
        <v>110</v>
      </c>
      <c r="G24" s="173" t="s">
        <v>188</v>
      </c>
      <c r="H24" s="262">
        <v>10000000</v>
      </c>
      <c r="I24" s="269">
        <f>H24</f>
        <v>10000000</v>
      </c>
      <c r="J24" s="269">
        <f>I24</f>
        <v>10000000</v>
      </c>
      <c r="K24" s="231" t="s">
        <v>187</v>
      </c>
      <c r="L24" s="448"/>
      <c r="P24" s="87"/>
    </row>
    <row r="25" spans="1:20" ht="135.75" customHeight="1" x14ac:dyDescent="0.25">
      <c r="A25" s="230" t="s">
        <v>186</v>
      </c>
      <c r="B25" s="492" t="s">
        <v>185</v>
      </c>
      <c r="C25" s="229">
        <v>3</v>
      </c>
      <c r="D25" s="227" t="s">
        <v>15</v>
      </c>
      <c r="E25" s="228" t="s">
        <v>171</v>
      </c>
      <c r="F25" s="227" t="s">
        <v>111</v>
      </c>
      <c r="G25" s="226" t="s">
        <v>184</v>
      </c>
      <c r="H25" s="263">
        <v>82017360</v>
      </c>
      <c r="I25" s="270">
        <f>H25+8062640</f>
        <v>90080000</v>
      </c>
      <c r="J25" s="270">
        <v>87958750</v>
      </c>
      <c r="K25" s="225" t="s">
        <v>183</v>
      </c>
      <c r="L25" s="448"/>
      <c r="N25" s="87">
        <f>I20+I21+I22+I23</f>
        <v>242432250</v>
      </c>
    </row>
    <row r="26" spans="1:20" ht="135.75" customHeight="1" x14ac:dyDescent="0.25">
      <c r="A26" s="230"/>
      <c r="B26" s="493"/>
      <c r="C26" s="229">
        <v>3</v>
      </c>
      <c r="D26" s="227" t="s">
        <v>15</v>
      </c>
      <c r="E26" s="228" t="s">
        <v>171</v>
      </c>
      <c r="F26" s="227" t="s">
        <v>111</v>
      </c>
      <c r="G26" s="226" t="s">
        <v>178</v>
      </c>
      <c r="H26" s="297"/>
      <c r="I26" s="270">
        <v>10000000</v>
      </c>
      <c r="J26" s="270">
        <v>10000000</v>
      </c>
      <c r="K26" s="231" t="s">
        <v>180</v>
      </c>
      <c r="L26" s="448"/>
      <c r="N26" s="87"/>
    </row>
    <row r="27" spans="1:20" ht="123.75" customHeight="1" x14ac:dyDescent="0.25">
      <c r="A27" s="490" t="s">
        <v>182</v>
      </c>
      <c r="B27" s="494" t="s">
        <v>181</v>
      </c>
      <c r="C27" s="224">
        <v>3</v>
      </c>
      <c r="D27" s="222" t="s">
        <v>15</v>
      </c>
      <c r="E27" s="223" t="s">
        <v>171</v>
      </c>
      <c r="F27" s="222" t="s">
        <v>111</v>
      </c>
      <c r="G27" s="221" t="s">
        <v>178</v>
      </c>
      <c r="H27" s="220">
        <v>8000000</v>
      </c>
      <c r="I27" s="265">
        <v>0</v>
      </c>
      <c r="J27" s="265"/>
      <c r="K27" s="458" t="s">
        <v>180</v>
      </c>
      <c r="L27" s="448"/>
      <c r="N27">
        <f>123936800+121767590+45700000+6400000+25000000+90080000+10000000+146790000+242432250+10000000+2000000</f>
        <v>824106640</v>
      </c>
    </row>
    <row r="28" spans="1:20" ht="38.25" customHeight="1" thickBot="1" x14ac:dyDescent="0.3">
      <c r="A28" s="491"/>
      <c r="B28" s="495"/>
      <c r="C28" s="219">
        <v>3</v>
      </c>
      <c r="D28" s="217" t="s">
        <v>15</v>
      </c>
      <c r="E28" s="218" t="s">
        <v>179</v>
      </c>
      <c r="F28" s="217" t="s">
        <v>111</v>
      </c>
      <c r="G28" s="216" t="s">
        <v>178</v>
      </c>
      <c r="H28" s="215">
        <v>2000000</v>
      </c>
      <c r="I28" s="214">
        <v>0</v>
      </c>
      <c r="J28" s="271"/>
      <c r="K28" s="459"/>
      <c r="L28" s="449"/>
    </row>
    <row r="29" spans="1:20" ht="15" customHeight="1" thickBot="1" x14ac:dyDescent="0.35">
      <c r="A29" s="15"/>
      <c r="B29" s="212"/>
      <c r="H29" s="163"/>
      <c r="I29" s="163"/>
      <c r="J29" s="163"/>
      <c r="K29" s="213"/>
      <c r="L29" s="161"/>
    </row>
    <row r="30" spans="1:20" ht="18" customHeight="1" x14ac:dyDescent="0.3">
      <c r="A30" s="15"/>
      <c r="B30" s="212"/>
      <c r="G30" s="169" t="s">
        <v>169</v>
      </c>
      <c r="H30" s="168">
        <f>H3</f>
        <v>103039200</v>
      </c>
      <c r="I30" s="168">
        <f>I3+I8</f>
        <v>123936800</v>
      </c>
      <c r="J30" s="168">
        <f>J3+J8</f>
        <v>134531822</v>
      </c>
      <c r="K30" s="468">
        <f>J30+J31</f>
        <v>308362616</v>
      </c>
      <c r="L30" s="161"/>
    </row>
    <row r="31" spans="1:20" ht="18.75" customHeight="1" x14ac:dyDescent="0.3">
      <c r="A31" s="15"/>
      <c r="B31" s="212"/>
      <c r="G31" s="167" t="s">
        <v>168</v>
      </c>
      <c r="H31" s="166">
        <f>H4+H5+H6+H7</f>
        <v>175682600</v>
      </c>
      <c r="I31" s="166">
        <f>I4+I5+I6+I7</f>
        <v>173867590</v>
      </c>
      <c r="J31" s="166">
        <f>J4+J5+J6+J7</f>
        <v>173830794</v>
      </c>
      <c r="K31" s="468"/>
      <c r="L31" s="161"/>
    </row>
    <row r="32" spans="1:20" ht="18" customHeight="1" x14ac:dyDescent="0.3">
      <c r="A32" s="15"/>
      <c r="B32" s="212"/>
      <c r="G32" s="167" t="s">
        <v>167</v>
      </c>
      <c r="H32" s="166">
        <f>H9+H11+H13+H15+H25+H27</f>
        <v>110017360</v>
      </c>
      <c r="I32" s="166">
        <f>I9+I11+I13+I15+I25+I26</f>
        <v>125080000</v>
      </c>
      <c r="J32" s="166">
        <f>SUM(J9:J16,J25:J26)</f>
        <v>122958750</v>
      </c>
      <c r="K32" s="468">
        <f>J32+J33</f>
        <v>524096097</v>
      </c>
      <c r="L32" s="161"/>
    </row>
    <row r="33" spans="1:12" ht="18.600000000000001" customHeight="1" thickBot="1" x14ac:dyDescent="0.35">
      <c r="A33" s="15"/>
      <c r="B33" s="212"/>
      <c r="G33" s="165" t="s">
        <v>166</v>
      </c>
      <c r="H33" s="164">
        <f>H17+H18+H19+H20+H21+H22+H23+H24+H28</f>
        <v>406290000</v>
      </c>
      <c r="I33" s="164">
        <f>I17+I18+I19+I20+I21+I22+I23+I24</f>
        <v>401222250</v>
      </c>
      <c r="J33" s="164">
        <f>J17+J18+J19+J20+J21+J22+J23+J24</f>
        <v>401137347</v>
      </c>
      <c r="K33" s="468"/>
      <c r="L33" s="161"/>
    </row>
    <row r="34" spans="1:12" ht="18.75" x14ac:dyDescent="0.3">
      <c r="A34" s="15"/>
      <c r="B34" s="212"/>
      <c r="H34" s="163"/>
      <c r="I34" s="163">
        <f>SUM(I30:I33)</f>
        <v>824106640</v>
      </c>
      <c r="J34" s="163">
        <f>SUM(J30:J33)</f>
        <v>832458713</v>
      </c>
      <c r="K34" s="365">
        <f>K30+K32</f>
        <v>832458713</v>
      </c>
      <c r="L34" s="161"/>
    </row>
    <row r="35" spans="1:12" ht="25.5" customHeight="1" x14ac:dyDescent="0.3">
      <c r="L35" s="161"/>
    </row>
    <row r="36" spans="1:12" ht="18.75" x14ac:dyDescent="0.3">
      <c r="C36" s="455" t="s">
        <v>177</v>
      </c>
      <c r="D36" s="456"/>
      <c r="E36" s="456"/>
      <c r="F36" s="456"/>
      <c r="G36" s="456"/>
      <c r="H36" s="457"/>
      <c r="I36" s="162"/>
      <c r="J36" s="162"/>
      <c r="L36" s="161"/>
    </row>
    <row r="37" spans="1:12" ht="26.25" thickBot="1" x14ac:dyDescent="0.35">
      <c r="C37" s="210" t="s">
        <v>163</v>
      </c>
      <c r="D37" s="210" t="s">
        <v>13</v>
      </c>
      <c r="E37" s="210" t="s">
        <v>14</v>
      </c>
      <c r="F37" s="210" t="s">
        <v>162</v>
      </c>
      <c r="G37" s="211" t="s">
        <v>161</v>
      </c>
      <c r="H37" s="210" t="s">
        <v>160</v>
      </c>
      <c r="I37" s="157"/>
      <c r="J37" s="157"/>
      <c r="L37" s="161"/>
    </row>
    <row r="38" spans="1:12" ht="19.5" customHeight="1" x14ac:dyDescent="0.3">
      <c r="C38" s="209">
        <v>2</v>
      </c>
      <c r="D38" s="207" t="s">
        <v>15</v>
      </c>
      <c r="E38" s="208" t="s">
        <v>171</v>
      </c>
      <c r="F38" s="207" t="s">
        <v>175</v>
      </c>
      <c r="G38" s="206" t="s">
        <v>174</v>
      </c>
      <c r="H38" s="205">
        <f>H3</f>
        <v>103039200</v>
      </c>
      <c r="I38" s="204"/>
      <c r="J38" s="204"/>
      <c r="K38" s="460" t="s">
        <v>176</v>
      </c>
      <c r="L38" s="161"/>
    </row>
    <row r="39" spans="1:12" ht="38.25" customHeight="1" x14ac:dyDescent="0.3">
      <c r="C39" s="203">
        <v>2</v>
      </c>
      <c r="D39" s="201" t="s">
        <v>21</v>
      </c>
      <c r="E39" s="202" t="s">
        <v>69</v>
      </c>
      <c r="F39" s="201" t="s">
        <v>175</v>
      </c>
      <c r="G39" s="200" t="s">
        <v>174</v>
      </c>
      <c r="H39" s="199">
        <f>H4</f>
        <v>7000000</v>
      </c>
      <c r="I39" s="198"/>
      <c r="J39" s="198"/>
      <c r="K39" s="460"/>
      <c r="L39" s="161"/>
    </row>
    <row r="40" spans="1:12" ht="47.25" customHeight="1" x14ac:dyDescent="0.3">
      <c r="C40" s="461">
        <v>2</v>
      </c>
      <c r="D40" s="463" t="s">
        <v>21</v>
      </c>
      <c r="E40" s="465" t="s">
        <v>69</v>
      </c>
      <c r="F40" s="463" t="s">
        <v>173</v>
      </c>
      <c r="G40" s="480" t="s">
        <v>170</v>
      </c>
      <c r="H40" s="482">
        <f>SUM(H5:H7)</f>
        <v>168682600</v>
      </c>
      <c r="I40" s="197"/>
      <c r="J40" s="197"/>
      <c r="K40" s="467" t="s">
        <v>172</v>
      </c>
      <c r="L40" s="161"/>
    </row>
    <row r="41" spans="1:12" ht="19.5" thickBot="1" x14ac:dyDescent="0.35">
      <c r="C41" s="462"/>
      <c r="D41" s="464"/>
      <c r="E41" s="466"/>
      <c r="F41" s="464"/>
      <c r="G41" s="481"/>
      <c r="H41" s="483"/>
      <c r="I41" s="196"/>
      <c r="J41" s="196"/>
      <c r="K41" s="467"/>
      <c r="L41" s="161"/>
    </row>
    <row r="42" spans="1:12" ht="25.5" x14ac:dyDescent="0.25">
      <c r="C42" s="195">
        <v>3</v>
      </c>
      <c r="D42" s="193" t="s">
        <v>15</v>
      </c>
      <c r="E42" s="194" t="s">
        <v>171</v>
      </c>
      <c r="F42" s="193" t="s">
        <v>109</v>
      </c>
      <c r="G42" s="192" t="s">
        <v>170</v>
      </c>
      <c r="H42" s="191">
        <f>SUM(H9:H15)</f>
        <v>20000000</v>
      </c>
      <c r="I42" s="190"/>
      <c r="J42" s="190"/>
      <c r="K42" s="467"/>
      <c r="L42" s="189"/>
    </row>
    <row r="43" spans="1:12" ht="25.5" customHeight="1" x14ac:dyDescent="0.25">
      <c r="C43" s="188">
        <v>3</v>
      </c>
      <c r="D43" s="186" t="s">
        <v>21</v>
      </c>
      <c r="E43" s="187" t="s">
        <v>69</v>
      </c>
      <c r="F43" s="186" t="s">
        <v>110</v>
      </c>
      <c r="G43" s="185" t="s">
        <v>170</v>
      </c>
      <c r="H43" s="184">
        <f>SUM(H17:H24)</f>
        <v>404290000</v>
      </c>
      <c r="I43" s="183"/>
      <c r="J43" s="183"/>
      <c r="K43" s="467"/>
      <c r="L43" s="170"/>
    </row>
    <row r="44" spans="1:12" ht="25.5" x14ac:dyDescent="0.25">
      <c r="C44" s="182"/>
      <c r="D44" s="180" t="s">
        <v>15</v>
      </c>
      <c r="E44" s="181" t="s">
        <v>171</v>
      </c>
      <c r="F44" s="180" t="s">
        <v>111</v>
      </c>
      <c r="G44" s="179" t="s">
        <v>170</v>
      </c>
      <c r="H44" s="178">
        <f>SUM(H25:H27)</f>
        <v>90017360</v>
      </c>
      <c r="I44" s="177"/>
      <c r="J44" s="177"/>
      <c r="K44" s="467"/>
      <c r="L44" s="170"/>
    </row>
    <row r="45" spans="1:12" ht="19.5" thickBot="1" x14ac:dyDescent="0.3">
      <c r="C45" s="176">
        <v>3</v>
      </c>
      <c r="D45" s="174" t="s">
        <v>21</v>
      </c>
      <c r="E45" s="175" t="s">
        <v>69</v>
      </c>
      <c r="F45" s="174" t="s">
        <v>111</v>
      </c>
      <c r="G45" s="173" t="s">
        <v>170</v>
      </c>
      <c r="H45" s="172">
        <f>H28</f>
        <v>2000000</v>
      </c>
      <c r="I45" s="171"/>
      <c r="J45" s="171"/>
      <c r="K45" s="467"/>
      <c r="L45" s="170"/>
    </row>
    <row r="46" spans="1:12" ht="19.5" thickBot="1" x14ac:dyDescent="0.35">
      <c r="L46" s="161"/>
    </row>
    <row r="47" spans="1:12" ht="18.75" x14ac:dyDescent="0.3">
      <c r="G47" s="169" t="s">
        <v>169</v>
      </c>
      <c r="H47" s="168">
        <f>H38</f>
        <v>103039200</v>
      </c>
      <c r="I47" s="163"/>
      <c r="J47" s="163"/>
      <c r="L47" s="161"/>
    </row>
    <row r="48" spans="1:12" ht="18.75" x14ac:dyDescent="0.3">
      <c r="G48" s="167" t="s">
        <v>168</v>
      </c>
      <c r="H48" s="166">
        <f>H39+H40</f>
        <v>175682600</v>
      </c>
      <c r="I48" s="163"/>
      <c r="J48" s="163"/>
      <c r="L48" s="161"/>
    </row>
    <row r="49" spans="3:12" ht="18.75" x14ac:dyDescent="0.3">
      <c r="G49" s="167" t="s">
        <v>167</v>
      </c>
      <c r="H49" s="166">
        <f>H42+H44</f>
        <v>110017360</v>
      </c>
      <c r="I49" s="163"/>
      <c r="J49" s="163"/>
      <c r="L49" s="161"/>
    </row>
    <row r="50" spans="3:12" ht="19.5" thickBot="1" x14ac:dyDescent="0.35">
      <c r="G50" s="165" t="s">
        <v>166</v>
      </c>
      <c r="H50" s="164">
        <f>H43+H45</f>
        <v>406290000</v>
      </c>
      <c r="I50" s="163"/>
      <c r="J50" s="163"/>
      <c r="L50" s="161"/>
    </row>
    <row r="51" spans="3:12" ht="18.75" x14ac:dyDescent="0.3">
      <c r="L51" s="161"/>
    </row>
    <row r="52" spans="3:12" ht="18.75" x14ac:dyDescent="0.3">
      <c r="C52" s="455" t="s">
        <v>165</v>
      </c>
      <c r="D52" s="456"/>
      <c r="E52" s="456"/>
      <c r="F52" s="456"/>
      <c r="G52" s="456"/>
      <c r="H52" s="457"/>
      <c r="I52" s="162"/>
      <c r="J52" s="162"/>
      <c r="L52" s="161"/>
    </row>
    <row r="53" spans="3:12" ht="25.5" x14ac:dyDescent="0.3">
      <c r="C53" s="158" t="s">
        <v>163</v>
      </c>
      <c r="D53" s="158" t="s">
        <v>13</v>
      </c>
      <c r="E53" s="158" t="s">
        <v>14</v>
      </c>
      <c r="F53" s="158" t="s">
        <v>162</v>
      </c>
      <c r="G53" s="159" t="s">
        <v>161</v>
      </c>
      <c r="H53" s="158" t="s">
        <v>160</v>
      </c>
      <c r="I53" s="157"/>
      <c r="J53" s="157"/>
      <c r="L53" s="161"/>
    </row>
    <row r="54" spans="3:12" ht="18.75" x14ac:dyDescent="0.3">
      <c r="C54" s="154"/>
      <c r="D54" s="154"/>
      <c r="E54" s="156"/>
      <c r="F54" s="154"/>
      <c r="G54" s="155"/>
      <c r="H54" s="154"/>
      <c r="L54" s="161"/>
    </row>
    <row r="55" spans="3:12" ht="18.75" x14ac:dyDescent="0.3">
      <c r="C55" s="154"/>
      <c r="D55" s="154"/>
      <c r="E55" s="156"/>
      <c r="F55" s="154"/>
      <c r="G55" s="155"/>
      <c r="H55" s="154"/>
      <c r="L55" s="161"/>
    </row>
    <row r="56" spans="3:12" ht="18.75" x14ac:dyDescent="0.3">
      <c r="C56" s="154"/>
      <c r="D56" s="154"/>
      <c r="E56" s="156"/>
      <c r="F56" s="154"/>
      <c r="G56" s="155"/>
      <c r="H56" s="154"/>
      <c r="L56" s="161"/>
    </row>
    <row r="57" spans="3:12" ht="18.75" x14ac:dyDescent="0.3">
      <c r="C57" s="154"/>
      <c r="D57" s="154"/>
      <c r="E57" s="156"/>
      <c r="F57" s="154"/>
      <c r="G57" s="155"/>
      <c r="H57" s="154"/>
      <c r="L57" s="161"/>
    </row>
    <row r="58" spans="3:12" ht="18.75" x14ac:dyDescent="0.3">
      <c r="C58" s="154"/>
      <c r="D58" s="154"/>
      <c r="E58" s="156"/>
      <c r="F58" s="154"/>
      <c r="G58" s="155"/>
      <c r="H58" s="154"/>
      <c r="L58" s="161"/>
    </row>
    <row r="59" spans="3:12" ht="18.75" x14ac:dyDescent="0.3">
      <c r="C59" s="154"/>
      <c r="D59" s="154"/>
      <c r="E59" s="156"/>
      <c r="F59" s="154"/>
      <c r="G59" s="155"/>
      <c r="H59" s="154"/>
      <c r="L59" s="161"/>
    </row>
    <row r="60" spans="3:12" ht="18.75" x14ac:dyDescent="0.3">
      <c r="C60" s="154"/>
      <c r="D60" s="154"/>
      <c r="E60" s="156"/>
      <c r="F60" s="154"/>
      <c r="G60" s="155"/>
      <c r="H60" s="154"/>
      <c r="L60" s="161"/>
    </row>
    <row r="61" spans="3:12" ht="18.75" x14ac:dyDescent="0.3">
      <c r="C61" s="154"/>
      <c r="D61" s="154"/>
      <c r="E61" s="156"/>
      <c r="F61" s="154"/>
      <c r="G61" s="155"/>
      <c r="H61" s="154"/>
      <c r="L61" s="161"/>
    </row>
    <row r="62" spans="3:12" ht="18.75" x14ac:dyDescent="0.3">
      <c r="C62" s="154"/>
      <c r="D62" s="154"/>
      <c r="E62" s="156"/>
      <c r="F62" s="154"/>
      <c r="G62" s="155"/>
      <c r="H62" s="154"/>
      <c r="L62" s="161"/>
    </row>
    <row r="63" spans="3:12" ht="18.75" x14ac:dyDescent="0.3">
      <c r="C63" s="154"/>
      <c r="D63" s="154"/>
      <c r="E63" s="156"/>
      <c r="F63" s="154"/>
      <c r="G63" s="155"/>
      <c r="H63" s="154"/>
      <c r="L63" s="161"/>
    </row>
    <row r="64" spans="3:12" ht="18.75" x14ac:dyDescent="0.3">
      <c r="C64" s="154"/>
      <c r="D64" s="154"/>
      <c r="E64" s="156"/>
      <c r="F64" s="154"/>
      <c r="G64" s="155"/>
      <c r="H64" s="154"/>
      <c r="L64" s="161"/>
    </row>
    <row r="65" spans="3:12" ht="18.75" x14ac:dyDescent="0.3">
      <c r="L65" s="161"/>
    </row>
    <row r="66" spans="3:12" ht="18.75" x14ac:dyDescent="0.3">
      <c r="L66" s="161"/>
    </row>
    <row r="67" spans="3:12" ht="18.75" x14ac:dyDescent="0.3">
      <c r="L67" s="161"/>
    </row>
    <row r="68" spans="3:12" ht="18.75" x14ac:dyDescent="0.3">
      <c r="L68" s="161"/>
    </row>
    <row r="69" spans="3:12" ht="18.75" x14ac:dyDescent="0.3">
      <c r="L69" s="161"/>
    </row>
    <row r="70" spans="3:12" ht="18.75" x14ac:dyDescent="0.3">
      <c r="L70" s="161"/>
    </row>
    <row r="71" spans="3:12" x14ac:dyDescent="0.25">
      <c r="C71" s="154"/>
      <c r="D71" s="154"/>
      <c r="E71" s="156"/>
      <c r="F71" s="154"/>
      <c r="G71" s="155"/>
      <c r="H71" s="154"/>
    </row>
    <row r="72" spans="3:12" x14ac:dyDescent="0.25">
      <c r="C72" s="154"/>
      <c r="D72" s="154"/>
      <c r="E72" s="156"/>
      <c r="F72" s="154"/>
      <c r="G72" s="155"/>
      <c r="H72" s="154"/>
    </row>
    <row r="73" spans="3:12" x14ac:dyDescent="0.25">
      <c r="C73" s="154"/>
      <c r="D73" s="154"/>
      <c r="E73" s="156"/>
      <c r="F73" s="154"/>
      <c r="G73" s="155"/>
      <c r="H73" s="154"/>
    </row>
    <row r="76" spans="3:12" ht="15.75" customHeight="1" x14ac:dyDescent="0.25">
      <c r="C76" s="452" t="s">
        <v>164</v>
      </c>
      <c r="D76" s="453"/>
      <c r="E76" s="453"/>
      <c r="F76" s="453"/>
      <c r="G76" s="453"/>
      <c r="H76" s="454"/>
      <c r="I76" s="160"/>
      <c r="J76" s="160"/>
    </row>
    <row r="77" spans="3:12" ht="25.5" x14ac:dyDescent="0.25">
      <c r="C77" s="158" t="s">
        <v>163</v>
      </c>
      <c r="D77" s="158" t="s">
        <v>13</v>
      </c>
      <c r="E77" s="158" t="s">
        <v>14</v>
      </c>
      <c r="F77" s="158" t="s">
        <v>162</v>
      </c>
      <c r="G77" s="159" t="s">
        <v>161</v>
      </c>
      <c r="H77" s="158" t="s">
        <v>160</v>
      </c>
      <c r="I77" s="157"/>
      <c r="J77" s="157"/>
    </row>
    <row r="78" spans="3:12" ht="25.5" customHeight="1" x14ac:dyDescent="0.25">
      <c r="C78" s="154"/>
      <c r="D78" s="154"/>
      <c r="E78" s="156"/>
      <c r="F78" s="154"/>
      <c r="G78" s="155"/>
      <c r="H78" s="154"/>
    </row>
    <row r="79" spans="3:12" x14ac:dyDescent="0.25">
      <c r="C79" s="154"/>
      <c r="D79" s="154"/>
      <c r="E79" s="156"/>
      <c r="F79" s="154"/>
      <c r="G79" s="155"/>
      <c r="H79" s="154"/>
    </row>
    <row r="80" spans="3:12" x14ac:dyDescent="0.25">
      <c r="C80" s="154"/>
      <c r="D80" s="154"/>
      <c r="E80" s="156"/>
      <c r="F80" s="154"/>
      <c r="G80" s="155"/>
      <c r="H80" s="154"/>
    </row>
    <row r="81" spans="3:8" x14ac:dyDescent="0.25">
      <c r="C81" s="154"/>
      <c r="D81" s="154"/>
      <c r="E81" s="156"/>
      <c r="F81" s="154"/>
      <c r="G81" s="155"/>
      <c r="H81" s="154"/>
    </row>
    <row r="82" spans="3:8" x14ac:dyDescent="0.25">
      <c r="C82" s="154"/>
      <c r="D82" s="154"/>
      <c r="E82" s="156"/>
      <c r="F82" s="154"/>
      <c r="G82" s="155"/>
      <c r="H82" s="154"/>
    </row>
    <row r="83" spans="3:8" x14ac:dyDescent="0.25">
      <c r="C83" s="154"/>
      <c r="D83" s="154"/>
      <c r="E83" s="156"/>
      <c r="F83" s="154"/>
      <c r="G83" s="155"/>
      <c r="H83" s="154"/>
    </row>
    <row r="84" spans="3:8" x14ac:dyDescent="0.25">
      <c r="C84" s="154"/>
      <c r="D84" s="154"/>
      <c r="E84" s="156"/>
      <c r="F84" s="154"/>
      <c r="G84" s="155"/>
      <c r="H84" s="154"/>
    </row>
    <row r="85" spans="3:8" x14ac:dyDescent="0.25">
      <c r="C85" s="154"/>
      <c r="D85" s="154"/>
      <c r="E85" s="156"/>
      <c r="F85" s="154"/>
      <c r="G85" s="155"/>
      <c r="H85" s="154"/>
    </row>
    <row r="86" spans="3:8" x14ac:dyDescent="0.25">
      <c r="C86" s="154"/>
      <c r="D86" s="154"/>
      <c r="E86" s="156"/>
      <c r="F86" s="154"/>
      <c r="G86" s="155"/>
      <c r="H86" s="154"/>
    </row>
    <row r="87" spans="3:8" x14ac:dyDescent="0.25">
      <c r="C87" s="154"/>
      <c r="D87" s="154"/>
      <c r="E87" s="156"/>
      <c r="F87" s="154"/>
      <c r="G87" s="155"/>
      <c r="H87" s="154"/>
    </row>
    <row r="88" spans="3:8" x14ac:dyDescent="0.25">
      <c r="C88" s="154"/>
      <c r="D88" s="154"/>
      <c r="E88" s="156"/>
      <c r="F88" s="154"/>
      <c r="G88" s="155"/>
      <c r="H88" s="154"/>
    </row>
  </sheetData>
  <mergeCells count="45">
    <mergeCell ref="A9:A16"/>
    <mergeCell ref="A3:A4"/>
    <mergeCell ref="B3:B4"/>
    <mergeCell ref="K3:K4"/>
    <mergeCell ref="A6:A7"/>
    <mergeCell ref="B6:B7"/>
    <mergeCell ref="D15:D16"/>
    <mergeCell ref="D13:D14"/>
    <mergeCell ref="D11:D12"/>
    <mergeCell ref="C9:C16"/>
    <mergeCell ref="B9:B16"/>
    <mergeCell ref="A17:A19"/>
    <mergeCell ref="B17:B19"/>
    <mergeCell ref="F40:F41"/>
    <mergeCell ref="G40:G41"/>
    <mergeCell ref="H40:H41"/>
    <mergeCell ref="A20:A23"/>
    <mergeCell ref="B20:B23"/>
    <mergeCell ref="A27:A28"/>
    <mergeCell ref="B25:B26"/>
    <mergeCell ref="B27:B28"/>
    <mergeCell ref="C1:H1"/>
    <mergeCell ref="D9:D10"/>
    <mergeCell ref="F10:F16"/>
    <mergeCell ref="G11:G12"/>
    <mergeCell ref="G13:G14"/>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M3:N3"/>
    <mergeCell ref="M19:N19"/>
    <mergeCell ref="L3:L8"/>
    <mergeCell ref="M4:N4"/>
    <mergeCell ref="M5:N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tabSelected="1" zoomScale="59" zoomScaleNormal="59" workbookViewId="0">
      <selection activeCell="N16" sqref="N16"/>
    </sheetView>
  </sheetViews>
  <sheetFormatPr defaultRowHeight="15" x14ac:dyDescent="0.25"/>
  <cols>
    <col min="1" max="1" width="17.5703125" customWidth="1"/>
    <col min="2" max="2" width="22.85546875" customWidth="1"/>
    <col min="3" max="3" width="20.28515625" customWidth="1"/>
    <col min="4" max="4" width="27.85546875" customWidth="1"/>
    <col min="5" max="5" width="16.7109375" customWidth="1"/>
    <col min="6" max="6" width="19.28515625" customWidth="1"/>
    <col min="7" max="7" width="17" customWidth="1"/>
    <col min="8" max="8" width="12" customWidth="1"/>
    <col min="9" max="9" width="30.28515625" customWidth="1"/>
    <col min="10" max="10" width="15" customWidth="1"/>
    <col min="11" max="11" width="14.28515625" customWidth="1"/>
    <col min="12" max="12" width="12.42578125" customWidth="1"/>
    <col min="13" max="13" width="18.7109375" customWidth="1"/>
    <col min="14" max="14" width="26.28515625" style="418" customWidth="1"/>
    <col min="15" max="15" width="17.7109375" customWidth="1"/>
    <col min="16" max="16" width="20.85546875" style="87" customWidth="1"/>
    <col min="17" max="17" width="22.140625" customWidth="1"/>
    <col min="18" max="18" width="95.28515625" customWidth="1"/>
    <col min="19" max="19" width="22.7109375" customWidth="1"/>
  </cols>
  <sheetData>
    <row r="1" spans="1:19" x14ac:dyDescent="0.25">
      <c r="A1" s="420" t="s">
        <v>341</v>
      </c>
      <c r="B1" s="420"/>
      <c r="E1" s="29"/>
    </row>
    <row r="2" spans="1:19" ht="15.75" thickBot="1" x14ac:dyDescent="0.3">
      <c r="A2" t="s">
        <v>343</v>
      </c>
      <c r="S2" s="441"/>
    </row>
    <row r="3" spans="1:19" ht="15" customHeight="1" x14ac:dyDescent="0.25">
      <c r="A3" s="556" t="s">
        <v>22</v>
      </c>
      <c r="B3" s="524" t="s">
        <v>75</v>
      </c>
      <c r="C3" s="558" t="s">
        <v>76</v>
      </c>
      <c r="D3" s="529" t="s">
        <v>4</v>
      </c>
      <c r="E3" s="573"/>
      <c r="F3" s="530"/>
      <c r="G3" s="560" t="s">
        <v>17</v>
      </c>
      <c r="H3" s="539" t="s">
        <v>18</v>
      </c>
      <c r="I3" s="540"/>
      <c r="J3" s="524" t="s">
        <v>28</v>
      </c>
      <c r="K3" s="516" t="s">
        <v>35</v>
      </c>
      <c r="L3" s="524" t="s">
        <v>29</v>
      </c>
      <c r="M3" s="529" t="s">
        <v>24</v>
      </c>
      <c r="N3" s="530"/>
      <c r="O3" s="524" t="s">
        <v>26</v>
      </c>
      <c r="P3" s="537" t="s">
        <v>27</v>
      </c>
      <c r="Q3" s="524" t="s">
        <v>36</v>
      </c>
      <c r="R3" s="533" t="s">
        <v>37</v>
      </c>
      <c r="S3" s="512" t="s">
        <v>344</v>
      </c>
    </row>
    <row r="4" spans="1:19" ht="30.75" thickBot="1" x14ac:dyDescent="0.3">
      <c r="A4" s="557"/>
      <c r="B4" s="525"/>
      <c r="C4" s="559"/>
      <c r="D4" s="422" t="s">
        <v>7</v>
      </c>
      <c r="E4" s="423" t="s">
        <v>16</v>
      </c>
      <c r="F4" s="424" t="s">
        <v>23</v>
      </c>
      <c r="G4" s="561"/>
      <c r="H4" s="422" t="s">
        <v>40</v>
      </c>
      <c r="I4" s="425" t="s">
        <v>47</v>
      </c>
      <c r="J4" s="525"/>
      <c r="K4" s="517"/>
      <c r="L4" s="525"/>
      <c r="M4" s="425" t="s">
        <v>25</v>
      </c>
      <c r="N4" s="426" t="s">
        <v>44</v>
      </c>
      <c r="O4" s="525"/>
      <c r="P4" s="538"/>
      <c r="Q4" s="525"/>
      <c r="R4" s="534"/>
      <c r="S4" s="513"/>
    </row>
    <row r="5" spans="1:19" ht="87" customHeight="1" x14ac:dyDescent="0.25">
      <c r="A5" s="562" t="s">
        <v>342</v>
      </c>
      <c r="B5" s="566">
        <f>F5</f>
        <v>12534873.684210526</v>
      </c>
      <c r="C5" s="575">
        <v>11908130</v>
      </c>
      <c r="D5" s="565" t="s">
        <v>316</v>
      </c>
      <c r="E5" s="566">
        <f>C5/0.95*0.05</f>
        <v>626743.68421052641</v>
      </c>
      <c r="F5" s="568">
        <f>C5+E5</f>
        <v>12534873.684210526</v>
      </c>
      <c r="G5" s="581">
        <f>F5</f>
        <v>12534873.684210526</v>
      </c>
      <c r="H5" s="382" t="s">
        <v>107</v>
      </c>
      <c r="I5" s="383" t="s">
        <v>305</v>
      </c>
      <c r="J5" s="549" t="s">
        <v>319</v>
      </c>
      <c r="K5" s="535" t="s">
        <v>38</v>
      </c>
      <c r="L5" s="389" t="s">
        <v>321</v>
      </c>
      <c r="M5" s="389" t="s">
        <v>39</v>
      </c>
      <c r="N5" s="89" t="s">
        <v>8</v>
      </c>
      <c r="O5" s="438">
        <f>P5*0.1</f>
        <v>385.20000000000005</v>
      </c>
      <c r="P5" s="438">
        <v>3852</v>
      </c>
      <c r="Q5" s="429" t="s">
        <v>320</v>
      </c>
      <c r="R5" s="531" t="s">
        <v>334</v>
      </c>
      <c r="S5" s="514" t="s">
        <v>345</v>
      </c>
    </row>
    <row r="6" spans="1:19" ht="272.45" customHeight="1" x14ac:dyDescent="0.25">
      <c r="A6" s="563"/>
      <c r="B6" s="567"/>
      <c r="C6" s="576"/>
      <c r="D6" s="527"/>
      <c r="E6" s="567"/>
      <c r="F6" s="569"/>
      <c r="G6" s="553"/>
      <c r="H6" s="384" t="s">
        <v>108</v>
      </c>
      <c r="I6" s="385" t="s">
        <v>306</v>
      </c>
      <c r="J6" s="545"/>
      <c r="K6" s="536"/>
      <c r="L6" s="392" t="s">
        <v>322</v>
      </c>
      <c r="M6" s="390" t="s">
        <v>39</v>
      </c>
      <c r="N6" s="34" t="s">
        <v>8</v>
      </c>
      <c r="O6" s="16">
        <f>P6*0.1</f>
        <v>42.800000000000004</v>
      </c>
      <c r="P6" s="16">
        <v>428</v>
      </c>
      <c r="Q6" s="392" t="s">
        <v>320</v>
      </c>
      <c r="R6" s="523"/>
      <c r="S6" s="515"/>
    </row>
    <row r="7" spans="1:19" ht="153" customHeight="1" x14ac:dyDescent="0.25">
      <c r="A7" s="563"/>
      <c r="B7" s="567"/>
      <c r="C7" s="576"/>
      <c r="D7" s="527"/>
      <c r="E7" s="567"/>
      <c r="F7" s="569"/>
      <c r="G7" s="553"/>
      <c r="H7" s="386" t="s">
        <v>113</v>
      </c>
      <c r="I7" s="385" t="s">
        <v>312</v>
      </c>
      <c r="J7" s="545"/>
      <c r="K7" s="536"/>
      <c r="L7" s="390" t="s">
        <v>321</v>
      </c>
      <c r="M7" s="390" t="s">
        <v>39</v>
      </c>
      <c r="N7" s="34" t="s">
        <v>42</v>
      </c>
      <c r="O7" s="427" t="s">
        <v>8</v>
      </c>
      <c r="P7" s="16">
        <f>P5*0.9</f>
        <v>3466.8</v>
      </c>
      <c r="Q7" s="392" t="s">
        <v>320</v>
      </c>
      <c r="R7" s="439" t="s">
        <v>323</v>
      </c>
      <c r="S7" s="3"/>
    </row>
    <row r="8" spans="1:19" ht="128.25" customHeight="1" x14ac:dyDescent="0.25">
      <c r="A8" s="563"/>
      <c r="B8" s="583"/>
      <c r="C8" s="577"/>
      <c r="D8" s="527"/>
      <c r="E8" s="567"/>
      <c r="F8" s="570"/>
      <c r="G8" s="554"/>
      <c r="H8" s="384" t="s">
        <v>114</v>
      </c>
      <c r="I8" s="421" t="s">
        <v>313</v>
      </c>
      <c r="J8" s="545"/>
      <c r="K8" s="536"/>
      <c r="L8" s="392" t="s">
        <v>322</v>
      </c>
      <c r="M8" s="430" t="s">
        <v>39</v>
      </c>
      <c r="N8" s="34" t="s">
        <v>42</v>
      </c>
      <c r="O8" s="427" t="s">
        <v>8</v>
      </c>
      <c r="P8" s="16">
        <f>P6*0.9</f>
        <v>385.2</v>
      </c>
      <c r="Q8" s="392" t="s">
        <v>320</v>
      </c>
      <c r="R8" s="439" t="s">
        <v>324</v>
      </c>
      <c r="S8" s="3"/>
    </row>
    <row r="9" spans="1:19" ht="86.25" customHeight="1" x14ac:dyDescent="0.25">
      <c r="A9" s="563"/>
      <c r="B9" s="582">
        <f>F9</f>
        <v>980336</v>
      </c>
      <c r="C9" s="552">
        <f>588200+1</f>
        <v>588201</v>
      </c>
      <c r="D9" s="527"/>
      <c r="E9" s="550">
        <f>C9/0.6*0.4+1</f>
        <v>392135</v>
      </c>
      <c r="F9" s="552">
        <f>C9+E9</f>
        <v>980336</v>
      </c>
      <c r="G9" s="552">
        <f>F9</f>
        <v>980336</v>
      </c>
      <c r="H9" s="391" t="s">
        <v>107</v>
      </c>
      <c r="I9" s="385" t="s">
        <v>305</v>
      </c>
      <c r="J9" s="544" t="s">
        <v>34</v>
      </c>
      <c r="K9" s="527" t="s">
        <v>38</v>
      </c>
      <c r="L9" s="390" t="s">
        <v>321</v>
      </c>
      <c r="M9" s="392" t="s">
        <v>39</v>
      </c>
      <c r="N9" s="34" t="s">
        <v>8</v>
      </c>
      <c r="O9" s="16">
        <f>P9*0.1</f>
        <v>36</v>
      </c>
      <c r="P9" s="16">
        <v>360</v>
      </c>
      <c r="Q9" s="392" t="s">
        <v>320</v>
      </c>
      <c r="R9" s="518" t="s">
        <v>335</v>
      </c>
      <c r="S9" s="3"/>
    </row>
    <row r="10" spans="1:19" ht="235.15" customHeight="1" x14ac:dyDescent="0.25">
      <c r="A10" s="563"/>
      <c r="B10" s="567"/>
      <c r="C10" s="553"/>
      <c r="D10" s="527"/>
      <c r="E10" s="550"/>
      <c r="F10" s="553"/>
      <c r="G10" s="553"/>
      <c r="H10" s="384" t="s">
        <v>108</v>
      </c>
      <c r="I10" s="385" t="s">
        <v>306</v>
      </c>
      <c r="J10" s="545"/>
      <c r="K10" s="527"/>
      <c r="L10" s="392" t="s">
        <v>322</v>
      </c>
      <c r="M10" s="392" t="s">
        <v>39</v>
      </c>
      <c r="N10" s="34" t="s">
        <v>8</v>
      </c>
      <c r="O10" s="16">
        <f>P10*0.1</f>
        <v>4</v>
      </c>
      <c r="P10" s="16">
        <v>40</v>
      </c>
      <c r="Q10" s="392" t="s">
        <v>320</v>
      </c>
      <c r="R10" s="519"/>
      <c r="S10" s="3"/>
    </row>
    <row r="11" spans="1:19" ht="131.25" customHeight="1" x14ac:dyDescent="0.25">
      <c r="A11" s="563"/>
      <c r="B11" s="567"/>
      <c r="C11" s="553"/>
      <c r="D11" s="527"/>
      <c r="E11" s="550"/>
      <c r="F11" s="553"/>
      <c r="G11" s="553"/>
      <c r="H11" s="386" t="s">
        <v>113</v>
      </c>
      <c r="I11" s="385" t="s">
        <v>312</v>
      </c>
      <c r="J11" s="545"/>
      <c r="K11" s="527"/>
      <c r="L11" s="390" t="s">
        <v>321</v>
      </c>
      <c r="M11" s="392" t="s">
        <v>39</v>
      </c>
      <c r="N11" s="34" t="s">
        <v>42</v>
      </c>
      <c r="O11" s="427" t="s">
        <v>8</v>
      </c>
      <c r="P11" s="16">
        <f>P9*0.9</f>
        <v>324</v>
      </c>
      <c r="Q11" s="392" t="s">
        <v>320</v>
      </c>
      <c r="R11" s="439" t="s">
        <v>326</v>
      </c>
      <c r="S11" s="3"/>
    </row>
    <row r="12" spans="1:19" ht="129.75" customHeight="1" x14ac:dyDescent="0.25">
      <c r="A12" s="563"/>
      <c r="B12" s="583"/>
      <c r="C12" s="554"/>
      <c r="D12" s="532"/>
      <c r="E12" s="550"/>
      <c r="F12" s="554"/>
      <c r="G12" s="554"/>
      <c r="H12" s="386" t="s">
        <v>114</v>
      </c>
      <c r="I12" s="421" t="s">
        <v>313</v>
      </c>
      <c r="J12" s="551"/>
      <c r="K12" s="532"/>
      <c r="L12" s="392" t="s">
        <v>322</v>
      </c>
      <c r="M12" s="392" t="s">
        <v>39</v>
      </c>
      <c r="N12" s="34" t="s">
        <v>42</v>
      </c>
      <c r="O12" s="427" t="s">
        <v>8</v>
      </c>
      <c r="P12" s="16">
        <f>P10*0.9</f>
        <v>36</v>
      </c>
      <c r="Q12" s="392" t="s">
        <v>320</v>
      </c>
      <c r="R12" s="439" t="s">
        <v>325</v>
      </c>
      <c r="S12" s="3"/>
    </row>
    <row r="13" spans="1:19" ht="110.25" customHeight="1" x14ac:dyDescent="0.25">
      <c r="A13" s="563"/>
      <c r="B13" s="582">
        <f>F13</f>
        <v>6273958.9473684207</v>
      </c>
      <c r="C13" s="552">
        <f>5960260+1</f>
        <v>5960261</v>
      </c>
      <c r="D13" s="578" t="s">
        <v>318</v>
      </c>
      <c r="E13" s="571">
        <f>C13/0.95*0.05</f>
        <v>313697.94736842107</v>
      </c>
      <c r="F13" s="569">
        <f t="shared" ref="F13" si="0">C13+E13</f>
        <v>6273958.9473684207</v>
      </c>
      <c r="G13" s="552">
        <f>F13</f>
        <v>6273958.9473684207</v>
      </c>
      <c r="H13" s="384" t="s">
        <v>107</v>
      </c>
      <c r="I13" s="385" t="s">
        <v>305</v>
      </c>
      <c r="J13" s="547" t="s">
        <v>319</v>
      </c>
      <c r="K13" s="536" t="s">
        <v>38</v>
      </c>
      <c r="L13" s="392" t="s">
        <v>321</v>
      </c>
      <c r="M13" s="392" t="s">
        <v>39</v>
      </c>
      <c r="N13" s="34" t="s">
        <v>8</v>
      </c>
      <c r="O13" s="427">
        <f>P13*0.1</f>
        <v>473.40000000000003</v>
      </c>
      <c r="P13" s="16">
        <v>4734</v>
      </c>
      <c r="Q13" s="392" t="s">
        <v>320</v>
      </c>
      <c r="R13" s="520" t="s">
        <v>336</v>
      </c>
      <c r="S13" s="3"/>
    </row>
    <row r="14" spans="1:19" ht="253.5" customHeight="1" x14ac:dyDescent="0.25">
      <c r="A14" s="563"/>
      <c r="B14" s="567"/>
      <c r="C14" s="553"/>
      <c r="D14" s="579"/>
      <c r="E14" s="571"/>
      <c r="F14" s="569"/>
      <c r="G14" s="553"/>
      <c r="H14" s="384" t="s">
        <v>108</v>
      </c>
      <c r="I14" s="385" t="s">
        <v>306</v>
      </c>
      <c r="J14" s="548"/>
      <c r="K14" s="536"/>
      <c r="L14" s="392" t="s">
        <v>322</v>
      </c>
      <c r="M14" s="392" t="s">
        <v>39</v>
      </c>
      <c r="N14" s="34" t="s">
        <v>8</v>
      </c>
      <c r="O14" s="427">
        <f>P14*0.1</f>
        <v>52.6</v>
      </c>
      <c r="P14" s="16">
        <v>526</v>
      </c>
      <c r="Q14" s="392" t="s">
        <v>320</v>
      </c>
      <c r="R14" s="521"/>
      <c r="S14" s="3"/>
    </row>
    <row r="15" spans="1:19" ht="129" customHeight="1" x14ac:dyDescent="0.25">
      <c r="A15" s="563"/>
      <c r="B15" s="567"/>
      <c r="C15" s="553"/>
      <c r="D15" s="579"/>
      <c r="E15" s="571"/>
      <c r="F15" s="569"/>
      <c r="G15" s="553"/>
      <c r="H15" s="384" t="s">
        <v>113</v>
      </c>
      <c r="I15" s="385" t="s">
        <v>312</v>
      </c>
      <c r="J15" s="548"/>
      <c r="K15" s="536"/>
      <c r="L15" s="390" t="s">
        <v>321</v>
      </c>
      <c r="M15" s="392" t="s">
        <v>39</v>
      </c>
      <c r="N15" s="34" t="s">
        <v>42</v>
      </c>
      <c r="O15" s="427" t="s">
        <v>8</v>
      </c>
      <c r="P15" s="16">
        <f>P13*0.9</f>
        <v>4260.6000000000004</v>
      </c>
      <c r="Q15" s="392" t="s">
        <v>320</v>
      </c>
      <c r="R15" s="439" t="s">
        <v>327</v>
      </c>
      <c r="S15" s="3"/>
    </row>
    <row r="16" spans="1:19" ht="135" customHeight="1" x14ac:dyDescent="0.25">
      <c r="A16" s="563"/>
      <c r="B16" s="567"/>
      <c r="C16" s="554"/>
      <c r="D16" s="579"/>
      <c r="E16" s="571"/>
      <c r="F16" s="569"/>
      <c r="G16" s="554"/>
      <c r="H16" s="384" t="s">
        <v>114</v>
      </c>
      <c r="I16" s="421" t="s">
        <v>313</v>
      </c>
      <c r="J16" s="548"/>
      <c r="K16" s="536"/>
      <c r="L16" s="392" t="s">
        <v>322</v>
      </c>
      <c r="M16" s="392" t="s">
        <v>39</v>
      </c>
      <c r="N16" s="34" t="s">
        <v>42</v>
      </c>
      <c r="O16" s="427" t="s">
        <v>8</v>
      </c>
      <c r="P16" s="16">
        <f>P14*0.9</f>
        <v>473.40000000000003</v>
      </c>
      <c r="Q16" s="392" t="s">
        <v>320</v>
      </c>
      <c r="R16" s="439" t="s">
        <v>328</v>
      </c>
      <c r="S16" s="3"/>
    </row>
    <row r="17" spans="1:19" ht="95.25" customHeight="1" x14ac:dyDescent="0.25">
      <c r="A17" s="563"/>
      <c r="B17" s="582">
        <f>F17</f>
        <v>485333.33333333337</v>
      </c>
      <c r="C17" s="552">
        <v>291200</v>
      </c>
      <c r="D17" s="579"/>
      <c r="E17" s="550">
        <f>C17/0.6*0.4</f>
        <v>194133.33333333337</v>
      </c>
      <c r="F17" s="541">
        <f>C17+E17</f>
        <v>485333.33333333337</v>
      </c>
      <c r="G17" s="541">
        <f>F17</f>
        <v>485333.33333333337</v>
      </c>
      <c r="H17" s="384" t="s">
        <v>107</v>
      </c>
      <c r="I17" s="385" t="s">
        <v>305</v>
      </c>
      <c r="J17" s="544" t="s">
        <v>34</v>
      </c>
      <c r="K17" s="527" t="s">
        <v>38</v>
      </c>
      <c r="L17" s="390" t="s">
        <v>321</v>
      </c>
      <c r="M17" s="392" t="s">
        <v>39</v>
      </c>
      <c r="N17" s="34" t="s">
        <v>8</v>
      </c>
      <c r="O17" s="427">
        <f>P17*0.1</f>
        <v>41.400000000000006</v>
      </c>
      <c r="P17" s="16">
        <v>414</v>
      </c>
      <c r="Q17" s="392" t="s">
        <v>320</v>
      </c>
      <c r="R17" s="522" t="s">
        <v>337</v>
      </c>
      <c r="S17" s="3"/>
    </row>
    <row r="18" spans="1:19" ht="264.75" customHeight="1" x14ac:dyDescent="0.25">
      <c r="A18" s="563"/>
      <c r="B18" s="567"/>
      <c r="C18" s="553"/>
      <c r="D18" s="579"/>
      <c r="E18" s="550"/>
      <c r="F18" s="541"/>
      <c r="G18" s="541"/>
      <c r="H18" s="384" t="s">
        <v>108</v>
      </c>
      <c r="I18" s="385" t="s">
        <v>306</v>
      </c>
      <c r="J18" s="545"/>
      <c r="K18" s="527"/>
      <c r="L18" s="392" t="s">
        <v>322</v>
      </c>
      <c r="M18" s="392" t="s">
        <v>39</v>
      </c>
      <c r="N18" s="34" t="s">
        <v>8</v>
      </c>
      <c r="O18" s="427">
        <f>P18*0.1</f>
        <v>4.6000000000000005</v>
      </c>
      <c r="P18" s="16">
        <v>46</v>
      </c>
      <c r="Q18" s="392" t="s">
        <v>320</v>
      </c>
      <c r="R18" s="523"/>
      <c r="S18" s="3"/>
    </row>
    <row r="19" spans="1:19" ht="126.75" customHeight="1" x14ac:dyDescent="0.25">
      <c r="A19" s="563"/>
      <c r="B19" s="567"/>
      <c r="C19" s="553"/>
      <c r="D19" s="579"/>
      <c r="E19" s="550"/>
      <c r="F19" s="541"/>
      <c r="G19" s="541"/>
      <c r="H19" s="384" t="s">
        <v>113</v>
      </c>
      <c r="I19" s="385" t="s">
        <v>312</v>
      </c>
      <c r="J19" s="545"/>
      <c r="K19" s="527"/>
      <c r="L19" s="392" t="s">
        <v>321</v>
      </c>
      <c r="M19" s="392" t="s">
        <v>39</v>
      </c>
      <c r="N19" s="34" t="s">
        <v>42</v>
      </c>
      <c r="O19" s="427" t="s">
        <v>8</v>
      </c>
      <c r="P19" s="16">
        <f>P17*0.9</f>
        <v>372.6</v>
      </c>
      <c r="Q19" s="392" t="s">
        <v>320</v>
      </c>
      <c r="R19" s="439" t="s">
        <v>329</v>
      </c>
      <c r="S19" s="3"/>
    </row>
    <row r="20" spans="1:19" ht="129.75" customHeight="1" x14ac:dyDescent="0.25">
      <c r="A20" s="563"/>
      <c r="B20" s="583"/>
      <c r="C20" s="554"/>
      <c r="D20" s="580"/>
      <c r="E20" s="550"/>
      <c r="F20" s="541"/>
      <c r="G20" s="541"/>
      <c r="H20" s="384" t="s">
        <v>114</v>
      </c>
      <c r="I20" s="421" t="s">
        <v>313</v>
      </c>
      <c r="J20" s="551"/>
      <c r="K20" s="532"/>
      <c r="L20" s="392" t="s">
        <v>322</v>
      </c>
      <c r="M20" s="392" t="s">
        <v>39</v>
      </c>
      <c r="N20" s="34" t="s">
        <v>42</v>
      </c>
      <c r="O20" s="427" t="s">
        <v>8</v>
      </c>
      <c r="P20" s="16">
        <f>P18*0.9</f>
        <v>41.4</v>
      </c>
      <c r="Q20" s="392" t="s">
        <v>320</v>
      </c>
      <c r="R20" s="439" t="s">
        <v>330</v>
      </c>
      <c r="S20" s="3"/>
    </row>
    <row r="21" spans="1:19" ht="81" customHeight="1" x14ac:dyDescent="0.25">
      <c r="A21" s="563"/>
      <c r="B21" s="550">
        <f>F21</f>
        <v>6275484.2105263155</v>
      </c>
      <c r="C21" s="541">
        <v>5961710</v>
      </c>
      <c r="D21" s="542" t="s">
        <v>317</v>
      </c>
      <c r="E21" s="550">
        <f>C21/0.95*0.05</f>
        <v>313774.21052631584</v>
      </c>
      <c r="F21" s="541">
        <f>C21+E21</f>
        <v>6275484.2105263155</v>
      </c>
      <c r="G21" s="541">
        <f>F21</f>
        <v>6275484.2105263155</v>
      </c>
      <c r="H21" s="384" t="s">
        <v>107</v>
      </c>
      <c r="I21" s="385" t="s">
        <v>305</v>
      </c>
      <c r="J21" s="547" t="s">
        <v>319</v>
      </c>
      <c r="K21" s="526" t="s">
        <v>38</v>
      </c>
      <c r="L21" s="390" t="s">
        <v>321</v>
      </c>
      <c r="M21" s="392" t="s">
        <v>39</v>
      </c>
      <c r="N21" s="34" t="s">
        <v>8</v>
      </c>
      <c r="O21" s="16">
        <f>P21*0.1</f>
        <v>526.5</v>
      </c>
      <c r="P21" s="16">
        <v>5265</v>
      </c>
      <c r="Q21" s="392" t="s">
        <v>320</v>
      </c>
      <c r="R21" s="520" t="s">
        <v>338</v>
      </c>
      <c r="S21" s="3"/>
    </row>
    <row r="22" spans="1:19" ht="305.25" customHeight="1" x14ac:dyDescent="0.25">
      <c r="A22" s="563"/>
      <c r="B22" s="550"/>
      <c r="C22" s="541"/>
      <c r="D22" s="542"/>
      <c r="E22" s="550"/>
      <c r="F22" s="541"/>
      <c r="G22" s="541"/>
      <c r="H22" s="384" t="s">
        <v>108</v>
      </c>
      <c r="I22" s="385" t="s">
        <v>306</v>
      </c>
      <c r="J22" s="548"/>
      <c r="K22" s="527"/>
      <c r="L22" s="392" t="s">
        <v>322</v>
      </c>
      <c r="M22" s="392" t="s">
        <v>39</v>
      </c>
      <c r="N22" s="34" t="s">
        <v>8</v>
      </c>
      <c r="O22" s="16">
        <f>P22*0.1</f>
        <v>27.700000000000003</v>
      </c>
      <c r="P22" s="16">
        <v>277</v>
      </c>
      <c r="Q22" s="392" t="s">
        <v>320</v>
      </c>
      <c r="R22" s="521"/>
      <c r="S22" s="3"/>
    </row>
    <row r="23" spans="1:19" ht="136.5" customHeight="1" x14ac:dyDescent="0.25">
      <c r="A23" s="563"/>
      <c r="B23" s="550"/>
      <c r="C23" s="541"/>
      <c r="D23" s="542"/>
      <c r="E23" s="550"/>
      <c r="F23" s="541"/>
      <c r="G23" s="541"/>
      <c r="H23" s="384" t="s">
        <v>113</v>
      </c>
      <c r="I23" s="385" t="s">
        <v>312</v>
      </c>
      <c r="J23" s="548"/>
      <c r="K23" s="527"/>
      <c r="L23" s="392" t="s">
        <v>321</v>
      </c>
      <c r="M23" s="392" t="s">
        <v>39</v>
      </c>
      <c r="N23" s="34" t="s">
        <v>42</v>
      </c>
      <c r="O23" s="16" t="s">
        <v>8</v>
      </c>
      <c r="P23" s="16">
        <f>P21*0.9</f>
        <v>4738.5</v>
      </c>
      <c r="Q23" s="34" t="s">
        <v>320</v>
      </c>
      <c r="R23" s="439" t="s">
        <v>331</v>
      </c>
      <c r="S23" s="3"/>
    </row>
    <row r="24" spans="1:19" ht="140.25" customHeight="1" x14ac:dyDescent="0.25">
      <c r="A24" s="563"/>
      <c r="B24" s="550"/>
      <c r="C24" s="541"/>
      <c r="D24" s="542"/>
      <c r="E24" s="550"/>
      <c r="F24" s="541"/>
      <c r="G24" s="541"/>
      <c r="H24" s="384" t="s">
        <v>114</v>
      </c>
      <c r="I24" s="421" t="s">
        <v>313</v>
      </c>
      <c r="J24" s="548"/>
      <c r="K24" s="527"/>
      <c r="L24" s="392" t="s">
        <v>322</v>
      </c>
      <c r="M24" s="392" t="s">
        <v>39</v>
      </c>
      <c r="N24" s="34" t="s">
        <v>42</v>
      </c>
      <c r="O24" s="16" t="s">
        <v>8</v>
      </c>
      <c r="P24" s="16">
        <f>P22*0.9</f>
        <v>249.3</v>
      </c>
      <c r="Q24" s="34" t="s">
        <v>320</v>
      </c>
      <c r="R24" s="439" t="s">
        <v>339</v>
      </c>
      <c r="S24" s="3"/>
    </row>
    <row r="25" spans="1:19" ht="130.9" customHeight="1" x14ac:dyDescent="0.25">
      <c r="A25" s="563"/>
      <c r="B25" s="571">
        <f>F25</f>
        <v>484166.66666666669</v>
      </c>
      <c r="C25" s="541">
        <v>290500</v>
      </c>
      <c r="D25" s="542"/>
      <c r="E25" s="550">
        <f>C25/0.6*0.4</f>
        <v>193666.66666666669</v>
      </c>
      <c r="F25" s="541">
        <f>C25+E25</f>
        <v>484166.66666666669</v>
      </c>
      <c r="G25" s="541">
        <f>F25</f>
        <v>484166.66666666669</v>
      </c>
      <c r="H25" s="384" t="s">
        <v>107</v>
      </c>
      <c r="I25" s="421" t="s">
        <v>305</v>
      </c>
      <c r="J25" s="544" t="s">
        <v>34</v>
      </c>
      <c r="K25" s="527"/>
      <c r="L25" s="392" t="s">
        <v>321</v>
      </c>
      <c r="M25" s="392" t="s">
        <v>39</v>
      </c>
      <c r="N25" s="34" t="s">
        <v>8</v>
      </c>
      <c r="O25" s="16">
        <f>P25*0.1</f>
        <v>28.400000000000002</v>
      </c>
      <c r="P25" s="16">
        <v>284</v>
      </c>
      <c r="Q25" s="392" t="s">
        <v>320</v>
      </c>
      <c r="R25" s="522" t="s">
        <v>340</v>
      </c>
      <c r="S25" s="3"/>
    </row>
    <row r="26" spans="1:19" ht="240" customHeight="1" x14ac:dyDescent="0.25">
      <c r="A26" s="563"/>
      <c r="B26" s="571"/>
      <c r="C26" s="541"/>
      <c r="D26" s="542"/>
      <c r="E26" s="550"/>
      <c r="F26" s="541"/>
      <c r="G26" s="541"/>
      <c r="H26" s="384" t="s">
        <v>108</v>
      </c>
      <c r="I26" s="385" t="s">
        <v>306</v>
      </c>
      <c r="J26" s="545"/>
      <c r="K26" s="527"/>
      <c r="L26" s="392" t="s">
        <v>322</v>
      </c>
      <c r="M26" s="392" t="s">
        <v>39</v>
      </c>
      <c r="N26" s="34" t="s">
        <v>8</v>
      </c>
      <c r="O26" s="16">
        <f>P26*0.1</f>
        <v>3.1</v>
      </c>
      <c r="P26" s="16">
        <v>31</v>
      </c>
      <c r="Q26" s="392" t="s">
        <v>320</v>
      </c>
      <c r="R26" s="523"/>
      <c r="S26" s="3"/>
    </row>
    <row r="27" spans="1:19" ht="117" customHeight="1" x14ac:dyDescent="0.25">
      <c r="A27" s="563"/>
      <c r="B27" s="571"/>
      <c r="C27" s="541"/>
      <c r="D27" s="542"/>
      <c r="E27" s="550"/>
      <c r="F27" s="541"/>
      <c r="G27" s="541"/>
      <c r="H27" s="384" t="s">
        <v>113</v>
      </c>
      <c r="I27" s="385" t="s">
        <v>312</v>
      </c>
      <c r="J27" s="545"/>
      <c r="K27" s="527"/>
      <c r="L27" s="392" t="s">
        <v>321</v>
      </c>
      <c r="M27" s="392" t="s">
        <v>39</v>
      </c>
      <c r="N27" s="34" t="s">
        <v>42</v>
      </c>
      <c r="O27" s="427" t="s">
        <v>8</v>
      </c>
      <c r="P27" s="16">
        <f>ROUND(P25*0.9,0)</f>
        <v>256</v>
      </c>
      <c r="Q27" s="392" t="s">
        <v>320</v>
      </c>
      <c r="R27" s="439" t="s">
        <v>332</v>
      </c>
      <c r="S27" s="3"/>
    </row>
    <row r="28" spans="1:19" ht="140.25" customHeight="1" thickBot="1" x14ac:dyDescent="0.3">
      <c r="A28" s="564"/>
      <c r="B28" s="572"/>
      <c r="C28" s="555"/>
      <c r="D28" s="543"/>
      <c r="E28" s="574"/>
      <c r="F28" s="555"/>
      <c r="G28" s="555"/>
      <c r="H28" s="393" t="s">
        <v>114</v>
      </c>
      <c r="I28" s="394" t="s">
        <v>313</v>
      </c>
      <c r="J28" s="546"/>
      <c r="K28" s="528"/>
      <c r="L28" s="431" t="s">
        <v>322</v>
      </c>
      <c r="M28" s="431" t="s">
        <v>39</v>
      </c>
      <c r="N28" s="97" t="s">
        <v>42</v>
      </c>
      <c r="O28" s="428" t="s">
        <v>8</v>
      </c>
      <c r="P28" s="69">
        <f>ROUND(P26*0.9,0)</f>
        <v>28</v>
      </c>
      <c r="Q28" s="431" t="s">
        <v>320</v>
      </c>
      <c r="R28" s="440" t="s">
        <v>333</v>
      </c>
      <c r="S28" s="442"/>
    </row>
    <row r="29" spans="1:19" x14ac:dyDescent="0.25">
      <c r="A29" s="54"/>
      <c r="B29" s="55" t="s">
        <v>314</v>
      </c>
      <c r="C29" s="432">
        <f>C9+C17+C25</f>
        <v>1169901</v>
      </c>
      <c r="D29" s="140"/>
      <c r="E29" s="433">
        <f>E9+E17+E25</f>
        <v>779935</v>
      </c>
      <c r="F29" s="433">
        <f>F9+F17+F25</f>
        <v>1949836.0000000002</v>
      </c>
      <c r="G29" s="433">
        <f>G9+G17+G25</f>
        <v>1949836.0000000002</v>
      </c>
      <c r="H29" s="21"/>
      <c r="I29" s="30"/>
      <c r="J29" s="21"/>
      <c r="K29" s="22"/>
      <c r="L29" s="21"/>
      <c r="M29" s="21">
        <f>SUM(M5:M28)</f>
        <v>0</v>
      </c>
      <c r="N29" s="419"/>
      <c r="O29" s="395">
        <f>SUM(O5:O28)</f>
        <v>1625.7</v>
      </c>
      <c r="P29" s="395">
        <f>SUM(P5:P28)</f>
        <v>30888.799999999999</v>
      </c>
      <c r="Q29" s="21"/>
    </row>
    <row r="30" spans="1:19" x14ac:dyDescent="0.25">
      <c r="B30" s="381" t="s">
        <v>315</v>
      </c>
      <c r="C30" s="434">
        <f>C5+C13+C21</f>
        <v>23830101</v>
      </c>
      <c r="D30" s="435"/>
      <c r="E30" s="435">
        <f>E5+E13+E21</f>
        <v>1254215.8421052634</v>
      </c>
      <c r="F30" s="435">
        <f>F5+F13+F21</f>
        <v>25084316.842105262</v>
      </c>
      <c r="G30" s="435">
        <f>G5+G13+G21</f>
        <v>25084316.842105262</v>
      </c>
      <c r="I30" s="17"/>
    </row>
    <row r="31" spans="1:19" x14ac:dyDescent="0.25">
      <c r="B31" s="436">
        <f>B5+B9+B13+B17+B21+B25</f>
        <v>27034152.842105258</v>
      </c>
      <c r="C31" s="435">
        <f>C5+C9+C13+C17+C21+C25</f>
        <v>25000002</v>
      </c>
      <c r="D31" s="435"/>
      <c r="E31" s="435"/>
      <c r="F31" s="435"/>
      <c r="G31" s="435">
        <f>G29+G30</f>
        <v>27034152.842105262</v>
      </c>
      <c r="I31" s="17"/>
    </row>
    <row r="32" spans="1:19" x14ac:dyDescent="0.25">
      <c r="B32" s="381"/>
      <c r="C32" s="396"/>
      <c r="D32" s="396"/>
      <c r="E32" s="399"/>
      <c r="F32" s="396"/>
      <c r="G32" s="396"/>
      <c r="I32" s="17"/>
    </row>
    <row r="33" spans="1:10" ht="18.75" x14ac:dyDescent="0.3">
      <c r="B33" s="381"/>
      <c r="C33" s="396"/>
      <c r="D33" s="396"/>
      <c r="E33" s="400"/>
      <c r="F33" s="396"/>
      <c r="G33" s="396"/>
      <c r="I33" s="17"/>
    </row>
    <row r="34" spans="1:10" x14ac:dyDescent="0.25">
      <c r="I34" s="17"/>
    </row>
    <row r="35" spans="1:10" ht="30.75" thickBot="1" x14ac:dyDescent="0.3">
      <c r="A35" s="387" t="s">
        <v>307</v>
      </c>
      <c r="B35" s="387" t="s">
        <v>308</v>
      </c>
      <c r="C35" s="387" t="s">
        <v>309</v>
      </c>
      <c r="D35" s="387" t="s">
        <v>310</v>
      </c>
      <c r="E35" s="387" t="s">
        <v>28</v>
      </c>
      <c r="F35" s="388" t="s">
        <v>35</v>
      </c>
      <c r="G35" s="387" t="s">
        <v>311</v>
      </c>
      <c r="H35" s="388" t="s">
        <v>26</v>
      </c>
      <c r="I35" s="388" t="s">
        <v>27</v>
      </c>
    </row>
    <row r="36" spans="1:10" ht="105" x14ac:dyDescent="0.25">
      <c r="A36" s="403" t="s">
        <v>107</v>
      </c>
      <c r="B36" s="36" t="s">
        <v>305</v>
      </c>
      <c r="C36" s="27" t="s">
        <v>53</v>
      </c>
      <c r="D36" s="404">
        <f>M5+M13+M21</f>
        <v>0</v>
      </c>
      <c r="E36" s="405" t="s">
        <v>41</v>
      </c>
      <c r="F36" s="401" t="s">
        <v>38</v>
      </c>
      <c r="G36" s="406" t="s">
        <v>8</v>
      </c>
      <c r="H36" s="407">
        <f>O5+O13+O21</f>
        <v>1385.1000000000001</v>
      </c>
      <c r="I36" s="408">
        <f>P5+P13+P21</f>
        <v>13851</v>
      </c>
    </row>
    <row r="37" spans="1:10" ht="105" x14ac:dyDescent="0.25">
      <c r="A37" s="409" t="s">
        <v>107</v>
      </c>
      <c r="B37" s="37" t="s">
        <v>305</v>
      </c>
      <c r="C37" s="34" t="s">
        <v>53</v>
      </c>
      <c r="D37" s="98">
        <f>M9+M17+M25</f>
        <v>0</v>
      </c>
      <c r="E37" s="398" t="s">
        <v>34</v>
      </c>
      <c r="F37" s="78" t="s">
        <v>38</v>
      </c>
      <c r="G37" s="91" t="s">
        <v>8</v>
      </c>
      <c r="H37" s="31">
        <f>O9+O17+O25</f>
        <v>105.80000000000001</v>
      </c>
      <c r="I37" s="410">
        <f>P9+P17+P25</f>
        <v>1058</v>
      </c>
    </row>
    <row r="38" spans="1:10" ht="105" x14ac:dyDescent="0.25">
      <c r="A38" s="409" t="s">
        <v>108</v>
      </c>
      <c r="B38" s="37" t="s">
        <v>306</v>
      </c>
      <c r="C38" s="34" t="s">
        <v>33</v>
      </c>
      <c r="D38" s="98">
        <f>M6+M14+M22</f>
        <v>0</v>
      </c>
      <c r="E38" s="398" t="s">
        <v>41</v>
      </c>
      <c r="F38" s="78" t="s">
        <v>38</v>
      </c>
      <c r="G38" s="91" t="s">
        <v>8</v>
      </c>
      <c r="H38" s="31">
        <f>O6+O14+O22</f>
        <v>123.10000000000001</v>
      </c>
      <c r="I38" s="410">
        <f>P6+P14+P22</f>
        <v>1231</v>
      </c>
    </row>
    <row r="39" spans="1:10" ht="105" x14ac:dyDescent="0.25">
      <c r="A39" s="409" t="s">
        <v>108</v>
      </c>
      <c r="B39" s="37" t="s">
        <v>306</v>
      </c>
      <c r="C39" s="34" t="s">
        <v>33</v>
      </c>
      <c r="D39" s="98">
        <f>M10+M18+M26</f>
        <v>0</v>
      </c>
      <c r="E39" s="398" t="s">
        <v>34</v>
      </c>
      <c r="F39" s="78" t="s">
        <v>38</v>
      </c>
      <c r="G39" s="91" t="s">
        <v>8</v>
      </c>
      <c r="H39" s="31">
        <f>O10+O18+O26</f>
        <v>11.700000000000001</v>
      </c>
      <c r="I39" s="410">
        <f>P10+P18+P26</f>
        <v>117</v>
      </c>
    </row>
    <row r="40" spans="1:10" ht="135" x14ac:dyDescent="0.25">
      <c r="A40" s="409" t="s">
        <v>113</v>
      </c>
      <c r="B40" s="37" t="s">
        <v>312</v>
      </c>
      <c r="C40" s="37" t="s">
        <v>53</v>
      </c>
      <c r="D40" s="397">
        <f>M7+M15+M23</f>
        <v>0</v>
      </c>
      <c r="E40" s="398" t="s">
        <v>41</v>
      </c>
      <c r="F40" s="78" t="s">
        <v>38</v>
      </c>
      <c r="G40" s="92" t="str">
        <f>N7</f>
        <v>2021</v>
      </c>
      <c r="H40" s="78" t="s">
        <v>8</v>
      </c>
      <c r="I40" s="410">
        <f>P7+P15+P23</f>
        <v>12465.900000000001</v>
      </c>
      <c r="J40" s="402"/>
    </row>
    <row r="41" spans="1:10" ht="135" x14ac:dyDescent="0.25">
      <c r="A41" s="409" t="s">
        <v>113</v>
      </c>
      <c r="B41" s="37" t="s">
        <v>312</v>
      </c>
      <c r="C41" s="37" t="s">
        <v>53</v>
      </c>
      <c r="D41" s="397">
        <f>M11+M19+M27</f>
        <v>0</v>
      </c>
      <c r="E41" s="398" t="s">
        <v>34</v>
      </c>
      <c r="F41" s="78" t="s">
        <v>38</v>
      </c>
      <c r="G41" s="92" t="str">
        <f>N11</f>
        <v>2021</v>
      </c>
      <c r="H41" s="78" t="s">
        <v>8</v>
      </c>
      <c r="I41" s="410">
        <f>P11+P19+P27</f>
        <v>952.6</v>
      </c>
    </row>
    <row r="42" spans="1:10" ht="135" x14ac:dyDescent="0.25">
      <c r="A42" s="409" t="s">
        <v>114</v>
      </c>
      <c r="B42" s="37" t="s">
        <v>313</v>
      </c>
      <c r="C42" s="25" t="s">
        <v>33</v>
      </c>
      <c r="D42" s="397">
        <f>M8+M16+M24</f>
        <v>0</v>
      </c>
      <c r="E42" s="398" t="s">
        <v>41</v>
      </c>
      <c r="F42" s="80" t="s">
        <v>38</v>
      </c>
      <c r="G42" s="92" t="str">
        <f>N8</f>
        <v>2021</v>
      </c>
      <c r="H42" s="78" t="s">
        <v>8</v>
      </c>
      <c r="I42" s="410">
        <f>P8+P16+P24</f>
        <v>1107.9000000000001</v>
      </c>
    </row>
    <row r="43" spans="1:10" ht="135.75" thickBot="1" x14ac:dyDescent="0.3">
      <c r="A43" s="411" t="s">
        <v>114</v>
      </c>
      <c r="B43" s="38" t="s">
        <v>313</v>
      </c>
      <c r="C43" s="412" t="s">
        <v>33</v>
      </c>
      <c r="D43" s="413">
        <f>M12+M20+M28</f>
        <v>0</v>
      </c>
      <c r="E43" s="414" t="s">
        <v>34</v>
      </c>
      <c r="F43" s="415" t="s">
        <v>38</v>
      </c>
      <c r="G43" s="437" t="str">
        <f>N12</f>
        <v>2021</v>
      </c>
      <c r="H43" s="416" t="s">
        <v>8</v>
      </c>
      <c r="I43" s="417">
        <f>P12+P20+P28</f>
        <v>105.4</v>
      </c>
    </row>
    <row r="44" spans="1:10" x14ac:dyDescent="0.25">
      <c r="D44" s="17"/>
      <c r="H44" s="87">
        <f>SUM(H36:H43)</f>
        <v>1625.7</v>
      </c>
      <c r="I44" s="87">
        <f>SUM(I36:I43)</f>
        <v>30888.800000000003</v>
      </c>
      <c r="J44" t="b">
        <f>I44=P29</f>
        <v>1</v>
      </c>
    </row>
  </sheetData>
  <mergeCells count="67">
    <mergeCell ref="B3:B4"/>
    <mergeCell ref="B9:B12"/>
    <mergeCell ref="B13:B16"/>
    <mergeCell ref="B17:B20"/>
    <mergeCell ref="B5:B8"/>
    <mergeCell ref="C5:C8"/>
    <mergeCell ref="C13:C16"/>
    <mergeCell ref="D13:D20"/>
    <mergeCell ref="G5:G8"/>
    <mergeCell ref="F13:F16"/>
    <mergeCell ref="C9:C12"/>
    <mergeCell ref="E9:E12"/>
    <mergeCell ref="F9:F12"/>
    <mergeCell ref="G9:G12"/>
    <mergeCell ref="E13:E16"/>
    <mergeCell ref="A3:A4"/>
    <mergeCell ref="C3:C4"/>
    <mergeCell ref="G3:G4"/>
    <mergeCell ref="A5:A28"/>
    <mergeCell ref="D5:D12"/>
    <mergeCell ref="E5:E8"/>
    <mergeCell ref="F5:F8"/>
    <mergeCell ref="B21:B24"/>
    <mergeCell ref="B25:B28"/>
    <mergeCell ref="D3:F3"/>
    <mergeCell ref="E25:E28"/>
    <mergeCell ref="F25:F28"/>
    <mergeCell ref="G25:G28"/>
    <mergeCell ref="E21:E24"/>
    <mergeCell ref="F21:F24"/>
    <mergeCell ref="G21:G24"/>
    <mergeCell ref="H3:I3"/>
    <mergeCell ref="J3:J4"/>
    <mergeCell ref="C21:C24"/>
    <mergeCell ref="D21:D28"/>
    <mergeCell ref="J25:J28"/>
    <mergeCell ref="J21:J24"/>
    <mergeCell ref="J5:J8"/>
    <mergeCell ref="J13:J16"/>
    <mergeCell ref="E17:E20"/>
    <mergeCell ref="F17:F20"/>
    <mergeCell ref="G17:G20"/>
    <mergeCell ref="J17:J20"/>
    <mergeCell ref="C17:C20"/>
    <mergeCell ref="G13:G16"/>
    <mergeCell ref="C25:C28"/>
    <mergeCell ref="J9:J12"/>
    <mergeCell ref="R25:R26"/>
    <mergeCell ref="Q3:Q4"/>
    <mergeCell ref="K21:K28"/>
    <mergeCell ref="M3:N3"/>
    <mergeCell ref="O3:O4"/>
    <mergeCell ref="L3:L4"/>
    <mergeCell ref="R5:R6"/>
    <mergeCell ref="R13:R14"/>
    <mergeCell ref="R17:R18"/>
    <mergeCell ref="K17:K20"/>
    <mergeCell ref="R3:R4"/>
    <mergeCell ref="K5:K8"/>
    <mergeCell ref="K9:K12"/>
    <mergeCell ref="K13:K16"/>
    <mergeCell ref="P3:P4"/>
    <mergeCell ref="S3:S4"/>
    <mergeCell ref="S5:S6"/>
    <mergeCell ref="K3:K4"/>
    <mergeCell ref="R9:R10"/>
    <mergeCell ref="R21:R2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2"/>
  <sheetViews>
    <sheetView topLeftCell="B31" zoomScale="55" zoomScaleNormal="55" workbookViewId="0">
      <selection activeCell="I38" sqref="I38"/>
    </sheetView>
  </sheetViews>
  <sheetFormatPr defaultRowHeight="15" x14ac:dyDescent="0.25"/>
  <cols>
    <col min="1" max="1" width="18.7109375" customWidth="1"/>
    <col min="2" max="2" width="18.28515625" customWidth="1"/>
    <col min="3" max="3" width="19" customWidth="1"/>
    <col min="4" max="4" width="17.28515625" customWidth="1"/>
    <col min="5" max="5" width="15.28515625" customWidth="1"/>
    <col min="6" max="6" width="17" customWidth="1"/>
    <col min="7" max="7" width="14.85546875" customWidth="1"/>
    <col min="8" max="8" width="20.5703125" customWidth="1"/>
    <col min="9" max="9" width="35.42578125" customWidth="1"/>
    <col min="10" max="10" width="15" customWidth="1"/>
    <col min="11" max="12" width="12.5703125" customWidth="1"/>
    <col min="13" max="13" width="13.85546875" customWidth="1"/>
    <col min="14" max="14" width="12.7109375" customWidth="1"/>
    <col min="15" max="15" width="12" customWidth="1"/>
    <col min="16" max="16" width="15" customWidth="1"/>
    <col min="17" max="17" width="29.5703125" customWidth="1"/>
    <col min="18" max="18" width="78.7109375" customWidth="1"/>
    <col min="19" max="19" width="62" customWidth="1"/>
    <col min="21" max="21" width="8.85546875" style="17"/>
    <col min="23" max="23" width="58.28515625" style="372" customWidth="1"/>
  </cols>
  <sheetData>
    <row r="1" spans="1:35" x14ac:dyDescent="0.25">
      <c r="A1" s="9" t="s">
        <v>11</v>
      </c>
      <c r="H1" s="29" t="s">
        <v>74</v>
      </c>
    </row>
    <row r="2" spans="1:35" x14ac:dyDescent="0.25">
      <c r="A2" t="s">
        <v>55</v>
      </c>
    </row>
    <row r="3" spans="1:35" x14ac:dyDescent="0.25">
      <c r="A3" t="s">
        <v>56</v>
      </c>
      <c r="F3" s="17"/>
      <c r="S3" s="138"/>
      <c r="T3" s="139"/>
      <c r="U3" s="319"/>
      <c r="V3" s="139"/>
      <c r="W3" s="140"/>
      <c r="X3" s="138"/>
      <c r="Y3" s="141"/>
    </row>
    <row r="4" spans="1:35" x14ac:dyDescent="0.25">
      <c r="A4" t="s">
        <v>57</v>
      </c>
      <c r="S4" s="142"/>
      <c r="T4" s="143"/>
      <c r="U4" s="58"/>
      <c r="V4" s="142"/>
      <c r="W4" s="373"/>
      <c r="X4" s="138"/>
      <c r="Y4" s="144"/>
    </row>
    <row r="5" spans="1:35" ht="15.75" thickBot="1" x14ac:dyDescent="0.3">
      <c r="A5" t="s">
        <v>32</v>
      </c>
    </row>
    <row r="6" spans="1:35" ht="15" customHeight="1" x14ac:dyDescent="0.25">
      <c r="A6" s="584" t="s">
        <v>22</v>
      </c>
      <c r="B6" s="524" t="s">
        <v>75</v>
      </c>
      <c r="C6" s="558" t="s">
        <v>76</v>
      </c>
      <c r="D6" s="596" t="s">
        <v>4</v>
      </c>
      <c r="E6" s="597"/>
      <c r="F6" s="597"/>
      <c r="G6" s="584" t="s">
        <v>17</v>
      </c>
      <c r="H6" s="603" t="s">
        <v>18</v>
      </c>
      <c r="I6" s="603"/>
      <c r="J6" s="604" t="s">
        <v>28</v>
      </c>
      <c r="K6" s="606" t="s">
        <v>35</v>
      </c>
      <c r="L6" s="604" t="s">
        <v>29</v>
      </c>
      <c r="M6" s="597" t="s">
        <v>24</v>
      </c>
      <c r="N6" s="605"/>
      <c r="O6" s="604" t="s">
        <v>30</v>
      </c>
      <c r="P6" s="604" t="s">
        <v>45</v>
      </c>
      <c r="Q6" s="604" t="s">
        <v>36</v>
      </c>
      <c r="R6" s="609" t="s">
        <v>37</v>
      </c>
    </row>
    <row r="7" spans="1:35" ht="30.75" thickBot="1" x14ac:dyDescent="0.3">
      <c r="A7" s="585"/>
      <c r="B7" s="525"/>
      <c r="C7" s="559"/>
      <c r="D7" s="1" t="s">
        <v>7</v>
      </c>
      <c r="E7" s="6" t="s">
        <v>16</v>
      </c>
      <c r="F7" s="5" t="s">
        <v>23</v>
      </c>
      <c r="G7" s="585"/>
      <c r="H7" s="1" t="s">
        <v>19</v>
      </c>
      <c r="I7" s="2" t="s">
        <v>20</v>
      </c>
      <c r="J7" s="525"/>
      <c r="K7" s="607"/>
      <c r="L7" s="525"/>
      <c r="M7" s="7" t="s">
        <v>43</v>
      </c>
      <c r="N7" s="7" t="s">
        <v>44</v>
      </c>
      <c r="O7" s="525"/>
      <c r="P7" s="525"/>
      <c r="Q7" s="608"/>
      <c r="R7" s="610"/>
      <c r="S7" s="17"/>
    </row>
    <row r="8" spans="1:35" s="64" customFormat="1" ht="105.6" customHeight="1" x14ac:dyDescent="0.2">
      <c r="A8" s="586" t="s">
        <v>55</v>
      </c>
      <c r="B8" s="591">
        <f>F8</f>
        <v>111882352.94117647</v>
      </c>
      <c r="C8" s="588">
        <v>95100000</v>
      </c>
      <c r="D8" s="619" t="s">
        <v>116</v>
      </c>
      <c r="E8" s="591">
        <f>C8/0.85*0.15</f>
        <v>16782352.94117647</v>
      </c>
      <c r="F8" s="588">
        <f>C8+E8</f>
        <v>111882352.94117647</v>
      </c>
      <c r="G8" s="588">
        <f>F8</f>
        <v>111882352.94117647</v>
      </c>
      <c r="H8" s="26" t="s">
        <v>115</v>
      </c>
      <c r="I8" s="36" t="s">
        <v>127</v>
      </c>
      <c r="J8" s="611" t="s">
        <v>54</v>
      </c>
      <c r="K8" s="613" t="s">
        <v>280</v>
      </c>
      <c r="L8" s="27" t="s">
        <v>60</v>
      </c>
      <c r="M8" s="334" t="s">
        <v>39</v>
      </c>
      <c r="N8" s="27" t="s">
        <v>244</v>
      </c>
      <c r="O8" s="49">
        <v>0</v>
      </c>
      <c r="P8" s="49">
        <f>ROUND(F8*0.9285/869000,0)</f>
        <v>120</v>
      </c>
      <c r="Q8" s="27" t="s">
        <v>31</v>
      </c>
      <c r="R8" s="65" t="s">
        <v>258</v>
      </c>
      <c r="S8" s="335" t="s">
        <v>294</v>
      </c>
      <c r="T8" s="61"/>
      <c r="U8" s="61"/>
      <c r="V8" s="62"/>
      <c r="W8" s="62" t="s">
        <v>252</v>
      </c>
      <c r="X8" s="62"/>
      <c r="Y8" s="62"/>
      <c r="Z8" s="63"/>
      <c r="AA8" s="63"/>
      <c r="AB8" s="63"/>
      <c r="AC8" s="63"/>
      <c r="AD8" s="63"/>
      <c r="AE8" s="63"/>
      <c r="AF8" s="63"/>
      <c r="AG8" s="63"/>
      <c r="AH8" s="63"/>
      <c r="AI8" s="63"/>
    </row>
    <row r="9" spans="1:35" s="64" customFormat="1" ht="168" customHeight="1" x14ac:dyDescent="0.2">
      <c r="A9" s="587"/>
      <c r="B9" s="592"/>
      <c r="C9" s="589"/>
      <c r="D9" s="527"/>
      <c r="E9" s="592"/>
      <c r="F9" s="589"/>
      <c r="G9" s="589"/>
      <c r="H9" s="37" t="s">
        <v>126</v>
      </c>
      <c r="I9" s="37" t="s">
        <v>128</v>
      </c>
      <c r="J9" s="612"/>
      <c r="K9" s="527"/>
      <c r="L9" s="33" t="s">
        <v>97</v>
      </c>
      <c r="M9" s="66">
        <f>1127000/120</f>
        <v>9391.6666666666661</v>
      </c>
      <c r="N9" s="33" t="s">
        <v>244</v>
      </c>
      <c r="O9" s="66">
        <v>0</v>
      </c>
      <c r="P9" s="66">
        <f>1500000/120</f>
        <v>12500</v>
      </c>
      <c r="Q9" s="33" t="s">
        <v>146</v>
      </c>
      <c r="R9" s="67" t="s">
        <v>260</v>
      </c>
      <c r="S9" s="336" t="s">
        <v>259</v>
      </c>
      <c r="T9" s="62"/>
      <c r="U9" s="61"/>
      <c r="V9" s="62"/>
      <c r="W9" s="62"/>
      <c r="X9" s="62"/>
      <c r="Y9" s="62"/>
      <c r="Z9" s="63"/>
      <c r="AA9" s="63"/>
      <c r="AB9" s="63"/>
      <c r="AC9" s="63"/>
      <c r="AD9" s="63"/>
      <c r="AE9" s="63"/>
      <c r="AF9" s="63"/>
      <c r="AG9" s="63"/>
      <c r="AH9" s="63"/>
      <c r="AI9" s="63"/>
    </row>
    <row r="10" spans="1:35" s="64" customFormat="1" ht="126.6" customHeight="1" x14ac:dyDescent="0.2">
      <c r="A10" s="587"/>
      <c r="B10" s="592"/>
      <c r="C10" s="589"/>
      <c r="D10" s="527"/>
      <c r="E10" s="592"/>
      <c r="F10" s="589"/>
      <c r="G10" s="589"/>
      <c r="H10" s="34" t="s">
        <v>49</v>
      </c>
      <c r="I10" s="95" t="s">
        <v>290</v>
      </c>
      <c r="J10" s="612"/>
      <c r="K10" s="527"/>
      <c r="L10" s="130" t="s">
        <v>286</v>
      </c>
      <c r="M10" s="101">
        <f>5*0.62</f>
        <v>3.1</v>
      </c>
      <c r="N10" s="91">
        <v>2019</v>
      </c>
      <c r="O10" s="91" t="s">
        <v>8</v>
      </c>
      <c r="P10" s="32">
        <f>4*0.622222</f>
        <v>2.4888880000000002</v>
      </c>
      <c r="Q10" s="33" t="s">
        <v>31</v>
      </c>
      <c r="R10" s="103" t="s">
        <v>158</v>
      </c>
      <c r="S10" s="368" t="s">
        <v>291</v>
      </c>
      <c r="T10" s="62"/>
      <c r="U10" s="61"/>
      <c r="V10" s="62"/>
      <c r="W10" s="62"/>
      <c r="X10" s="62"/>
      <c r="Y10" s="62"/>
      <c r="Z10" s="63"/>
      <c r="AA10" s="63"/>
      <c r="AB10" s="63"/>
      <c r="AC10" s="63"/>
      <c r="AD10" s="63"/>
      <c r="AE10" s="63"/>
      <c r="AF10" s="63"/>
      <c r="AG10" s="63"/>
      <c r="AH10" s="63"/>
      <c r="AI10" s="63"/>
    </row>
    <row r="11" spans="1:35" s="64" customFormat="1" ht="134.44999999999999" customHeight="1" x14ac:dyDescent="0.2">
      <c r="A11" s="587"/>
      <c r="B11" s="592"/>
      <c r="C11" s="589"/>
      <c r="D11" s="527"/>
      <c r="E11" s="592"/>
      <c r="F11" s="589"/>
      <c r="G11" s="599"/>
      <c r="H11" s="91" t="s">
        <v>48</v>
      </c>
      <c r="I11" s="30" t="s">
        <v>292</v>
      </c>
      <c r="J11" s="612"/>
      <c r="K11" s="527"/>
      <c r="L11" s="33" t="s">
        <v>281</v>
      </c>
      <c r="M11" s="66">
        <v>0</v>
      </c>
      <c r="N11" s="33" t="s">
        <v>244</v>
      </c>
      <c r="O11" s="66">
        <f>P11*0.1</f>
        <v>0.79995882352941183</v>
      </c>
      <c r="P11" s="88">
        <f>F8*0.0715/1000000</f>
        <v>7.9995882352941177</v>
      </c>
      <c r="Q11" s="33" t="s">
        <v>31</v>
      </c>
      <c r="R11" s="137" t="s">
        <v>293</v>
      </c>
      <c r="S11" s="369" t="s">
        <v>295</v>
      </c>
      <c r="T11" s="62"/>
      <c r="U11" s="61"/>
      <c r="V11" s="62"/>
      <c r="W11" s="62"/>
      <c r="X11" s="62"/>
      <c r="Y11" s="62"/>
      <c r="Z11" s="63"/>
      <c r="AA11" s="63"/>
      <c r="AB11" s="63"/>
      <c r="AC11" s="63"/>
      <c r="AD11" s="63"/>
      <c r="AE11" s="63"/>
      <c r="AF11" s="63"/>
      <c r="AG11" s="63"/>
      <c r="AH11" s="63"/>
      <c r="AI11" s="63"/>
    </row>
    <row r="12" spans="1:35" s="64" customFormat="1" ht="146.44999999999999" customHeight="1" x14ac:dyDescent="0.2">
      <c r="A12" s="587"/>
      <c r="B12" s="593">
        <f>F12</f>
        <v>60576470.588235296</v>
      </c>
      <c r="C12" s="598">
        <v>51490000</v>
      </c>
      <c r="D12" s="600" t="s">
        <v>117</v>
      </c>
      <c r="E12" s="601">
        <f>C12/0.85*0.15</f>
        <v>9086470.5882352944</v>
      </c>
      <c r="F12" s="598">
        <f>C12+E12</f>
        <v>60576470.588235296</v>
      </c>
      <c r="G12" s="598">
        <f>F12</f>
        <v>60576470.588235296</v>
      </c>
      <c r="H12" s="25" t="s">
        <v>115</v>
      </c>
      <c r="I12" s="37" t="s">
        <v>127</v>
      </c>
      <c r="J12" s="630" t="s">
        <v>54</v>
      </c>
      <c r="K12" s="526" t="s">
        <v>280</v>
      </c>
      <c r="L12" s="34" t="s">
        <v>60</v>
      </c>
      <c r="M12" s="34" t="s">
        <v>147</v>
      </c>
      <c r="N12" s="34" t="s">
        <v>244</v>
      </c>
      <c r="O12" s="16">
        <v>0</v>
      </c>
      <c r="P12" s="321">
        <f>ROUND(G12*0.9175/1406000,0)</f>
        <v>40</v>
      </c>
      <c r="Q12" s="34" t="s">
        <v>31</v>
      </c>
      <c r="R12" s="68" t="s">
        <v>271</v>
      </c>
      <c r="S12" s="335" t="s">
        <v>296</v>
      </c>
      <c r="T12" s="62"/>
      <c r="U12" s="61"/>
      <c r="V12" s="62"/>
      <c r="W12" s="62"/>
      <c r="X12" s="62"/>
      <c r="Y12" s="62"/>
      <c r="Z12" s="63"/>
      <c r="AA12" s="63"/>
      <c r="AB12" s="63"/>
      <c r="AC12" s="63"/>
      <c r="AD12" s="63"/>
      <c r="AE12" s="63"/>
      <c r="AF12" s="63"/>
      <c r="AG12" s="63"/>
      <c r="AH12" s="63"/>
      <c r="AI12" s="63"/>
    </row>
    <row r="13" spans="1:35" s="64" customFormat="1" ht="175.15" customHeight="1" x14ac:dyDescent="0.2">
      <c r="A13" s="587"/>
      <c r="B13" s="593"/>
      <c r="C13" s="589"/>
      <c r="D13" s="527"/>
      <c r="E13" s="592"/>
      <c r="F13" s="589"/>
      <c r="G13" s="589"/>
      <c r="H13" s="37" t="s">
        <v>126</v>
      </c>
      <c r="I13" s="37" t="s">
        <v>128</v>
      </c>
      <c r="J13" s="612"/>
      <c r="K13" s="527"/>
      <c r="L13" s="34" t="s">
        <v>136</v>
      </c>
      <c r="M13" s="34" t="s">
        <v>39</v>
      </c>
      <c r="N13" s="34" t="s">
        <v>244</v>
      </c>
      <c r="O13" s="16">
        <v>0</v>
      </c>
      <c r="P13" s="16">
        <v>4500</v>
      </c>
      <c r="Q13" s="33" t="s">
        <v>146</v>
      </c>
      <c r="R13" s="67" t="s">
        <v>155</v>
      </c>
      <c r="S13" s="370" t="s">
        <v>297</v>
      </c>
      <c r="T13" s="62"/>
      <c r="U13" s="61"/>
      <c r="V13" s="62"/>
      <c r="W13" s="62"/>
      <c r="X13" s="62"/>
      <c r="Y13" s="62"/>
      <c r="Z13" s="63"/>
      <c r="AA13" s="63"/>
      <c r="AB13" s="63"/>
      <c r="AC13" s="63"/>
      <c r="AD13" s="63"/>
      <c r="AE13" s="63"/>
      <c r="AF13" s="63"/>
      <c r="AG13" s="63"/>
      <c r="AH13" s="63"/>
      <c r="AI13" s="63"/>
    </row>
    <row r="14" spans="1:35" s="64" customFormat="1" ht="107.45" customHeight="1" x14ac:dyDescent="0.2">
      <c r="A14" s="587"/>
      <c r="B14" s="593"/>
      <c r="C14" s="589"/>
      <c r="D14" s="527"/>
      <c r="E14" s="592"/>
      <c r="F14" s="589"/>
      <c r="G14" s="589"/>
      <c r="H14" s="37" t="s">
        <v>48</v>
      </c>
      <c r="I14" s="95" t="s">
        <v>289</v>
      </c>
      <c r="J14" s="612"/>
      <c r="K14" s="527"/>
      <c r="L14" s="33" t="s">
        <v>281</v>
      </c>
      <c r="M14" s="66">
        <v>0</v>
      </c>
      <c r="N14" s="316" t="s">
        <v>244</v>
      </c>
      <c r="O14" s="66">
        <v>2</v>
      </c>
      <c r="P14" s="320">
        <f>G12*0.0825/1000000</f>
        <v>4.9975588235294124</v>
      </c>
      <c r="Q14" s="34" t="s">
        <v>31</v>
      </c>
      <c r="R14" s="68" t="s">
        <v>245</v>
      </c>
      <c r="S14" s="356" t="s">
        <v>274</v>
      </c>
      <c r="T14" s="100"/>
      <c r="U14" s="61"/>
      <c r="V14" s="62"/>
      <c r="W14" s="62"/>
      <c r="X14" s="62"/>
      <c r="Y14" s="62"/>
      <c r="Z14" s="63"/>
      <c r="AA14" s="63"/>
      <c r="AB14" s="63"/>
      <c r="AC14" s="63"/>
      <c r="AD14" s="63"/>
      <c r="AE14" s="63"/>
      <c r="AF14" s="63"/>
      <c r="AG14" s="63"/>
      <c r="AH14" s="63"/>
      <c r="AI14" s="63"/>
    </row>
    <row r="15" spans="1:35" s="64" customFormat="1" ht="120" customHeight="1" x14ac:dyDescent="0.2">
      <c r="A15" s="587"/>
      <c r="B15" s="593"/>
      <c r="C15" s="599"/>
      <c r="D15" s="532"/>
      <c r="E15" s="602"/>
      <c r="F15" s="599"/>
      <c r="G15" s="599"/>
      <c r="H15" s="91" t="s">
        <v>49</v>
      </c>
      <c r="I15" s="30" t="s">
        <v>99</v>
      </c>
      <c r="J15" s="631"/>
      <c r="K15" s="532"/>
      <c r="L15" s="102" t="s">
        <v>286</v>
      </c>
      <c r="M15" s="101">
        <f>5*0.38</f>
        <v>1.9</v>
      </c>
      <c r="N15" s="8">
        <v>2019</v>
      </c>
      <c r="O15" s="91" t="s">
        <v>8</v>
      </c>
      <c r="P15" s="32">
        <v>1</v>
      </c>
      <c r="Q15" s="34" t="s">
        <v>31</v>
      </c>
      <c r="R15" s="103" t="s">
        <v>156</v>
      </c>
      <c r="S15" s="357" t="s">
        <v>275</v>
      </c>
      <c r="T15" s="62"/>
      <c r="U15" s="61"/>
      <c r="V15" s="62"/>
      <c r="W15" s="62"/>
      <c r="X15" s="62"/>
      <c r="Y15" s="62"/>
      <c r="Z15" s="63"/>
      <c r="AA15" s="63"/>
      <c r="AB15" s="63"/>
      <c r="AC15" s="63"/>
      <c r="AD15" s="63"/>
      <c r="AE15" s="63"/>
      <c r="AF15" s="63"/>
      <c r="AG15" s="63"/>
      <c r="AH15" s="63"/>
      <c r="AI15" s="63"/>
    </row>
    <row r="16" spans="1:35" s="64" customFormat="1" ht="302.45" customHeight="1" x14ac:dyDescent="0.2">
      <c r="A16" s="587"/>
      <c r="B16" s="594"/>
      <c r="C16" s="589">
        <v>2200000</v>
      </c>
      <c r="D16" s="635" t="s">
        <v>137</v>
      </c>
      <c r="E16" s="592">
        <f>(C16*100/85)-C16</f>
        <v>388235.29411764722</v>
      </c>
      <c r="F16" s="589">
        <f>C16+E16</f>
        <v>2588235.2941176472</v>
      </c>
      <c r="G16" s="589">
        <f>F16</f>
        <v>2588235.2941176472</v>
      </c>
      <c r="H16" s="37" t="s">
        <v>49</v>
      </c>
      <c r="I16" s="37" t="s">
        <v>100</v>
      </c>
      <c r="J16" s="612"/>
      <c r="K16" s="527" t="s">
        <v>280</v>
      </c>
      <c r="L16" s="34" t="s">
        <v>101</v>
      </c>
      <c r="M16" s="34" t="s">
        <v>153</v>
      </c>
      <c r="N16" s="148" t="s">
        <v>244</v>
      </c>
      <c r="O16" s="16" t="s">
        <v>8</v>
      </c>
      <c r="P16" s="34" t="s">
        <v>152</v>
      </c>
      <c r="Q16" s="34" t="s">
        <v>146</v>
      </c>
      <c r="R16" s="99" t="s">
        <v>154</v>
      </c>
      <c r="S16" s="337" t="s">
        <v>261</v>
      </c>
      <c r="T16" s="62"/>
      <c r="U16" s="61"/>
      <c r="V16" s="62"/>
      <c r="W16" s="62"/>
      <c r="X16" s="62"/>
      <c r="Y16" s="62"/>
      <c r="Z16" s="63"/>
      <c r="AA16" s="63"/>
      <c r="AB16" s="63"/>
      <c r="AC16" s="63"/>
      <c r="AD16" s="63"/>
      <c r="AE16" s="63"/>
      <c r="AF16" s="63"/>
      <c r="AG16" s="63"/>
      <c r="AH16" s="63"/>
      <c r="AI16" s="63"/>
    </row>
    <row r="17" spans="1:35" s="64" customFormat="1" ht="256.14999999999998" customHeight="1" thickBot="1" x14ac:dyDescent="0.25">
      <c r="A17" s="587"/>
      <c r="B17" s="595"/>
      <c r="C17" s="590"/>
      <c r="D17" s="636"/>
      <c r="E17" s="637"/>
      <c r="F17" s="590"/>
      <c r="G17" s="590"/>
      <c r="H17" s="38" t="s">
        <v>48</v>
      </c>
      <c r="I17" s="38" t="s">
        <v>103</v>
      </c>
      <c r="J17" s="629"/>
      <c r="K17" s="528"/>
      <c r="L17" s="97" t="s">
        <v>77</v>
      </c>
      <c r="M17" s="35" t="s">
        <v>39</v>
      </c>
      <c r="N17" s="97" t="s">
        <v>244</v>
      </c>
      <c r="O17" s="69">
        <v>0</v>
      </c>
      <c r="P17" s="97" t="s">
        <v>102</v>
      </c>
      <c r="Q17" s="97" t="s">
        <v>31</v>
      </c>
      <c r="R17" s="338" t="s">
        <v>249</v>
      </c>
      <c r="S17" s="346" t="s">
        <v>262</v>
      </c>
      <c r="T17" s="62"/>
      <c r="U17" s="61"/>
      <c r="V17" s="62"/>
      <c r="W17" s="62"/>
      <c r="X17" s="62"/>
      <c r="Y17" s="62"/>
      <c r="Z17" s="63"/>
      <c r="AA17" s="63"/>
      <c r="AB17" s="63"/>
      <c r="AC17" s="63"/>
      <c r="AD17" s="63"/>
      <c r="AE17" s="63"/>
      <c r="AF17" s="63"/>
      <c r="AG17" s="63"/>
      <c r="AH17" s="63"/>
      <c r="AI17" s="63"/>
    </row>
    <row r="18" spans="1:35" ht="147" customHeight="1" x14ac:dyDescent="0.25">
      <c r="A18" s="617" t="s">
        <v>56</v>
      </c>
      <c r="B18" s="621">
        <f>F18+F21+F24+F27</f>
        <v>285114525.88235295</v>
      </c>
      <c r="C18" s="618">
        <f>'Intervencijų lėšos (2)'!J20</f>
        <v>65530043</v>
      </c>
      <c r="D18" s="619" t="s">
        <v>118</v>
      </c>
      <c r="E18" s="618">
        <f>C18/0.85*0.15</f>
        <v>11564125.235294117</v>
      </c>
      <c r="F18" s="618">
        <f>C18+E18</f>
        <v>77094168.235294119</v>
      </c>
      <c r="G18" s="618">
        <f>F18</f>
        <v>77094168.235294119</v>
      </c>
      <c r="H18" s="93" t="s">
        <v>120</v>
      </c>
      <c r="I18" s="27" t="s">
        <v>129</v>
      </c>
      <c r="J18" s="632" t="s">
        <v>54</v>
      </c>
      <c r="K18" s="634" t="s">
        <v>280</v>
      </c>
      <c r="L18" s="89" t="s">
        <v>60</v>
      </c>
      <c r="M18" s="27" t="s">
        <v>39</v>
      </c>
      <c r="N18" s="27" t="s">
        <v>244</v>
      </c>
      <c r="O18" s="28">
        <f>P18*0.2</f>
        <v>2.05584448627451</v>
      </c>
      <c r="P18" s="312">
        <f>G18/7500000</f>
        <v>10.279222431372549</v>
      </c>
      <c r="Q18" s="27" t="s">
        <v>31</v>
      </c>
      <c r="R18" s="339" t="s">
        <v>263</v>
      </c>
      <c r="S18" s="347" t="s">
        <v>264</v>
      </c>
      <c r="W18" s="62" t="s">
        <v>252</v>
      </c>
    </row>
    <row r="19" spans="1:35" ht="150" customHeight="1" x14ac:dyDescent="0.25">
      <c r="A19" s="563"/>
      <c r="B19" s="594"/>
      <c r="C19" s="615"/>
      <c r="D19" s="527"/>
      <c r="E19" s="615"/>
      <c r="F19" s="615"/>
      <c r="G19" s="615"/>
      <c r="H19" s="37" t="s">
        <v>63</v>
      </c>
      <c r="I19" s="37" t="s">
        <v>61</v>
      </c>
      <c r="J19" s="633"/>
      <c r="K19" s="579"/>
      <c r="L19" s="34" t="s">
        <v>133</v>
      </c>
      <c r="M19" s="34" t="s">
        <v>39</v>
      </c>
      <c r="N19" s="34" t="s">
        <v>244</v>
      </c>
      <c r="O19" s="76" t="s">
        <v>8</v>
      </c>
      <c r="P19" s="16">
        <v>64585222</v>
      </c>
      <c r="Q19" s="34" t="s">
        <v>31</v>
      </c>
      <c r="R19" s="351" t="s">
        <v>270</v>
      </c>
      <c r="S19" s="349" t="s">
        <v>267</v>
      </c>
    </row>
    <row r="20" spans="1:35" ht="162.6" customHeight="1" x14ac:dyDescent="0.25">
      <c r="A20" s="563"/>
      <c r="B20" s="594"/>
      <c r="C20" s="616"/>
      <c r="D20" s="620"/>
      <c r="E20" s="616"/>
      <c r="F20" s="616"/>
      <c r="G20" s="616"/>
      <c r="H20" s="70" t="s">
        <v>65</v>
      </c>
      <c r="I20" s="37" t="s">
        <v>62</v>
      </c>
      <c r="J20" s="633"/>
      <c r="K20" s="579"/>
      <c r="L20" s="33" t="s">
        <v>104</v>
      </c>
      <c r="M20" s="33" t="s">
        <v>39</v>
      </c>
      <c r="N20" s="33" t="s">
        <v>244</v>
      </c>
      <c r="O20" s="85" t="s">
        <v>8</v>
      </c>
      <c r="P20" s="66">
        <v>174719</v>
      </c>
      <c r="Q20" s="33" t="s">
        <v>31</v>
      </c>
      <c r="R20" s="350" t="s">
        <v>269</v>
      </c>
      <c r="S20" s="348" t="s">
        <v>268</v>
      </c>
    </row>
    <row r="21" spans="1:35" ht="147" customHeight="1" x14ac:dyDescent="0.25">
      <c r="A21" s="563"/>
      <c r="B21" s="594"/>
      <c r="C21" s="614">
        <f>'Intervencijų lėšos (2)'!J21</f>
        <v>147844205</v>
      </c>
      <c r="D21" s="622" t="s">
        <v>119</v>
      </c>
      <c r="E21" s="614">
        <f>C21/0.85*0.15</f>
        <v>26090153.823529411</v>
      </c>
      <c r="F21" s="614">
        <f>C21+E21</f>
        <v>173934358.82352942</v>
      </c>
      <c r="G21" s="614">
        <f>F21</f>
        <v>173934358.82352942</v>
      </c>
      <c r="H21" s="92" t="s">
        <v>121</v>
      </c>
      <c r="I21" s="37" t="s">
        <v>130</v>
      </c>
      <c r="J21" s="630" t="s">
        <v>54</v>
      </c>
      <c r="K21" s="526" t="s">
        <v>280</v>
      </c>
      <c r="L21" s="34" t="s">
        <v>60</v>
      </c>
      <c r="M21" s="16" t="s">
        <v>39</v>
      </c>
      <c r="N21" s="34" t="s">
        <v>244</v>
      </c>
      <c r="O21" s="79">
        <f>P21*0.2</f>
        <v>4.6380000000000008</v>
      </c>
      <c r="P21" s="79">
        <v>23.19</v>
      </c>
      <c r="Q21" s="34" t="s">
        <v>31</v>
      </c>
      <c r="R21" s="341" t="s">
        <v>241</v>
      </c>
      <c r="S21" s="358" t="s">
        <v>276</v>
      </c>
    </row>
    <row r="22" spans="1:35" ht="135.6" customHeight="1" x14ac:dyDescent="0.25">
      <c r="A22" s="563"/>
      <c r="B22" s="594"/>
      <c r="C22" s="615"/>
      <c r="D22" s="536"/>
      <c r="E22" s="615"/>
      <c r="F22" s="615"/>
      <c r="G22" s="615"/>
      <c r="H22" s="37" t="s">
        <v>63</v>
      </c>
      <c r="I22" s="37" t="s">
        <v>61</v>
      </c>
      <c r="J22" s="612"/>
      <c r="K22" s="527"/>
      <c r="L22" s="34" t="s">
        <v>134</v>
      </c>
      <c r="M22" s="16">
        <v>170038487</v>
      </c>
      <c r="N22" s="34" t="s">
        <v>244</v>
      </c>
      <c r="O22" s="76" t="s">
        <v>8</v>
      </c>
      <c r="P22" s="16">
        <v>178796103</v>
      </c>
      <c r="Q22" s="34" t="s">
        <v>31</v>
      </c>
      <c r="R22" s="340" t="s">
        <v>247</v>
      </c>
      <c r="S22" s="375" t="s">
        <v>298</v>
      </c>
      <c r="W22" s="372" t="s">
        <v>266</v>
      </c>
    </row>
    <row r="23" spans="1:35" ht="187.15" customHeight="1" x14ac:dyDescent="0.25">
      <c r="A23" s="563"/>
      <c r="B23" s="594"/>
      <c r="C23" s="616"/>
      <c r="D23" s="624"/>
      <c r="E23" s="616"/>
      <c r="F23" s="616"/>
      <c r="G23" s="616"/>
      <c r="H23" s="71" t="s">
        <v>65</v>
      </c>
      <c r="I23" s="37" t="s">
        <v>62</v>
      </c>
      <c r="J23" s="631"/>
      <c r="K23" s="532"/>
      <c r="L23" s="34" t="s">
        <v>104</v>
      </c>
      <c r="M23" s="16">
        <v>2051282</v>
      </c>
      <c r="N23" s="34" t="s">
        <v>244</v>
      </c>
      <c r="O23" s="76" t="s">
        <v>8</v>
      </c>
      <c r="P23" s="16">
        <v>467115</v>
      </c>
      <c r="Q23" s="34" t="s">
        <v>31</v>
      </c>
      <c r="R23" s="340" t="s">
        <v>248</v>
      </c>
      <c r="S23" s="375" t="s">
        <v>299</v>
      </c>
      <c r="W23" s="372" t="s">
        <v>265</v>
      </c>
    </row>
    <row r="24" spans="1:35" ht="104.45" customHeight="1" x14ac:dyDescent="0.25">
      <c r="A24" s="563"/>
      <c r="B24" s="594"/>
      <c r="C24" s="614">
        <f>'Intervencijų lėšos (2)'!J22</f>
        <v>26661909</v>
      </c>
      <c r="D24" s="622" t="s">
        <v>122</v>
      </c>
      <c r="E24" s="614">
        <f>C24/0.85*0.15</f>
        <v>4705042.7647058824</v>
      </c>
      <c r="F24" s="614">
        <f>C24+E24</f>
        <v>31366951.764705881</v>
      </c>
      <c r="G24" s="614">
        <f>F24</f>
        <v>31366951.764705881</v>
      </c>
      <c r="H24" s="92" t="s">
        <v>121</v>
      </c>
      <c r="I24" s="37" t="s">
        <v>130</v>
      </c>
      <c r="J24" s="630" t="s">
        <v>54</v>
      </c>
      <c r="K24" s="526" t="s">
        <v>21</v>
      </c>
      <c r="L24" s="34" t="s">
        <v>60</v>
      </c>
      <c r="M24" s="90" t="s">
        <v>140</v>
      </c>
      <c r="N24" s="90" t="s">
        <v>244</v>
      </c>
      <c r="O24" s="94">
        <f>P24*0.2</f>
        <v>1.7831442534315294</v>
      </c>
      <c r="P24" s="313">
        <f>G24/3518162</f>
        <v>8.9157212671576467</v>
      </c>
      <c r="Q24" s="90" t="s">
        <v>31</v>
      </c>
      <c r="R24" s="341" t="s">
        <v>242</v>
      </c>
      <c r="S24" s="148"/>
    </row>
    <row r="25" spans="1:35" ht="142.15" customHeight="1" x14ac:dyDescent="0.25">
      <c r="A25" s="563"/>
      <c r="B25" s="594"/>
      <c r="C25" s="615"/>
      <c r="D25" s="536"/>
      <c r="E25" s="615"/>
      <c r="F25" s="615"/>
      <c r="G25" s="615"/>
      <c r="H25" s="37" t="s">
        <v>63</v>
      </c>
      <c r="I25" s="37" t="s">
        <v>61</v>
      </c>
      <c r="J25" s="612"/>
      <c r="K25" s="527"/>
      <c r="L25" s="34" t="s">
        <v>134</v>
      </c>
      <c r="M25" s="66">
        <v>34357821</v>
      </c>
      <c r="N25" s="33" t="s">
        <v>244</v>
      </c>
      <c r="O25" s="85" t="s">
        <v>8</v>
      </c>
      <c r="P25" s="66">
        <v>36315250</v>
      </c>
      <c r="Q25" s="33" t="s">
        <v>31</v>
      </c>
      <c r="R25" s="340" t="s">
        <v>300</v>
      </c>
      <c r="S25" s="376" t="s">
        <v>301</v>
      </c>
    </row>
    <row r="26" spans="1:35" ht="160.15" customHeight="1" x14ac:dyDescent="0.25">
      <c r="A26" s="563"/>
      <c r="B26" s="594"/>
      <c r="C26" s="616"/>
      <c r="D26" s="623"/>
      <c r="E26" s="616"/>
      <c r="F26" s="616"/>
      <c r="G26" s="616"/>
      <c r="H26" s="71" t="s">
        <v>65</v>
      </c>
      <c r="I26" s="34" t="s">
        <v>62</v>
      </c>
      <c r="J26" s="631"/>
      <c r="K26" s="532"/>
      <c r="L26" s="34" t="s">
        <v>104</v>
      </c>
      <c r="M26" s="66">
        <v>471444</v>
      </c>
      <c r="N26" s="33" t="s">
        <v>244</v>
      </c>
      <c r="O26" s="85" t="s">
        <v>8</v>
      </c>
      <c r="P26" s="66">
        <v>40369</v>
      </c>
      <c r="Q26" s="33" t="s">
        <v>31</v>
      </c>
      <c r="R26" s="340" t="s">
        <v>302</v>
      </c>
      <c r="S26" s="377" t="s">
        <v>303</v>
      </c>
    </row>
    <row r="27" spans="1:35" ht="111" customHeight="1" x14ac:dyDescent="0.25">
      <c r="A27" s="563"/>
      <c r="B27" s="594"/>
      <c r="C27" s="315">
        <f>'Intervencijų lėšos (2)'!J23</f>
        <v>2311190</v>
      </c>
      <c r="D27" s="84" t="s">
        <v>123</v>
      </c>
      <c r="E27" s="315">
        <f>C27/0.85*0.15</f>
        <v>407857.05882352946</v>
      </c>
      <c r="F27" s="315">
        <f>C27+E27</f>
        <v>2719047.0588235296</v>
      </c>
      <c r="G27" s="315">
        <f>F27</f>
        <v>2719047.0588235296</v>
      </c>
      <c r="H27" s="37" t="s">
        <v>138</v>
      </c>
      <c r="I27" s="37" t="s">
        <v>139</v>
      </c>
      <c r="J27" s="96" t="s">
        <v>54</v>
      </c>
      <c r="K27" s="526" t="s">
        <v>21</v>
      </c>
      <c r="L27" s="34" t="s">
        <v>281</v>
      </c>
      <c r="M27" s="37" t="s">
        <v>39</v>
      </c>
      <c r="N27" s="34" t="s">
        <v>244</v>
      </c>
      <c r="O27" s="76">
        <f>P27*0.2</f>
        <v>13.600000000000001</v>
      </c>
      <c r="P27" s="76">
        <f>ROUND(G27/40000,0)</f>
        <v>68</v>
      </c>
      <c r="Q27" s="34" t="s">
        <v>31</v>
      </c>
      <c r="R27" s="342" t="s">
        <v>243</v>
      </c>
      <c r="S27" s="378"/>
    </row>
    <row r="28" spans="1:35" ht="111" customHeight="1" thickBot="1" x14ac:dyDescent="0.3">
      <c r="A28" s="133"/>
      <c r="B28" s="134"/>
      <c r="C28" s="135"/>
      <c r="D28" s="132"/>
      <c r="E28" s="134"/>
      <c r="F28" s="135"/>
      <c r="G28" s="135"/>
      <c r="H28" s="132" t="s">
        <v>138</v>
      </c>
      <c r="I28" s="132" t="s">
        <v>288</v>
      </c>
      <c r="J28" s="131"/>
      <c r="K28" s="528"/>
      <c r="L28" s="90" t="s">
        <v>286</v>
      </c>
      <c r="M28" s="132" t="s">
        <v>94</v>
      </c>
      <c r="N28" s="90" t="s">
        <v>244</v>
      </c>
      <c r="O28" s="149"/>
      <c r="P28" s="132" t="s">
        <v>95</v>
      </c>
      <c r="Q28" s="34" t="s">
        <v>31</v>
      </c>
      <c r="R28" s="343" t="s">
        <v>246</v>
      </c>
      <c r="S28" s="380" t="s">
        <v>255</v>
      </c>
    </row>
    <row r="29" spans="1:35" ht="100.15" customHeight="1" x14ac:dyDescent="0.25">
      <c r="A29" s="625" t="s">
        <v>57</v>
      </c>
      <c r="B29" s="621">
        <f>F29</f>
        <v>11764705.882352941</v>
      </c>
      <c r="C29" s="621">
        <v>10000000</v>
      </c>
      <c r="D29" s="613" t="s">
        <v>124</v>
      </c>
      <c r="E29" s="618">
        <f>C29/0.85*0.15</f>
        <v>1764705.882352941</v>
      </c>
      <c r="F29" s="627">
        <f>C29+E29</f>
        <v>11764705.882352941</v>
      </c>
      <c r="G29" s="621">
        <f>F29</f>
        <v>11764705.882352941</v>
      </c>
      <c r="H29" s="36" t="s">
        <v>125</v>
      </c>
      <c r="I29" s="36" t="s">
        <v>131</v>
      </c>
      <c r="J29" s="611" t="s">
        <v>54</v>
      </c>
      <c r="K29" s="613" t="s">
        <v>21</v>
      </c>
      <c r="L29" s="27" t="s">
        <v>105</v>
      </c>
      <c r="M29" s="145" t="s">
        <v>39</v>
      </c>
      <c r="N29" s="145" t="s">
        <v>244</v>
      </c>
      <c r="O29" s="49">
        <v>1</v>
      </c>
      <c r="P29" s="27" t="s">
        <v>106</v>
      </c>
      <c r="Q29" s="27" t="s">
        <v>31</v>
      </c>
      <c r="R29" s="344" t="s">
        <v>151</v>
      </c>
      <c r="S29" s="379"/>
    </row>
    <row r="30" spans="1:35" ht="123" customHeight="1" thickBot="1" x14ac:dyDescent="0.3">
      <c r="A30" s="564"/>
      <c r="B30" s="595"/>
      <c r="C30" s="595"/>
      <c r="D30" s="528"/>
      <c r="E30" s="626"/>
      <c r="F30" s="628"/>
      <c r="G30" s="595"/>
      <c r="H30" s="97" t="s">
        <v>49</v>
      </c>
      <c r="I30" s="97" t="s">
        <v>148</v>
      </c>
      <c r="J30" s="629"/>
      <c r="K30" s="528"/>
      <c r="L30" s="72" t="s">
        <v>149</v>
      </c>
      <c r="M30" s="146">
        <f>227059</f>
        <v>227059</v>
      </c>
      <c r="N30" s="317" t="s">
        <v>244</v>
      </c>
      <c r="O30" s="73" t="s">
        <v>8</v>
      </c>
      <c r="P30" s="73">
        <f>950000</f>
        <v>950000</v>
      </c>
      <c r="Q30" s="104" t="s">
        <v>150</v>
      </c>
      <c r="R30" s="345" t="s">
        <v>159</v>
      </c>
      <c r="S30" s="378"/>
    </row>
    <row r="31" spans="1:35" x14ac:dyDescent="0.25">
      <c r="C31" s="17">
        <f>C8+C12+C16+C18+C21+C24+C27+C29</f>
        <v>401137347</v>
      </c>
    </row>
    <row r="32" spans="1:35" x14ac:dyDescent="0.25">
      <c r="B32" s="17"/>
    </row>
    <row r="34" spans="1:23" ht="45.75" thickBot="1" x14ac:dyDescent="0.3">
      <c r="A34" s="77" t="s">
        <v>5</v>
      </c>
      <c r="B34" s="11" t="s">
        <v>6</v>
      </c>
      <c r="C34" s="77" t="s">
        <v>1</v>
      </c>
      <c r="D34" s="77" t="s">
        <v>9</v>
      </c>
      <c r="E34" s="77" t="s">
        <v>14</v>
      </c>
      <c r="F34" s="77" t="s">
        <v>13</v>
      </c>
      <c r="G34" s="77" t="s">
        <v>10</v>
      </c>
      <c r="H34" s="77" t="s">
        <v>2</v>
      </c>
      <c r="I34" s="77" t="s">
        <v>3</v>
      </c>
      <c r="J34" s="13"/>
      <c r="K34" s="12"/>
      <c r="N34" s="15"/>
      <c r="O34" s="15"/>
      <c r="T34" s="17"/>
      <c r="V34" s="17"/>
    </row>
    <row r="35" spans="1:23" s="113" customFormat="1" ht="73.900000000000006" customHeight="1" x14ac:dyDescent="0.25">
      <c r="A35" s="105" t="s">
        <v>115</v>
      </c>
      <c r="B35" s="106" t="s">
        <v>127</v>
      </c>
      <c r="C35" s="107" t="s">
        <v>60</v>
      </c>
      <c r="D35" s="108">
        <f>M8+M12</f>
        <v>9</v>
      </c>
      <c r="E35" s="109" t="s">
        <v>46</v>
      </c>
      <c r="F35" s="110" t="s">
        <v>21</v>
      </c>
      <c r="G35" s="111">
        <v>2021</v>
      </c>
      <c r="H35" s="112">
        <f>O8+O12</f>
        <v>0</v>
      </c>
      <c r="I35" s="112">
        <f>P8+P12</f>
        <v>160</v>
      </c>
      <c r="T35" s="114"/>
      <c r="U35" s="114"/>
      <c r="V35" s="114"/>
      <c r="W35" s="374"/>
    </row>
    <row r="36" spans="1:23" s="113" customFormat="1" ht="90" x14ac:dyDescent="0.25">
      <c r="A36" s="118" t="s">
        <v>126</v>
      </c>
      <c r="B36" s="118" t="s">
        <v>128</v>
      </c>
      <c r="C36" s="121" t="s">
        <v>97</v>
      </c>
      <c r="D36" s="122">
        <f>M9+M13</f>
        <v>9391.6666666666661</v>
      </c>
      <c r="E36" s="111" t="s">
        <v>46</v>
      </c>
      <c r="F36" s="111" t="s">
        <v>21</v>
      </c>
      <c r="G36" s="111">
        <v>2021</v>
      </c>
      <c r="H36" s="112">
        <f>O9+O13</f>
        <v>0</v>
      </c>
      <c r="I36" s="112">
        <f>P9+P13</f>
        <v>17000</v>
      </c>
      <c r="T36" s="114"/>
      <c r="U36" s="114"/>
      <c r="V36" s="114"/>
      <c r="W36" s="374"/>
    </row>
    <row r="37" spans="1:23" s="113" customFormat="1" ht="75" x14ac:dyDescent="0.25">
      <c r="A37" s="115" t="s">
        <v>48</v>
      </c>
      <c r="B37" s="116" t="s">
        <v>98</v>
      </c>
      <c r="C37" s="117" t="s">
        <v>79</v>
      </c>
      <c r="D37" s="112">
        <f>M10+M14</f>
        <v>3.1</v>
      </c>
      <c r="E37" s="111" t="s">
        <v>46</v>
      </c>
      <c r="F37" s="111" t="s">
        <v>21</v>
      </c>
      <c r="G37" s="111">
        <v>2021</v>
      </c>
      <c r="H37" s="112" t="e">
        <f>O10+M14</f>
        <v>#VALUE!</v>
      </c>
      <c r="I37" s="112">
        <f>P11+P14</f>
        <v>12.997147058823529</v>
      </c>
      <c r="U37" s="114"/>
      <c r="W37" s="374"/>
    </row>
    <row r="38" spans="1:23" s="113" customFormat="1" ht="75.599999999999994" customHeight="1" x14ac:dyDescent="0.25">
      <c r="A38" s="115" t="s">
        <v>49</v>
      </c>
      <c r="B38" s="125" t="s">
        <v>99</v>
      </c>
      <c r="C38" s="111" t="s">
        <v>79</v>
      </c>
      <c r="D38" s="318">
        <f>M10+M15</f>
        <v>5</v>
      </c>
      <c r="E38" s="111" t="s">
        <v>46</v>
      </c>
      <c r="F38" s="111" t="s">
        <v>21</v>
      </c>
      <c r="G38" s="111">
        <v>2021</v>
      </c>
      <c r="H38" s="111"/>
      <c r="I38" s="126">
        <f>P10+P15</f>
        <v>3.4888880000000002</v>
      </c>
      <c r="U38" s="114"/>
      <c r="W38" s="374"/>
    </row>
    <row r="39" spans="1:23" s="113" customFormat="1" ht="90" x14ac:dyDescent="0.25">
      <c r="A39" s="118" t="s">
        <v>49</v>
      </c>
      <c r="B39" s="118" t="s">
        <v>100</v>
      </c>
      <c r="C39" s="111" t="s">
        <v>101</v>
      </c>
      <c r="D39" s="119" t="str">
        <f>M16</f>
        <v>35</v>
      </c>
      <c r="E39" s="111" t="s">
        <v>46</v>
      </c>
      <c r="F39" s="111" t="s">
        <v>21</v>
      </c>
      <c r="G39" s="111">
        <v>2021</v>
      </c>
      <c r="H39" s="111" t="s">
        <v>8</v>
      </c>
      <c r="I39" s="124" t="str">
        <f>P16</f>
        <v>36</v>
      </c>
      <c r="U39" s="114"/>
      <c r="W39" s="374"/>
    </row>
    <row r="40" spans="1:23" s="113" customFormat="1" ht="60" x14ac:dyDescent="0.25">
      <c r="A40" s="118" t="s">
        <v>48</v>
      </c>
      <c r="B40" s="118" t="s">
        <v>103</v>
      </c>
      <c r="C40" s="111" t="s">
        <v>77</v>
      </c>
      <c r="D40" s="119" t="str">
        <f>M17</f>
        <v>0</v>
      </c>
      <c r="E40" s="111" t="s">
        <v>46</v>
      </c>
      <c r="F40" s="111" t="s">
        <v>21</v>
      </c>
      <c r="G40" s="111">
        <v>2021</v>
      </c>
      <c r="H40" s="111" t="s">
        <v>8</v>
      </c>
      <c r="I40" s="119" t="str">
        <f>P17</f>
        <v>1</v>
      </c>
      <c r="U40" s="114"/>
      <c r="W40" s="374"/>
    </row>
    <row r="41" spans="1:23" s="113" customFormat="1" ht="45" x14ac:dyDescent="0.25">
      <c r="A41" s="120" t="s">
        <v>120</v>
      </c>
      <c r="B41" s="117" t="s">
        <v>129</v>
      </c>
      <c r="C41" s="111" t="s">
        <v>60</v>
      </c>
      <c r="D41" s="119" t="str">
        <f>M18</f>
        <v>0</v>
      </c>
      <c r="E41" s="111" t="s">
        <v>46</v>
      </c>
      <c r="F41" s="111" t="s">
        <v>21</v>
      </c>
      <c r="G41" s="111">
        <v>2021</v>
      </c>
      <c r="H41" s="110">
        <f>O18</f>
        <v>2.05584448627451</v>
      </c>
      <c r="I41" s="110">
        <f>P18</f>
        <v>10.279222431372549</v>
      </c>
      <c r="U41" s="114"/>
      <c r="W41" s="374"/>
    </row>
    <row r="42" spans="1:23" s="113" customFormat="1" ht="60.6" customHeight="1" x14ac:dyDescent="0.25">
      <c r="A42" s="120" t="s">
        <v>121</v>
      </c>
      <c r="B42" s="117" t="s">
        <v>130</v>
      </c>
      <c r="C42" s="111" t="s">
        <v>141</v>
      </c>
      <c r="D42" s="110">
        <f>M21+M24</f>
        <v>8.92</v>
      </c>
      <c r="E42" s="111" t="s">
        <v>46</v>
      </c>
      <c r="F42" s="111" t="s">
        <v>21</v>
      </c>
      <c r="G42" s="110">
        <v>2021</v>
      </c>
      <c r="H42" s="110">
        <f>O21+O24</f>
        <v>6.4211442534315299</v>
      </c>
      <c r="I42" s="110">
        <f>P21+P24</f>
        <v>32.105721267157648</v>
      </c>
      <c r="U42" s="114"/>
      <c r="W42" s="374"/>
    </row>
    <row r="43" spans="1:23" s="113" customFormat="1" ht="75" x14ac:dyDescent="0.25">
      <c r="A43" s="118" t="s">
        <v>63</v>
      </c>
      <c r="B43" s="118" t="s">
        <v>61</v>
      </c>
      <c r="C43" s="117" t="s">
        <v>134</v>
      </c>
      <c r="D43" s="112">
        <f>M19+M22+M25</f>
        <v>204396308</v>
      </c>
      <c r="E43" s="111" t="s">
        <v>46</v>
      </c>
      <c r="F43" s="111" t="s">
        <v>21</v>
      </c>
      <c r="G43" s="111">
        <v>2021</v>
      </c>
      <c r="H43" s="111" t="s">
        <v>8</v>
      </c>
      <c r="I43" s="112">
        <f>P19+P22+P25</f>
        <v>279696575</v>
      </c>
      <c r="U43" s="114"/>
      <c r="W43" s="374"/>
    </row>
    <row r="44" spans="1:23" s="113" customFormat="1" ht="45" x14ac:dyDescent="0.25">
      <c r="A44" s="123" t="s">
        <v>65</v>
      </c>
      <c r="B44" s="118" t="s">
        <v>62</v>
      </c>
      <c r="C44" s="117" t="s">
        <v>104</v>
      </c>
      <c r="D44" s="112">
        <f>M20+M23+M26</f>
        <v>2522726</v>
      </c>
      <c r="E44" s="111" t="s">
        <v>46</v>
      </c>
      <c r="F44" s="111" t="s">
        <v>21</v>
      </c>
      <c r="G44" s="111">
        <v>2021</v>
      </c>
      <c r="H44" s="111" t="s">
        <v>8</v>
      </c>
      <c r="I44" s="112">
        <f>P20+P23+P26</f>
        <v>682203</v>
      </c>
      <c r="U44" s="114"/>
      <c r="W44" s="374"/>
    </row>
    <row r="45" spans="1:23" s="113" customFormat="1" ht="60" x14ac:dyDescent="0.25">
      <c r="A45" s="118" t="s">
        <v>138</v>
      </c>
      <c r="B45" s="118" t="s">
        <v>139</v>
      </c>
      <c r="C45" s="111" t="s">
        <v>142</v>
      </c>
      <c r="D45" s="119" t="str">
        <f>M27</f>
        <v>0</v>
      </c>
      <c r="E45" s="111" t="s">
        <v>46</v>
      </c>
      <c r="F45" s="111" t="s">
        <v>21</v>
      </c>
      <c r="G45" s="111">
        <v>2021</v>
      </c>
      <c r="H45" s="112">
        <f>O27</f>
        <v>13.600000000000001</v>
      </c>
      <c r="I45" s="110">
        <f>P27</f>
        <v>68</v>
      </c>
      <c r="U45" s="114"/>
      <c r="W45" s="374"/>
    </row>
    <row r="46" spans="1:23" s="113" customFormat="1" ht="60" x14ac:dyDescent="0.25">
      <c r="A46" s="118" t="s">
        <v>125</v>
      </c>
      <c r="B46" s="118" t="s">
        <v>131</v>
      </c>
      <c r="C46" s="117" t="s">
        <v>105</v>
      </c>
      <c r="D46" s="119" t="str">
        <f>M29</f>
        <v>0</v>
      </c>
      <c r="E46" s="111" t="s">
        <v>46</v>
      </c>
      <c r="F46" s="111" t="s">
        <v>21</v>
      </c>
      <c r="G46" s="111">
        <v>2021</v>
      </c>
      <c r="H46" s="112">
        <f t="shared" ref="H46:I47" si="0">O29</f>
        <v>1</v>
      </c>
      <c r="I46" s="112" t="str">
        <f t="shared" si="0"/>
        <v>2</v>
      </c>
      <c r="U46" s="114"/>
      <c r="W46" s="374"/>
    </row>
    <row r="47" spans="1:23" s="113" customFormat="1" ht="46.15" customHeight="1" x14ac:dyDescent="0.25">
      <c r="A47" s="117" t="s">
        <v>138</v>
      </c>
      <c r="B47" s="117" t="s">
        <v>157</v>
      </c>
      <c r="C47" s="117" t="s">
        <v>149</v>
      </c>
      <c r="D47" s="119">
        <f>M30</f>
        <v>227059</v>
      </c>
      <c r="E47" s="111" t="s">
        <v>46</v>
      </c>
      <c r="F47" s="111" t="s">
        <v>21</v>
      </c>
      <c r="G47" s="111">
        <v>2022</v>
      </c>
      <c r="H47" s="112" t="str">
        <f t="shared" si="0"/>
        <v>n/a</v>
      </c>
      <c r="I47" s="112">
        <f t="shared" si="0"/>
        <v>950000</v>
      </c>
      <c r="U47" s="114"/>
      <c r="W47" s="374"/>
    </row>
    <row r="48" spans="1:23" x14ac:dyDescent="0.25">
      <c r="A48" s="83"/>
      <c r="B48" s="83"/>
      <c r="C48" s="83"/>
      <c r="D48" s="83"/>
      <c r="E48" s="83"/>
      <c r="F48" s="83"/>
      <c r="G48" s="83"/>
      <c r="H48" s="83"/>
      <c r="I48" s="8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sheetData>
  <mergeCells count="72">
    <mergeCell ref="J12:J15"/>
    <mergeCell ref="K12:K15"/>
    <mergeCell ref="J16:J17"/>
    <mergeCell ref="G8:G11"/>
    <mergeCell ref="D16:D17"/>
    <mergeCell ref="E16:E17"/>
    <mergeCell ref="F16:F17"/>
    <mergeCell ref="G16:G17"/>
    <mergeCell ref="F12:F15"/>
    <mergeCell ref="G12:G15"/>
    <mergeCell ref="G29:G30"/>
    <mergeCell ref="J29:J30"/>
    <mergeCell ref="K29:K30"/>
    <mergeCell ref="D8:D11"/>
    <mergeCell ref="E8:E11"/>
    <mergeCell ref="J24:J26"/>
    <mergeCell ref="K24:K26"/>
    <mergeCell ref="K16:K17"/>
    <mergeCell ref="G18:G20"/>
    <mergeCell ref="J18:J20"/>
    <mergeCell ref="K18:K20"/>
    <mergeCell ref="G21:G23"/>
    <mergeCell ref="J21:J23"/>
    <mergeCell ref="K21:K23"/>
    <mergeCell ref="G24:G26"/>
    <mergeCell ref="E24:E26"/>
    <mergeCell ref="A29:A30"/>
    <mergeCell ref="C29:C30"/>
    <mergeCell ref="D29:D30"/>
    <mergeCell ref="E29:E30"/>
    <mergeCell ref="F29:F30"/>
    <mergeCell ref="B29:B30"/>
    <mergeCell ref="F24:F26"/>
    <mergeCell ref="A18:A27"/>
    <mergeCell ref="C18:C20"/>
    <mergeCell ref="D18:D20"/>
    <mergeCell ref="B18:B27"/>
    <mergeCell ref="C24:C26"/>
    <mergeCell ref="D24:D26"/>
    <mergeCell ref="E18:E20"/>
    <mergeCell ref="F18:F20"/>
    <mergeCell ref="C21:C23"/>
    <mergeCell ref="D21:D23"/>
    <mergeCell ref="E21:E23"/>
    <mergeCell ref="F21:F23"/>
    <mergeCell ref="Q6:Q7"/>
    <mergeCell ref="R6:R7"/>
    <mergeCell ref="P6:P7"/>
    <mergeCell ref="J8:J11"/>
    <mergeCell ref="K8:K11"/>
    <mergeCell ref="H6:I6"/>
    <mergeCell ref="J6:J7"/>
    <mergeCell ref="M6:N6"/>
    <mergeCell ref="O6:O7"/>
    <mergeCell ref="L6:L7"/>
    <mergeCell ref="K6:K7"/>
    <mergeCell ref="K27:K28"/>
    <mergeCell ref="A6:A7"/>
    <mergeCell ref="C6:C7"/>
    <mergeCell ref="G6:G7"/>
    <mergeCell ref="A8:A17"/>
    <mergeCell ref="C8:C11"/>
    <mergeCell ref="F8:F11"/>
    <mergeCell ref="C16:C17"/>
    <mergeCell ref="B8:B11"/>
    <mergeCell ref="B12:B15"/>
    <mergeCell ref="B16:B17"/>
    <mergeCell ref="D6:F6"/>
    <mergeCell ref="B6:B7"/>
    <mergeCell ref="C12:C15"/>
    <mergeCell ref="D12:D15"/>
    <mergeCell ref="E12:E1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26"/>
  <sheetViews>
    <sheetView topLeftCell="A22" zoomScale="55" zoomScaleNormal="55" workbookViewId="0">
      <selection activeCell="I38" sqref="I38"/>
    </sheetView>
  </sheetViews>
  <sheetFormatPr defaultRowHeight="15" x14ac:dyDescent="0.25"/>
  <cols>
    <col min="1" max="1" width="20.42578125" customWidth="1"/>
    <col min="2" max="2" width="16.140625" customWidth="1"/>
    <col min="3" max="3" width="15.42578125" customWidth="1"/>
    <col min="4" max="4" width="22.140625" customWidth="1"/>
    <col min="5" max="5" width="16" customWidth="1"/>
    <col min="6" max="6" width="18" customWidth="1"/>
    <col min="7" max="7" width="16.7109375" customWidth="1"/>
    <col min="8" max="8" width="16.85546875" customWidth="1"/>
    <col min="9" max="9" width="18.7109375" customWidth="1"/>
    <col min="10" max="10" width="14.7109375" customWidth="1"/>
    <col min="11" max="11" width="15.28515625" customWidth="1"/>
    <col min="12" max="12" width="14.85546875" customWidth="1"/>
    <col min="13" max="13" width="16" customWidth="1"/>
    <col min="14" max="14" width="12" customWidth="1"/>
    <col min="15" max="15" width="16.7109375" customWidth="1"/>
    <col min="16" max="16" width="16.42578125" customWidth="1"/>
    <col min="17" max="17" width="31.140625" customWidth="1"/>
    <col min="18" max="18" width="83.28515625" customWidth="1"/>
    <col min="19" max="19" width="57.28515625" style="324" customWidth="1"/>
    <col min="20" max="20" width="18.28515625" bestFit="1" customWidth="1"/>
    <col min="22" max="22" width="35.28515625" customWidth="1"/>
  </cols>
  <sheetData>
    <row r="1" spans="1:37" x14ac:dyDescent="0.25">
      <c r="A1" s="9" t="s">
        <v>12</v>
      </c>
      <c r="B1" s="9"/>
      <c r="L1" s="29" t="s">
        <v>73</v>
      </c>
    </row>
    <row r="2" spans="1:37" x14ac:dyDescent="0.25">
      <c r="A2" t="s">
        <v>58</v>
      </c>
    </row>
    <row r="3" spans="1:37" x14ac:dyDescent="0.25">
      <c r="A3" s="52" t="s">
        <v>59</v>
      </c>
    </row>
    <row r="4" spans="1:37" ht="15.75" thickBot="1" x14ac:dyDescent="0.3">
      <c r="A4" t="s">
        <v>32</v>
      </c>
    </row>
    <row r="5" spans="1:37" ht="15" customHeight="1" x14ac:dyDescent="0.25">
      <c r="A5" s="584" t="s">
        <v>22</v>
      </c>
      <c r="B5" s="524" t="s">
        <v>75</v>
      </c>
      <c r="C5" s="558" t="s">
        <v>76</v>
      </c>
      <c r="D5" s="596" t="s">
        <v>4</v>
      </c>
      <c r="E5" s="597"/>
      <c r="F5" s="597"/>
      <c r="G5" s="584" t="s">
        <v>17</v>
      </c>
      <c r="H5" s="603" t="s">
        <v>18</v>
      </c>
      <c r="I5" s="603"/>
      <c r="J5" s="604" t="s">
        <v>28</v>
      </c>
      <c r="K5" s="606" t="s">
        <v>35</v>
      </c>
      <c r="L5" s="604" t="s">
        <v>29</v>
      </c>
      <c r="M5" s="597" t="s">
        <v>24</v>
      </c>
      <c r="N5" s="605"/>
      <c r="O5" s="604" t="s">
        <v>26</v>
      </c>
      <c r="P5" s="604" t="s">
        <v>27</v>
      </c>
      <c r="Q5" s="604" t="s">
        <v>36</v>
      </c>
      <c r="R5" s="609" t="s">
        <v>37</v>
      </c>
    </row>
    <row r="6" spans="1:37" ht="30.75" thickBot="1" x14ac:dyDescent="0.3">
      <c r="A6" s="585"/>
      <c r="B6" s="525"/>
      <c r="C6" s="559"/>
      <c r="D6" s="1" t="s">
        <v>7</v>
      </c>
      <c r="E6" s="6" t="s">
        <v>16</v>
      </c>
      <c r="F6" s="5" t="s">
        <v>23</v>
      </c>
      <c r="G6" s="585"/>
      <c r="H6" s="1" t="s">
        <v>40</v>
      </c>
      <c r="I6" s="2" t="s">
        <v>47</v>
      </c>
      <c r="J6" s="608"/>
      <c r="K6" s="607"/>
      <c r="L6" s="525"/>
      <c r="M6" s="2" t="s">
        <v>25</v>
      </c>
      <c r="N6" s="2" t="s">
        <v>44</v>
      </c>
      <c r="O6" s="525"/>
      <c r="P6" s="525"/>
      <c r="Q6" s="608"/>
      <c r="R6" s="610"/>
    </row>
    <row r="7" spans="1:37" s="19" customFormat="1" ht="147.6" customHeight="1" x14ac:dyDescent="0.2">
      <c r="A7" s="526" t="s">
        <v>58</v>
      </c>
      <c r="B7" s="588">
        <f>F7+F12</f>
        <v>115245588.23529413</v>
      </c>
      <c r="C7" s="330">
        <f>'Intervencijų lėšos (2)'!J25</f>
        <v>87958750</v>
      </c>
      <c r="D7" s="309" t="s">
        <v>112</v>
      </c>
      <c r="E7" s="329">
        <f>C7/0.85*0.15</f>
        <v>15522132.352941178</v>
      </c>
      <c r="F7" s="330">
        <f>C7+E7</f>
        <v>103480882.35294119</v>
      </c>
      <c r="G7" s="330">
        <f>F7</f>
        <v>103480882.35294119</v>
      </c>
      <c r="H7" s="25" t="s">
        <v>64</v>
      </c>
      <c r="I7" s="37" t="s">
        <v>143</v>
      </c>
      <c r="J7" s="640" t="s">
        <v>41</v>
      </c>
      <c r="K7" s="536" t="s">
        <v>38</v>
      </c>
      <c r="L7" s="27" t="s">
        <v>60</v>
      </c>
      <c r="M7" s="27" t="s">
        <v>39</v>
      </c>
      <c r="N7" s="27" t="s">
        <v>244</v>
      </c>
      <c r="O7" s="28">
        <f>P7*0.2</f>
        <v>15.98986594117647</v>
      </c>
      <c r="P7" s="328">
        <f>G7*0.7726/1000000</f>
        <v>79.949329705882349</v>
      </c>
      <c r="Q7" s="36" t="s">
        <v>31</v>
      </c>
      <c r="R7" s="129" t="s">
        <v>251</v>
      </c>
      <c r="S7" s="331" t="s">
        <v>273</v>
      </c>
      <c r="T7" s="18"/>
      <c r="U7" s="82"/>
      <c r="V7" s="18"/>
      <c r="W7" s="18"/>
      <c r="X7" s="18"/>
      <c r="Y7" s="18"/>
      <c r="Z7" s="18"/>
      <c r="AA7" s="18"/>
    </row>
    <row r="8" spans="1:37" s="19" customFormat="1" ht="109.9" customHeight="1" x14ac:dyDescent="0.25">
      <c r="A8" s="527"/>
      <c r="B8" s="589"/>
      <c r="C8" s="308"/>
      <c r="D8" s="310"/>
      <c r="E8" s="311"/>
      <c r="F8" s="308"/>
      <c r="G8" s="308"/>
      <c r="H8" s="25" t="s">
        <v>63</v>
      </c>
      <c r="I8" s="37" t="s">
        <v>61</v>
      </c>
      <c r="J8" s="640"/>
      <c r="K8" s="536"/>
      <c r="L8" s="34" t="s">
        <v>90</v>
      </c>
      <c r="M8" s="16">
        <f>688*79.95*1.74*365</f>
        <v>34934056.559999995</v>
      </c>
      <c r="N8" s="34" t="s">
        <v>244</v>
      </c>
      <c r="O8" s="16">
        <v>0</v>
      </c>
      <c r="P8" s="16">
        <f>726*79.95*1.74*365</f>
        <v>36863553.869999997</v>
      </c>
      <c r="Q8" s="34" t="s">
        <v>31</v>
      </c>
      <c r="R8" s="99" t="s">
        <v>253</v>
      </c>
      <c r="S8" s="371" t="s">
        <v>266</v>
      </c>
      <c r="T8" s="82"/>
      <c r="U8" s="18"/>
      <c r="V8" s="18"/>
      <c r="W8" s="18"/>
      <c r="X8" s="18"/>
      <c r="Y8" s="18"/>
      <c r="Z8" s="18"/>
      <c r="AA8" s="18"/>
    </row>
    <row r="9" spans="1:37" s="19" customFormat="1" ht="169.15" customHeight="1" x14ac:dyDescent="0.2">
      <c r="A9" s="527"/>
      <c r="B9" s="589"/>
      <c r="C9" s="308"/>
      <c r="D9" s="310"/>
      <c r="E9" s="311"/>
      <c r="F9" s="308"/>
      <c r="G9" s="308"/>
      <c r="H9" s="25" t="s">
        <v>65</v>
      </c>
      <c r="I9" s="37" t="s">
        <v>62</v>
      </c>
      <c r="J9" s="640"/>
      <c r="K9" s="536"/>
      <c r="L9" s="34" t="s">
        <v>91</v>
      </c>
      <c r="M9" s="307">
        <f>(79.95/71.16)*1.74*688*365</f>
        <v>490922.66104553122</v>
      </c>
      <c r="N9" s="148" t="s">
        <v>244</v>
      </c>
      <c r="O9" s="16">
        <v>0</v>
      </c>
      <c r="P9" s="307">
        <f>(79.95/71.16-79.95/89.32)*1.74*726*365</f>
        <v>105324.2540351722</v>
      </c>
      <c r="Q9" s="37" t="s">
        <v>31</v>
      </c>
      <c r="R9" s="53" t="s">
        <v>240</v>
      </c>
      <c r="S9" s="332" t="s">
        <v>265</v>
      </c>
      <c r="T9" s="18"/>
      <c r="U9" s="18"/>
      <c r="V9" s="18"/>
      <c r="W9" s="18"/>
      <c r="X9" s="18"/>
      <c r="Y9" s="18"/>
      <c r="Z9" s="18"/>
      <c r="AA9" s="18"/>
    </row>
    <row r="10" spans="1:37" s="20" customFormat="1" ht="158.44999999999999" customHeight="1" x14ac:dyDescent="0.25">
      <c r="A10" s="527"/>
      <c r="B10" s="589"/>
      <c r="C10" s="308"/>
      <c r="D10" s="310"/>
      <c r="E10" s="311"/>
      <c r="F10" s="308"/>
      <c r="G10" s="308"/>
      <c r="H10" s="37" t="s">
        <v>48</v>
      </c>
      <c r="I10" s="37" t="s">
        <v>287</v>
      </c>
      <c r="J10" s="640"/>
      <c r="K10" s="536"/>
      <c r="L10" s="33" t="s">
        <v>281</v>
      </c>
      <c r="M10" s="37" t="s">
        <v>39</v>
      </c>
      <c r="N10" s="148" t="s">
        <v>244</v>
      </c>
      <c r="O10" s="98">
        <f>P10*0.2</f>
        <v>2.8000000000000003</v>
      </c>
      <c r="P10" s="37" t="s">
        <v>92</v>
      </c>
      <c r="Q10" s="37" t="s">
        <v>31</v>
      </c>
      <c r="R10" s="53" t="s">
        <v>145</v>
      </c>
      <c r="S10" s="333" t="s">
        <v>254</v>
      </c>
      <c r="T10" s="147"/>
      <c r="U10" s="18"/>
      <c r="V10" s="18"/>
      <c r="W10" s="18"/>
      <c r="X10" s="18"/>
      <c r="Y10" s="18"/>
      <c r="Z10" s="18"/>
      <c r="AA10" s="18"/>
      <c r="AB10" s="19"/>
      <c r="AC10" s="19"/>
      <c r="AD10" s="19"/>
      <c r="AE10" s="19"/>
      <c r="AF10" s="19"/>
      <c r="AG10" s="19"/>
      <c r="AH10" s="19"/>
      <c r="AI10" s="19"/>
      <c r="AJ10" s="19"/>
      <c r="AK10" s="19"/>
    </row>
    <row r="11" spans="1:37" s="20" customFormat="1" ht="96.6" customHeight="1" x14ac:dyDescent="0.2">
      <c r="A11" s="527"/>
      <c r="B11" s="589"/>
      <c r="C11" s="308"/>
      <c r="D11" s="310"/>
      <c r="E11" s="311"/>
      <c r="F11" s="308"/>
      <c r="G11" s="308"/>
      <c r="H11" s="37" t="s">
        <v>49</v>
      </c>
      <c r="I11" s="37" t="s">
        <v>93</v>
      </c>
      <c r="J11" s="640"/>
      <c r="K11" s="536"/>
      <c r="L11" s="84" t="s">
        <v>282</v>
      </c>
      <c r="M11" s="37" t="s">
        <v>94</v>
      </c>
      <c r="N11" s="34" t="s">
        <v>244</v>
      </c>
      <c r="O11" s="34" t="s">
        <v>8</v>
      </c>
      <c r="P11" s="37" t="s">
        <v>95</v>
      </c>
      <c r="Q11" s="37" t="s">
        <v>31</v>
      </c>
      <c r="R11" s="53" t="s">
        <v>250</v>
      </c>
      <c r="S11" s="332" t="s">
        <v>255</v>
      </c>
      <c r="T11" s="74"/>
      <c r="U11" s="18"/>
      <c r="V11" s="18"/>
      <c r="W11" s="18"/>
      <c r="X11" s="18"/>
      <c r="Y11" s="18"/>
      <c r="Z11" s="18"/>
      <c r="AA11" s="18"/>
      <c r="AB11" s="19"/>
      <c r="AC11" s="19"/>
      <c r="AD11" s="19"/>
      <c r="AE11" s="19"/>
      <c r="AF11" s="19"/>
      <c r="AG11" s="19"/>
      <c r="AH11" s="19"/>
      <c r="AI11" s="19"/>
      <c r="AJ11" s="19"/>
      <c r="AK11" s="19"/>
    </row>
    <row r="12" spans="1:37" s="20" customFormat="1" ht="118.9" customHeight="1" x14ac:dyDescent="0.2">
      <c r="A12" s="527"/>
      <c r="B12" s="589"/>
      <c r="C12" s="638">
        <f>'Intervencijų lėšos (2)'!J26</f>
        <v>10000000</v>
      </c>
      <c r="D12" s="536" t="s">
        <v>66</v>
      </c>
      <c r="E12" s="639">
        <f>C12/0.85*0.15</f>
        <v>1764705.882352941</v>
      </c>
      <c r="F12" s="638">
        <f>C12+E12</f>
        <v>11764705.882352941</v>
      </c>
      <c r="G12" s="638">
        <f>F12</f>
        <v>11764705.882352941</v>
      </c>
      <c r="H12" s="25" t="s">
        <v>80</v>
      </c>
      <c r="I12" s="37" t="s">
        <v>67</v>
      </c>
      <c r="J12" s="640"/>
      <c r="K12" s="536"/>
      <c r="L12" s="34" t="s">
        <v>60</v>
      </c>
      <c r="M12" s="37" t="s">
        <v>39</v>
      </c>
      <c r="N12" s="34" t="s">
        <v>244</v>
      </c>
      <c r="O12" s="79">
        <f>P12*0.5</f>
        <v>19.61</v>
      </c>
      <c r="P12" s="79">
        <v>39.22</v>
      </c>
      <c r="Q12" s="37" t="s">
        <v>31</v>
      </c>
      <c r="R12" s="323" t="s">
        <v>144</v>
      </c>
      <c r="S12" s="327" t="s">
        <v>256</v>
      </c>
      <c r="T12" s="74"/>
      <c r="U12" s="18"/>
      <c r="V12" s="18"/>
      <c r="W12" s="18"/>
      <c r="X12" s="18"/>
      <c r="Y12" s="18"/>
      <c r="Z12" s="18"/>
      <c r="AA12" s="18"/>
      <c r="AB12" s="19"/>
      <c r="AC12" s="19"/>
      <c r="AD12" s="19"/>
      <c r="AE12" s="19"/>
      <c r="AF12" s="19"/>
      <c r="AG12" s="19"/>
      <c r="AH12" s="19"/>
      <c r="AI12" s="19"/>
      <c r="AJ12" s="19"/>
      <c r="AK12" s="19"/>
    </row>
    <row r="13" spans="1:37" s="20" customFormat="1" ht="139.9" customHeight="1" thickBot="1" x14ac:dyDescent="0.25">
      <c r="A13" s="532"/>
      <c r="B13" s="599"/>
      <c r="C13" s="638"/>
      <c r="D13" s="536"/>
      <c r="E13" s="639"/>
      <c r="F13" s="638"/>
      <c r="G13" s="638"/>
      <c r="H13" s="25" t="s">
        <v>82</v>
      </c>
      <c r="I13" s="37" t="s">
        <v>68</v>
      </c>
      <c r="J13" s="640"/>
      <c r="K13" s="536"/>
      <c r="L13" s="38" t="s">
        <v>96</v>
      </c>
      <c r="M13" s="35" t="s">
        <v>39</v>
      </c>
      <c r="N13" s="35" t="s">
        <v>244</v>
      </c>
      <c r="O13" s="35" t="s">
        <v>8</v>
      </c>
      <c r="P13" s="136">
        <f>32500*0.4</f>
        <v>13000</v>
      </c>
      <c r="Q13" s="38" t="s">
        <v>31</v>
      </c>
      <c r="R13" s="314" t="s">
        <v>272</v>
      </c>
      <c r="S13" s="322" t="s">
        <v>257</v>
      </c>
      <c r="T13" s="74"/>
      <c r="U13" s="74"/>
      <c r="V13" s="74"/>
      <c r="W13" s="74"/>
      <c r="X13" s="74"/>
      <c r="Y13" s="74"/>
      <c r="Z13" s="18"/>
      <c r="AA13" s="18"/>
      <c r="AB13" s="19"/>
      <c r="AC13" s="19"/>
      <c r="AD13" s="19"/>
      <c r="AE13" s="19"/>
      <c r="AF13" s="19"/>
      <c r="AG13" s="19"/>
      <c r="AH13" s="19"/>
      <c r="AI13" s="19"/>
      <c r="AJ13" s="19"/>
      <c r="AK13" s="19"/>
    </row>
    <row r="14" spans="1:37" s="20" customFormat="1" ht="51" customHeight="1" x14ac:dyDescent="0.25">
      <c r="A14" s="57"/>
      <c r="B14" s="58"/>
      <c r="C14" s="23">
        <f>C7+C12</f>
        <v>97958750</v>
      </c>
      <c r="D14" s="59"/>
      <c r="E14" s="58"/>
      <c r="F14" s="60"/>
      <c r="G14" s="54"/>
      <c r="H14" s="21"/>
      <c r="I14" s="21"/>
      <c r="J14" s="21"/>
      <c r="K14" s="22"/>
      <c r="L14" s="21"/>
      <c r="M14" s="21"/>
      <c r="N14" s="21"/>
      <c r="O14" s="21"/>
      <c r="P14" s="21"/>
      <c r="Q14" s="56"/>
      <c r="R14" s="18"/>
      <c r="S14" s="325"/>
      <c r="T14" s="18"/>
      <c r="U14" s="18"/>
      <c r="V14" s="18"/>
      <c r="W14" s="18"/>
      <c r="X14" s="18"/>
      <c r="Y14" s="18"/>
      <c r="Z14" s="18"/>
      <c r="AA14" s="19"/>
      <c r="AB14" s="19"/>
      <c r="AC14" s="19"/>
      <c r="AD14" s="19"/>
      <c r="AE14" s="19"/>
      <c r="AF14" s="19"/>
      <c r="AG14" s="19"/>
      <c r="AH14" s="19"/>
      <c r="AI14" s="19"/>
      <c r="AJ14" s="19"/>
    </row>
    <row r="15" spans="1:37" s="20" customFormat="1" ht="51" customHeight="1" x14ac:dyDescent="0.25">
      <c r="A15" s="57"/>
      <c r="B15" s="58"/>
      <c r="C15" s="21"/>
      <c r="D15" s="59"/>
      <c r="E15" s="58"/>
      <c r="F15" s="60"/>
      <c r="G15" s="54"/>
      <c r="H15" s="21"/>
      <c r="I15" s="21"/>
      <c r="J15" s="21"/>
      <c r="K15" s="22"/>
      <c r="L15" s="21"/>
      <c r="M15" s="21"/>
      <c r="N15" s="21"/>
      <c r="O15" s="23"/>
      <c r="P15" s="21"/>
      <c r="Q15" s="86"/>
      <c r="R15" s="74"/>
      <c r="S15" s="325"/>
      <c r="T15" s="18"/>
      <c r="U15" s="18"/>
      <c r="V15" s="18"/>
      <c r="W15" s="18"/>
      <c r="X15" s="18"/>
      <c r="Y15" s="18"/>
      <c r="Z15" s="18"/>
      <c r="AA15" s="19"/>
      <c r="AB15" s="19"/>
      <c r="AC15" s="19"/>
      <c r="AD15" s="19"/>
      <c r="AE15" s="19"/>
      <c r="AF15" s="19"/>
      <c r="AG15" s="19"/>
      <c r="AH15" s="19"/>
      <c r="AI15" s="19"/>
      <c r="AJ15" s="19"/>
    </row>
    <row r="16" spans="1:37" s="20" customFormat="1" ht="51" customHeight="1" x14ac:dyDescent="0.25">
      <c r="A16" s="77" t="s">
        <v>5</v>
      </c>
      <c r="B16" s="11" t="s">
        <v>6</v>
      </c>
      <c r="C16" s="77" t="s">
        <v>1</v>
      </c>
      <c r="D16" s="77" t="s">
        <v>9</v>
      </c>
      <c r="E16" s="77" t="s">
        <v>14</v>
      </c>
      <c r="F16" s="77" t="s">
        <v>13</v>
      </c>
      <c r="G16" s="77" t="s">
        <v>10</v>
      </c>
      <c r="H16" s="77" t="s">
        <v>2</v>
      </c>
      <c r="I16" s="77" t="s">
        <v>3</v>
      </c>
      <c r="J16" s="21"/>
      <c r="K16" s="22"/>
      <c r="L16" s="21"/>
      <c r="M16" s="21"/>
      <c r="N16" s="21"/>
      <c r="O16" s="21"/>
      <c r="P16" s="21"/>
      <c r="Q16" s="86"/>
      <c r="R16" s="18"/>
      <c r="S16" s="325"/>
      <c r="T16" s="18"/>
      <c r="U16" s="18"/>
      <c r="V16" s="18"/>
      <c r="W16" s="18"/>
      <c r="X16" s="18"/>
      <c r="Y16" s="18"/>
      <c r="Z16" s="18"/>
      <c r="AA16" s="19"/>
      <c r="AB16" s="19"/>
      <c r="AC16" s="19"/>
      <c r="AD16" s="19"/>
      <c r="AE16" s="19"/>
      <c r="AF16" s="19"/>
      <c r="AG16" s="19"/>
      <c r="AH16" s="19"/>
      <c r="AI16" s="19"/>
      <c r="AJ16" s="19"/>
    </row>
    <row r="17" spans="1:36" s="20" customFormat="1" ht="61.9" customHeight="1" x14ac:dyDescent="0.25">
      <c r="A17" s="25" t="s">
        <v>64</v>
      </c>
      <c r="B17" s="37" t="s">
        <v>143</v>
      </c>
      <c r="C17" s="81" t="s">
        <v>60</v>
      </c>
      <c r="D17" s="40" t="str">
        <f t="shared" ref="D17:D23" si="0">M7</f>
        <v>0</v>
      </c>
      <c r="E17" s="14" t="s">
        <v>41</v>
      </c>
      <c r="F17" s="78" t="s">
        <v>38</v>
      </c>
      <c r="G17" s="80">
        <v>2021</v>
      </c>
      <c r="H17" s="78">
        <f t="shared" ref="H17:I23" si="1">O7</f>
        <v>15.98986594117647</v>
      </c>
      <c r="I17" s="78">
        <f>P7</f>
        <v>79.949329705882349</v>
      </c>
      <c r="J17" s="21"/>
      <c r="K17" s="22"/>
      <c r="L17" s="21"/>
      <c r="M17" s="21"/>
      <c r="N17" s="23"/>
      <c r="O17" s="21"/>
      <c r="P17" s="21"/>
      <c r="Q17" s="24"/>
      <c r="R17" s="18"/>
      <c r="S17" s="325"/>
      <c r="T17" s="18"/>
      <c r="U17" s="18"/>
      <c r="V17" s="18"/>
      <c r="W17" s="18"/>
      <c r="X17" s="18"/>
      <c r="Y17" s="18"/>
      <c r="Z17" s="18"/>
      <c r="AA17" s="19"/>
      <c r="AB17" s="19"/>
      <c r="AC17" s="19"/>
      <c r="AD17" s="19"/>
      <c r="AE17" s="19"/>
      <c r="AF17" s="19"/>
      <c r="AG17" s="19"/>
      <c r="AH17" s="19"/>
      <c r="AI17" s="19"/>
      <c r="AJ17" s="19"/>
    </row>
    <row r="18" spans="1:36" s="113" customFormat="1" ht="90" x14ac:dyDescent="0.25">
      <c r="A18" s="119" t="s">
        <v>63</v>
      </c>
      <c r="B18" s="118" t="s">
        <v>61</v>
      </c>
      <c r="C18" s="117" t="s">
        <v>90</v>
      </c>
      <c r="D18" s="122">
        <f t="shared" si="0"/>
        <v>34934056.559999995</v>
      </c>
      <c r="E18" s="109" t="s">
        <v>41</v>
      </c>
      <c r="F18" s="110" t="s">
        <v>38</v>
      </c>
      <c r="G18" s="111">
        <v>2021</v>
      </c>
      <c r="H18" s="112">
        <f t="shared" si="1"/>
        <v>0</v>
      </c>
      <c r="I18" s="112">
        <f t="shared" si="1"/>
        <v>36863553.869999997</v>
      </c>
      <c r="S18" s="326"/>
    </row>
    <row r="19" spans="1:36" s="113" customFormat="1" ht="60" x14ac:dyDescent="0.25">
      <c r="A19" s="116" t="s">
        <v>65</v>
      </c>
      <c r="B19" s="116" t="s">
        <v>62</v>
      </c>
      <c r="C19" s="118" t="str">
        <f>L9</f>
        <v>Road passenger-hours/year</v>
      </c>
      <c r="D19" s="122">
        <f t="shared" si="0"/>
        <v>490922.66104553122</v>
      </c>
      <c r="E19" s="116" t="s">
        <v>41</v>
      </c>
      <c r="F19" s="111" t="s">
        <v>38</v>
      </c>
      <c r="G19" s="116" t="s">
        <v>42</v>
      </c>
      <c r="H19" s="112">
        <f t="shared" si="1"/>
        <v>0</v>
      </c>
      <c r="I19" s="112">
        <f t="shared" si="1"/>
        <v>105324.2540351722</v>
      </c>
      <c r="S19" s="326"/>
    </row>
    <row r="20" spans="1:36" s="113" customFormat="1" ht="90" x14ac:dyDescent="0.25">
      <c r="A20" s="119" t="s">
        <v>48</v>
      </c>
      <c r="B20" s="118" t="s">
        <v>132</v>
      </c>
      <c r="C20" s="121" t="s">
        <v>79</v>
      </c>
      <c r="D20" s="119" t="str">
        <f t="shared" si="0"/>
        <v>0</v>
      </c>
      <c r="E20" s="116" t="s">
        <v>41</v>
      </c>
      <c r="F20" s="111" t="s">
        <v>38</v>
      </c>
      <c r="G20" s="116">
        <v>2021</v>
      </c>
      <c r="H20" s="126">
        <f>O10</f>
        <v>2.8000000000000003</v>
      </c>
      <c r="I20" s="119" t="str">
        <f t="shared" si="1"/>
        <v>14</v>
      </c>
      <c r="S20" s="326"/>
    </row>
    <row r="21" spans="1:36" s="113" customFormat="1" ht="30" x14ac:dyDescent="0.25">
      <c r="A21" s="119" t="s">
        <v>49</v>
      </c>
      <c r="B21" s="118" t="s">
        <v>93</v>
      </c>
      <c r="C21" s="128" t="s">
        <v>135</v>
      </c>
      <c r="D21" s="110" t="str">
        <f t="shared" si="0"/>
        <v>66</v>
      </c>
      <c r="E21" s="127" t="s">
        <v>41</v>
      </c>
      <c r="F21" s="110" t="s">
        <v>38</v>
      </c>
      <c r="G21" s="122">
        <v>2021</v>
      </c>
      <c r="H21" s="110" t="str">
        <f t="shared" si="1"/>
        <v>n/a</v>
      </c>
      <c r="I21" s="110" t="str">
        <f t="shared" si="1"/>
        <v>30</v>
      </c>
      <c r="S21" s="326"/>
    </row>
    <row r="22" spans="1:36" s="113" customFormat="1" ht="60" x14ac:dyDescent="0.25">
      <c r="A22" s="119" t="s">
        <v>80</v>
      </c>
      <c r="B22" s="118" t="s">
        <v>67</v>
      </c>
      <c r="C22" s="117" t="s">
        <v>60</v>
      </c>
      <c r="D22" s="110" t="str">
        <f t="shared" si="0"/>
        <v>0</v>
      </c>
      <c r="E22" s="127" t="s">
        <v>41</v>
      </c>
      <c r="F22" s="110" t="s">
        <v>38</v>
      </c>
      <c r="G22" s="122">
        <v>2021</v>
      </c>
      <c r="H22" s="110">
        <f t="shared" si="1"/>
        <v>19.61</v>
      </c>
      <c r="I22" s="110">
        <f>P12</f>
        <v>39.22</v>
      </c>
      <c r="S22" s="326"/>
    </row>
    <row r="23" spans="1:36" ht="60.75" thickBot="1" x14ac:dyDescent="0.3">
      <c r="A23" s="25" t="s">
        <v>82</v>
      </c>
      <c r="B23" s="37" t="s">
        <v>68</v>
      </c>
      <c r="C23" s="38" t="s">
        <v>96</v>
      </c>
      <c r="D23" s="78" t="str">
        <f t="shared" si="0"/>
        <v>0</v>
      </c>
      <c r="E23" s="79" t="s">
        <v>41</v>
      </c>
      <c r="F23" s="78" t="s">
        <v>38</v>
      </c>
      <c r="G23" s="31">
        <v>2021</v>
      </c>
      <c r="H23" s="78" t="str">
        <f t="shared" si="1"/>
        <v>n/a</v>
      </c>
      <c r="I23" s="78">
        <f t="shared" si="1"/>
        <v>13000</v>
      </c>
    </row>
    <row r="24" spans="1:36" x14ac:dyDescent="0.25">
      <c r="A24" s="3"/>
      <c r="B24" s="3"/>
      <c r="C24" s="3"/>
      <c r="D24" s="4"/>
      <c r="E24" s="4"/>
      <c r="F24" s="4"/>
      <c r="G24" s="4"/>
      <c r="H24" s="4"/>
      <c r="I24" s="4"/>
    </row>
    <row r="25" spans="1:36" x14ac:dyDescent="0.25">
      <c r="A25" s="3"/>
      <c r="B25" s="3"/>
      <c r="C25" s="3"/>
      <c r="D25" s="4"/>
      <c r="E25" s="4"/>
      <c r="F25" s="4"/>
      <c r="G25" s="4"/>
      <c r="H25" s="4"/>
      <c r="I25" s="4"/>
    </row>
    <row r="26" spans="1:36" x14ac:dyDescent="0.25">
      <c r="A26" s="3"/>
      <c r="B26" s="3"/>
      <c r="C26" s="3"/>
      <c r="D26" s="3"/>
      <c r="E26" s="3"/>
      <c r="F26" s="3"/>
      <c r="G26" s="3"/>
    </row>
  </sheetData>
  <mergeCells count="23">
    <mergeCell ref="J7:J13"/>
    <mergeCell ref="K7:K13"/>
    <mergeCell ref="Q5:Q6"/>
    <mergeCell ref="R5:R6"/>
    <mergeCell ref="D5:F5"/>
    <mergeCell ref="H5:I5"/>
    <mergeCell ref="J5:J6"/>
    <mergeCell ref="M5:N5"/>
    <mergeCell ref="O5:O6"/>
    <mergeCell ref="L5:L6"/>
    <mergeCell ref="P5:P6"/>
    <mergeCell ref="K5:K6"/>
    <mergeCell ref="A5:A6"/>
    <mergeCell ref="C5:C6"/>
    <mergeCell ref="G5:G6"/>
    <mergeCell ref="A7:A13"/>
    <mergeCell ref="D12:D13"/>
    <mergeCell ref="C12:C13"/>
    <mergeCell ref="E12:E13"/>
    <mergeCell ref="F12:F13"/>
    <mergeCell ref="G12:G13"/>
    <mergeCell ref="B5:B6"/>
    <mergeCell ref="B7:B13"/>
  </mergeCells>
  <phoneticPr fontId="33"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4"/>
  <sheetViews>
    <sheetView zoomScale="55" zoomScaleNormal="55" workbookViewId="0">
      <selection activeCell="I38" sqref="I38"/>
    </sheetView>
  </sheetViews>
  <sheetFormatPr defaultRowHeight="15" x14ac:dyDescent="0.2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7" bestFit="1" customWidth="1"/>
    <col min="22" max="23" width="8.85546875" style="17"/>
    <col min="24" max="24" width="10.42578125" bestFit="1" customWidth="1"/>
  </cols>
  <sheetData>
    <row r="1" spans="1:37" x14ac:dyDescent="0.25">
      <c r="A1" s="9"/>
      <c r="L1" s="29"/>
    </row>
    <row r="4" spans="1:37" ht="15.75" thickBot="1" x14ac:dyDescent="0.3">
      <c r="A4" s="9" t="s">
        <v>32</v>
      </c>
    </row>
    <row r="5" spans="1:37" ht="15" customHeight="1" x14ac:dyDescent="0.25">
      <c r="A5" s="663" t="s">
        <v>0</v>
      </c>
      <c r="B5" s="524" t="s">
        <v>75</v>
      </c>
      <c r="C5" s="558" t="s">
        <v>76</v>
      </c>
      <c r="D5" s="656" t="s">
        <v>4</v>
      </c>
      <c r="E5" s="656"/>
      <c r="F5" s="656"/>
      <c r="G5" s="660" t="s">
        <v>17</v>
      </c>
      <c r="H5" s="662" t="s">
        <v>83</v>
      </c>
      <c r="I5" s="662"/>
      <c r="J5" s="656" t="s">
        <v>14</v>
      </c>
      <c r="K5" s="656" t="s">
        <v>13</v>
      </c>
      <c r="L5" s="656" t="s">
        <v>1</v>
      </c>
      <c r="M5" s="656" t="s">
        <v>84</v>
      </c>
      <c r="N5" s="656"/>
      <c r="O5" s="660" t="s">
        <v>2</v>
      </c>
      <c r="P5" s="656" t="s">
        <v>3</v>
      </c>
      <c r="Q5" s="656" t="s">
        <v>85</v>
      </c>
      <c r="R5" s="658" t="s">
        <v>86</v>
      </c>
      <c r="S5" s="39"/>
      <c r="T5" s="39"/>
      <c r="U5" s="75"/>
      <c r="V5" s="75"/>
      <c r="W5" s="75"/>
      <c r="X5" s="39"/>
      <c r="Y5" s="39"/>
      <c r="Z5" s="39"/>
      <c r="AA5" s="39"/>
      <c r="AB5" s="10"/>
      <c r="AC5" s="10"/>
      <c r="AD5" s="10"/>
      <c r="AE5" s="10"/>
      <c r="AF5" s="10"/>
      <c r="AG5" s="10"/>
      <c r="AH5" s="10"/>
      <c r="AI5" s="10"/>
      <c r="AJ5" s="10"/>
      <c r="AK5" s="10"/>
    </row>
    <row r="6" spans="1:37" ht="84" customHeight="1" thickBot="1" x14ac:dyDescent="0.3">
      <c r="A6" s="664"/>
      <c r="B6" s="525"/>
      <c r="C6" s="559"/>
      <c r="D6" s="353" t="s">
        <v>7</v>
      </c>
      <c r="E6" s="352" t="s">
        <v>16</v>
      </c>
      <c r="F6" s="41" t="s">
        <v>87</v>
      </c>
      <c r="G6" s="661"/>
      <c r="H6" s="353" t="s">
        <v>5</v>
      </c>
      <c r="I6" s="353" t="s">
        <v>6</v>
      </c>
      <c r="J6" s="657"/>
      <c r="K6" s="657"/>
      <c r="L6" s="657"/>
      <c r="M6" s="353" t="s">
        <v>88</v>
      </c>
      <c r="N6" s="353" t="s">
        <v>89</v>
      </c>
      <c r="O6" s="661"/>
      <c r="P6" s="657"/>
      <c r="Q6" s="657"/>
      <c r="R6" s="659"/>
      <c r="S6" s="39"/>
      <c r="T6" s="39"/>
      <c r="U6" s="75"/>
      <c r="V6" s="75"/>
      <c r="W6" s="75"/>
      <c r="X6" s="39"/>
      <c r="Y6" s="39"/>
      <c r="Z6" s="39"/>
      <c r="AA6" s="39"/>
      <c r="AB6" s="10"/>
      <c r="AC6" s="10"/>
      <c r="AD6" s="10"/>
      <c r="AE6" s="10"/>
      <c r="AF6" s="10"/>
      <c r="AG6" s="10"/>
      <c r="AH6" s="10"/>
      <c r="AI6" s="10"/>
      <c r="AJ6" s="10"/>
      <c r="AK6" s="10"/>
    </row>
    <row r="7" spans="1:37" ht="42" hidden="1" customHeight="1" x14ac:dyDescent="0.25">
      <c r="A7" s="563"/>
      <c r="B7" s="50"/>
      <c r="C7" s="647">
        <f>'[1]Intervencijų lėšos'!I8</f>
        <v>10000000</v>
      </c>
      <c r="D7" s="649" t="s">
        <v>78</v>
      </c>
      <c r="E7" s="651">
        <f>(C7*100/70)-C7</f>
        <v>4285714.2857142854</v>
      </c>
      <c r="F7" s="653">
        <f>C7+E7</f>
        <v>14285714.285714285</v>
      </c>
      <c r="G7" s="355">
        <f>F7</f>
        <v>14285714.285714285</v>
      </c>
      <c r="H7" s="43" t="s">
        <v>50</v>
      </c>
      <c r="I7" s="43" t="s">
        <v>51</v>
      </c>
      <c r="J7" s="44" t="s">
        <v>69</v>
      </c>
      <c r="K7" s="44" t="s">
        <v>21</v>
      </c>
      <c r="L7" s="43" t="s">
        <v>52</v>
      </c>
      <c r="M7" s="43"/>
      <c r="N7" s="43"/>
      <c r="O7" s="354"/>
      <c r="P7" s="43"/>
      <c r="Q7" s="43" t="s">
        <v>31</v>
      </c>
      <c r="R7" s="42"/>
      <c r="S7" s="39"/>
      <c r="T7" s="39"/>
      <c r="U7" s="75"/>
      <c r="V7" s="75"/>
      <c r="W7" s="75"/>
      <c r="X7" s="39"/>
      <c r="Y7" s="39"/>
      <c r="Z7" s="39"/>
      <c r="AA7" s="39"/>
      <c r="AB7" s="10"/>
      <c r="AC7" s="10"/>
      <c r="AD7" s="10"/>
      <c r="AE7" s="10"/>
      <c r="AF7" s="10"/>
      <c r="AG7" s="10"/>
      <c r="AH7" s="10"/>
      <c r="AI7" s="10"/>
      <c r="AJ7" s="10"/>
      <c r="AK7" s="10"/>
    </row>
    <row r="8" spans="1:37" ht="35.450000000000003" hidden="1" customHeight="1" x14ac:dyDescent="0.25">
      <c r="A8" s="564"/>
      <c r="B8" s="51"/>
      <c r="C8" s="648"/>
      <c r="D8" s="650"/>
      <c r="E8" s="652"/>
      <c r="F8" s="648"/>
      <c r="G8" s="45"/>
      <c r="H8" s="46"/>
      <c r="I8" s="46"/>
      <c r="J8" s="46"/>
      <c r="K8" s="46"/>
      <c r="L8" s="46"/>
      <c r="M8" s="46"/>
      <c r="N8" s="46"/>
      <c r="O8" s="47"/>
      <c r="P8" s="46"/>
      <c r="Q8" s="46" t="s">
        <v>31</v>
      </c>
      <c r="R8" s="48"/>
      <c r="S8" s="39"/>
      <c r="T8" s="39"/>
      <c r="U8" s="75"/>
      <c r="V8" s="75"/>
      <c r="W8" s="75"/>
      <c r="X8" s="39"/>
      <c r="Y8" s="39"/>
      <c r="Z8" s="39"/>
      <c r="AA8" s="39"/>
      <c r="AB8" s="10"/>
      <c r="AC8" s="10"/>
      <c r="AD8" s="10"/>
      <c r="AE8" s="10"/>
      <c r="AF8" s="10"/>
      <c r="AG8" s="10"/>
      <c r="AH8" s="10"/>
      <c r="AI8" s="10"/>
      <c r="AJ8" s="10"/>
      <c r="AK8" s="10"/>
    </row>
    <row r="9" spans="1:37" s="20" customFormat="1" ht="90" customHeight="1" x14ac:dyDescent="0.2">
      <c r="A9" s="654" t="s">
        <v>304</v>
      </c>
      <c r="B9" s="618">
        <f>F9</f>
        <v>11764705.882352941</v>
      </c>
      <c r="C9" s="618">
        <v>10000000</v>
      </c>
      <c r="D9" s="643" t="s">
        <v>277</v>
      </c>
      <c r="E9" s="618">
        <f>C9/0.85*0.15</f>
        <v>1764705.882352941</v>
      </c>
      <c r="F9" s="618">
        <f>C9+E9</f>
        <v>11764705.882352941</v>
      </c>
      <c r="G9" s="618">
        <f>F9</f>
        <v>11764705.882352941</v>
      </c>
      <c r="H9" s="359" t="s">
        <v>70</v>
      </c>
      <c r="I9" s="145" t="s">
        <v>67</v>
      </c>
      <c r="J9" s="641" t="s">
        <v>41</v>
      </c>
      <c r="K9" s="643" t="s">
        <v>38</v>
      </c>
      <c r="L9" s="145" t="s">
        <v>60</v>
      </c>
      <c r="M9" s="145" t="s">
        <v>39</v>
      </c>
      <c r="N9" s="145" t="s">
        <v>42</v>
      </c>
      <c r="O9" s="360">
        <f>P9*0.1</f>
        <v>6.8000000000000007</v>
      </c>
      <c r="P9" s="145" t="s">
        <v>81</v>
      </c>
      <c r="Q9" s="145" t="s">
        <v>31</v>
      </c>
      <c r="R9" s="361" t="s">
        <v>283</v>
      </c>
      <c r="S9" s="366" t="s">
        <v>284</v>
      </c>
      <c r="T9" s="645" t="s">
        <v>279</v>
      </c>
      <c r="U9" s="82"/>
      <c r="V9" s="82"/>
      <c r="W9" s="74"/>
      <c r="X9" s="74"/>
      <c r="Y9" s="18"/>
      <c r="Z9" s="18"/>
      <c r="AA9" s="18"/>
      <c r="AB9" s="19"/>
      <c r="AC9" s="19"/>
      <c r="AD9" s="19"/>
      <c r="AE9" s="19"/>
      <c r="AF9" s="19"/>
      <c r="AG9" s="19"/>
      <c r="AH9" s="19"/>
      <c r="AI9" s="19"/>
      <c r="AJ9" s="19"/>
      <c r="AK9" s="19"/>
    </row>
    <row r="10" spans="1:37" s="20" customFormat="1" ht="163.15" customHeight="1" thickBot="1" x14ac:dyDescent="0.25">
      <c r="A10" s="655"/>
      <c r="B10" s="626"/>
      <c r="C10" s="626"/>
      <c r="D10" s="644"/>
      <c r="E10" s="626"/>
      <c r="F10" s="626"/>
      <c r="G10" s="626"/>
      <c r="H10" s="362" t="s">
        <v>71</v>
      </c>
      <c r="I10" s="35" t="s">
        <v>68</v>
      </c>
      <c r="J10" s="642"/>
      <c r="K10" s="644"/>
      <c r="L10" s="35" t="s">
        <v>96</v>
      </c>
      <c r="M10" s="136">
        <f>369450*0.069</f>
        <v>25492.050000000003</v>
      </c>
      <c r="N10" s="35" t="s">
        <v>72</v>
      </c>
      <c r="O10" s="363" t="s">
        <v>8</v>
      </c>
      <c r="P10" s="136">
        <f>341224*0.128</f>
        <v>43676.671999999999</v>
      </c>
      <c r="Q10" s="35" t="s">
        <v>31</v>
      </c>
      <c r="R10" s="364" t="s">
        <v>278</v>
      </c>
      <c r="S10" s="367" t="s">
        <v>285</v>
      </c>
      <c r="T10" s="645"/>
      <c r="U10" s="74"/>
      <c r="V10" s="74"/>
      <c r="W10" s="74"/>
      <c r="X10" s="18"/>
      <c r="Y10" s="18"/>
      <c r="Z10" s="18"/>
      <c r="AA10" s="18"/>
      <c r="AB10" s="19"/>
      <c r="AC10" s="19"/>
      <c r="AD10" s="19"/>
      <c r="AE10" s="19"/>
      <c r="AF10" s="19"/>
      <c r="AG10" s="19"/>
      <c r="AH10" s="19"/>
      <c r="AI10" s="19"/>
      <c r="AJ10" s="19"/>
      <c r="AK10" s="19"/>
    </row>
    <row r="11" spans="1:37" s="17" customFormat="1" x14ac:dyDescent="0.25">
      <c r="A11"/>
      <c r="C11" s="17" t="e">
        <f>#REF!+#REF!</f>
        <v>#REF!</v>
      </c>
      <c r="D11"/>
      <c r="E11"/>
      <c r="F11"/>
      <c r="G11"/>
      <c r="H11"/>
      <c r="I11"/>
      <c r="J11"/>
      <c r="K11"/>
      <c r="L11"/>
      <c r="M11"/>
      <c r="N11"/>
      <c r="O11"/>
      <c r="P11"/>
      <c r="Q11"/>
      <c r="R11"/>
      <c r="S11"/>
      <c r="T11"/>
      <c r="X11"/>
      <c r="Y11"/>
      <c r="Z11"/>
      <c r="AA11"/>
      <c r="AB11"/>
      <c r="AC11"/>
      <c r="AD11"/>
      <c r="AE11"/>
      <c r="AF11"/>
      <c r="AG11"/>
      <c r="AH11"/>
      <c r="AI11"/>
      <c r="AJ11"/>
      <c r="AK11"/>
    </row>
    <row r="12" spans="1:37" s="17" customFormat="1" x14ac:dyDescent="0.25">
      <c r="A12"/>
      <c r="B12"/>
      <c r="C12" s="17">
        <f>C9</f>
        <v>10000000</v>
      </c>
      <c r="D12"/>
      <c r="E12"/>
      <c r="F12"/>
      <c r="G12"/>
      <c r="H12"/>
      <c r="I12"/>
      <c r="J12"/>
      <c r="K12"/>
      <c r="L12"/>
      <c r="M12"/>
      <c r="N12"/>
      <c r="O12"/>
      <c r="P12"/>
      <c r="Q12"/>
      <c r="R12"/>
      <c r="S12"/>
      <c r="T12"/>
      <c r="X12"/>
      <c r="Y12"/>
      <c r="Z12"/>
      <c r="AA12"/>
      <c r="AB12"/>
      <c r="AC12"/>
      <c r="AD12"/>
      <c r="AE12"/>
      <c r="AF12"/>
      <c r="AG12"/>
      <c r="AH12"/>
      <c r="AI12"/>
      <c r="AJ12"/>
      <c r="AK12"/>
    </row>
    <row r="13" spans="1:37" s="17" customFormat="1" x14ac:dyDescent="0.25">
      <c r="A13"/>
      <c r="B13"/>
      <c r="C13" s="17" t="e">
        <f>#REF!+#REF!</f>
        <v>#REF!</v>
      </c>
      <c r="D13"/>
      <c r="E13"/>
      <c r="F13"/>
      <c r="G13"/>
      <c r="H13"/>
      <c r="I13"/>
      <c r="J13"/>
      <c r="K13"/>
      <c r="L13"/>
      <c r="M13"/>
      <c r="N13"/>
      <c r="O13"/>
      <c r="P13"/>
      <c r="Q13"/>
      <c r="R13"/>
      <c r="S13"/>
      <c r="T13"/>
      <c r="X13"/>
      <c r="Y13"/>
      <c r="Z13"/>
      <c r="AA13"/>
      <c r="AB13"/>
      <c r="AC13"/>
      <c r="AD13"/>
      <c r="AE13"/>
      <c r="AF13"/>
      <c r="AG13"/>
      <c r="AH13"/>
      <c r="AI13"/>
      <c r="AJ13"/>
      <c r="AK13"/>
    </row>
    <row r="16" spans="1:37" ht="45" x14ac:dyDescent="0.25">
      <c r="A16" s="77" t="s">
        <v>5</v>
      </c>
      <c r="B16" s="11" t="s">
        <v>6</v>
      </c>
      <c r="C16" s="77" t="s">
        <v>1</v>
      </c>
      <c r="D16" s="77" t="s">
        <v>9</v>
      </c>
      <c r="E16" s="77" t="s">
        <v>14</v>
      </c>
      <c r="F16" s="77" t="s">
        <v>13</v>
      </c>
      <c r="G16" s="77" t="s">
        <v>10</v>
      </c>
      <c r="H16" s="77" t="s">
        <v>2</v>
      </c>
      <c r="I16" s="77" t="s">
        <v>3</v>
      </c>
      <c r="J16" s="13"/>
      <c r="K16" s="12"/>
      <c r="N16" s="15"/>
      <c r="O16" s="15"/>
      <c r="T16" s="17"/>
      <c r="W16"/>
    </row>
    <row r="17" spans="1:37" s="17" customFormat="1" ht="45" x14ac:dyDescent="0.25">
      <c r="A17" s="25" t="s">
        <v>70</v>
      </c>
      <c r="B17" s="37" t="s">
        <v>67</v>
      </c>
      <c r="C17" s="34" t="s">
        <v>60</v>
      </c>
      <c r="D17" s="78" t="str">
        <f>M9</f>
        <v>0</v>
      </c>
      <c r="E17" s="37" t="str">
        <f>J9</f>
        <v>Midle- west Lithuania region</v>
      </c>
      <c r="F17" s="37" t="str">
        <f>K9</f>
        <v>ERDF</v>
      </c>
      <c r="G17" s="80">
        <v>2021</v>
      </c>
      <c r="H17" s="31">
        <f>O9</f>
        <v>6.8000000000000007</v>
      </c>
      <c r="I17" s="31" t="str">
        <f>P9</f>
        <v xml:space="preserve">68             </v>
      </c>
      <c r="J17" s="646"/>
      <c r="K17"/>
      <c r="L17"/>
      <c r="M17"/>
      <c r="N17"/>
      <c r="O17"/>
      <c r="P17"/>
      <c r="Q17"/>
      <c r="R17"/>
      <c r="S17"/>
      <c r="T17"/>
      <c r="X17"/>
      <c r="Y17"/>
      <c r="Z17"/>
      <c r="AA17"/>
      <c r="AB17"/>
      <c r="AC17"/>
      <c r="AD17"/>
      <c r="AE17"/>
      <c r="AF17"/>
      <c r="AG17"/>
      <c r="AH17"/>
      <c r="AI17"/>
      <c r="AJ17"/>
      <c r="AK17"/>
    </row>
    <row r="18" spans="1:37" s="17" customFormat="1" ht="45" x14ac:dyDescent="0.25">
      <c r="A18" s="25" t="s">
        <v>71</v>
      </c>
      <c r="B18" s="37" t="s">
        <v>68</v>
      </c>
      <c r="C18" s="25" t="str">
        <f>L10</f>
        <v>Users/Year</v>
      </c>
      <c r="D18" s="31">
        <f>M10</f>
        <v>25492.050000000003</v>
      </c>
      <c r="E18" s="80" t="s">
        <v>46</v>
      </c>
      <c r="F18" s="80" t="s">
        <v>21</v>
      </c>
      <c r="G18" s="80">
        <v>2021</v>
      </c>
      <c r="H18" s="78" t="str">
        <f>O10</f>
        <v>n/a</v>
      </c>
      <c r="I18" s="31">
        <f>P10</f>
        <v>43676.671999999999</v>
      </c>
      <c r="J18" s="646"/>
      <c r="K18"/>
      <c r="L18"/>
      <c r="M18"/>
      <c r="N18"/>
      <c r="O18"/>
      <c r="P18"/>
      <c r="Q18"/>
      <c r="R18"/>
      <c r="S18"/>
      <c r="T18"/>
      <c r="X18"/>
      <c r="Y18"/>
      <c r="Z18"/>
      <c r="AA18"/>
      <c r="AB18"/>
      <c r="AC18"/>
      <c r="AD18"/>
      <c r="AE18"/>
      <c r="AF18"/>
      <c r="AG18"/>
      <c r="AH18"/>
      <c r="AI18"/>
      <c r="AJ18"/>
      <c r="AK18"/>
    </row>
    <row r="19" spans="1:37" s="17" customFormat="1" x14ac:dyDescent="0.25">
      <c r="A19" s="3"/>
      <c r="B19" s="3"/>
      <c r="C19" s="3"/>
      <c r="D19" s="4"/>
      <c r="E19" s="3"/>
      <c r="F19" s="3"/>
      <c r="G19" s="3"/>
      <c r="H19" s="3"/>
      <c r="I19" s="3"/>
      <c r="J19" s="646"/>
      <c r="K19"/>
      <c r="L19"/>
      <c r="M19"/>
      <c r="N19"/>
      <c r="O19"/>
      <c r="P19"/>
      <c r="Q19"/>
      <c r="R19"/>
      <c r="S19"/>
      <c r="T19"/>
      <c r="X19"/>
      <c r="Y19"/>
      <c r="Z19"/>
      <c r="AA19"/>
      <c r="AB19"/>
      <c r="AC19"/>
      <c r="AD19"/>
      <c r="AE19"/>
      <c r="AF19"/>
      <c r="AG19"/>
      <c r="AH19"/>
      <c r="AI19"/>
      <c r="AJ19"/>
      <c r="AK19"/>
    </row>
    <row r="20" spans="1:37" s="17" customFormat="1" x14ac:dyDescent="0.25">
      <c r="A20" s="3"/>
      <c r="B20" s="3"/>
      <c r="C20" s="3"/>
      <c r="D20" s="4"/>
      <c r="E20" s="3"/>
      <c r="F20" s="3"/>
      <c r="G20" s="3"/>
      <c r="H20" s="3"/>
      <c r="I20" s="3"/>
      <c r="J20" s="646"/>
      <c r="K20"/>
      <c r="L20"/>
      <c r="M20"/>
      <c r="N20"/>
      <c r="O20"/>
      <c r="P20"/>
      <c r="Q20"/>
      <c r="R20"/>
      <c r="S20"/>
      <c r="T20"/>
      <c r="X20"/>
      <c r="Y20"/>
      <c r="Z20"/>
      <c r="AA20"/>
      <c r="AB20"/>
      <c r="AC20"/>
      <c r="AD20"/>
      <c r="AE20"/>
      <c r="AF20"/>
      <c r="AG20"/>
      <c r="AH20"/>
      <c r="AI20"/>
      <c r="AJ20"/>
      <c r="AK20"/>
    </row>
    <row r="21" spans="1:37" s="17" customFormat="1" x14ac:dyDescent="0.25">
      <c r="A21" s="3"/>
      <c r="B21" s="3"/>
      <c r="C21" s="3"/>
      <c r="D21" s="4"/>
      <c r="E21" s="3"/>
      <c r="F21" s="3"/>
      <c r="G21" s="3"/>
      <c r="H21" s="3"/>
      <c r="I21" s="3"/>
      <c r="J21" s="646"/>
      <c r="K21"/>
      <c r="L21"/>
      <c r="M21"/>
      <c r="N21"/>
      <c r="O21"/>
      <c r="P21"/>
      <c r="Q21"/>
      <c r="R21"/>
      <c r="S21"/>
      <c r="T21"/>
      <c r="X21"/>
      <c r="Y21"/>
      <c r="Z21"/>
      <c r="AA21"/>
      <c r="AB21"/>
      <c r="AC21"/>
      <c r="AD21"/>
      <c r="AE21"/>
      <c r="AF21"/>
      <c r="AG21"/>
      <c r="AH21"/>
      <c r="AI21"/>
      <c r="AJ21"/>
      <c r="AK21"/>
    </row>
    <row r="22" spans="1:37" x14ac:dyDescent="0.25">
      <c r="A22" s="3"/>
      <c r="B22" s="3"/>
      <c r="C22" s="3"/>
      <c r="D22" s="4"/>
      <c r="E22" s="3"/>
      <c r="F22" s="3"/>
      <c r="G22" s="3"/>
      <c r="H22" s="3"/>
      <c r="I22" s="3"/>
      <c r="J22" s="646"/>
    </row>
    <row r="23" spans="1:37" x14ac:dyDescent="0.25">
      <c r="A23" s="3"/>
      <c r="B23" s="3"/>
      <c r="C23" s="3"/>
      <c r="D23" s="4"/>
      <c r="E23" s="3"/>
      <c r="F23" s="3"/>
      <c r="G23" s="3"/>
      <c r="H23" s="3"/>
      <c r="I23" s="3"/>
      <c r="J23" s="646"/>
    </row>
    <row r="24" spans="1:37" x14ac:dyDescent="0.25">
      <c r="A24" s="3"/>
      <c r="B24" s="3"/>
      <c r="C24" s="3"/>
      <c r="D24" s="4"/>
      <c r="E24" s="3"/>
      <c r="F24" s="3"/>
      <c r="G24" s="3"/>
      <c r="H24" s="3"/>
      <c r="I24" s="3"/>
      <c r="J24" s="646"/>
    </row>
    <row r="25" spans="1:37" x14ac:dyDescent="0.25">
      <c r="A25" s="3"/>
      <c r="B25" s="3"/>
      <c r="C25" s="3"/>
      <c r="D25" s="4"/>
      <c r="E25" s="3"/>
      <c r="F25" s="3"/>
      <c r="G25" s="3"/>
      <c r="H25" s="3"/>
      <c r="I25" s="3"/>
      <c r="J25" s="646"/>
    </row>
    <row r="26" spans="1:37" x14ac:dyDescent="0.25">
      <c r="D26" s="17"/>
    </row>
    <row r="27" spans="1:37" x14ac:dyDescent="0.25">
      <c r="D27" s="17"/>
    </row>
    <row r="28" spans="1:37" x14ac:dyDescent="0.25">
      <c r="D28" s="17"/>
    </row>
    <row r="29" spans="1:37" x14ac:dyDescent="0.25">
      <c r="D29" s="17"/>
    </row>
    <row r="30" spans="1:37" x14ac:dyDescent="0.25">
      <c r="D30" s="17"/>
    </row>
    <row r="31" spans="1:37" x14ac:dyDescent="0.25">
      <c r="D31" s="17"/>
    </row>
    <row r="32" spans="1:37" x14ac:dyDescent="0.25">
      <c r="D32" s="17"/>
    </row>
    <row r="33" spans="4:4" x14ac:dyDescent="0.25">
      <c r="D33" s="17"/>
    </row>
    <row r="34" spans="4:4" x14ac:dyDescent="0.25">
      <c r="D34" s="17"/>
    </row>
  </sheetData>
  <mergeCells count="30">
    <mergeCell ref="H5:I5"/>
    <mergeCell ref="A5:A6"/>
    <mergeCell ref="B5:B6"/>
    <mergeCell ref="C5:C6"/>
    <mergeCell ref="D5:F5"/>
    <mergeCell ref="G5:G6"/>
    <mergeCell ref="Q5:Q6"/>
    <mergeCell ref="R5:R6"/>
    <mergeCell ref="J5:J6"/>
    <mergeCell ref="K5:K6"/>
    <mergeCell ref="L5:L6"/>
    <mergeCell ref="M5:N5"/>
    <mergeCell ref="O5:O6"/>
    <mergeCell ref="P5:P6"/>
    <mergeCell ref="C7:C8"/>
    <mergeCell ref="D7:D8"/>
    <mergeCell ref="E7:E8"/>
    <mergeCell ref="F7:F8"/>
    <mergeCell ref="A9:A10"/>
    <mergeCell ref="B9:B10"/>
    <mergeCell ref="C9:C10"/>
    <mergeCell ref="D9:D10"/>
    <mergeCell ref="E9:E10"/>
    <mergeCell ref="F9:F10"/>
    <mergeCell ref="A7:A8"/>
    <mergeCell ref="G9:G10"/>
    <mergeCell ref="J9:J10"/>
    <mergeCell ref="K9:K10"/>
    <mergeCell ref="T9:T10"/>
    <mergeCell ref="J17:J2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Intervencijų lėšos (2)</vt:lpstr>
      <vt:lpstr>1.5 (7.1)</vt:lpstr>
      <vt:lpstr>3PO 3.2</vt:lpstr>
      <vt:lpstr>3PO 3.3</vt:lpstr>
      <vt:lpstr>5PO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2025-12-11T13:57:30Z</dcterms:modified>
</cp:coreProperties>
</file>