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filterPrivacy="1" defaultThemeVersion="124226"/>
  <xr:revisionPtr revIDLastSave="0" documentId="13_ncr:1_{CB2F95AC-A349-45D7-B285-B9F849EE49E5}" xr6:coauthVersionLast="47" xr6:coauthVersionMax="47" xr10:uidLastSave="{00000000-0000-0000-0000-000000000000}"/>
  <bookViews>
    <workbookView xWindow="-120" yWindow="-120" windowWidth="29040" windowHeight="15720" tabRatio="610" firstSheet="2" activeTab="2" xr2:uid="{00000000-000D-0000-FFFF-FFFF00000000}"/>
  </bookViews>
  <sheets>
    <sheet name="2PO 2.1 (e)" sheetId="24" state="hidden" r:id="rId1"/>
    <sheet name="2PO 2.1 (eng)" sheetId="19" state="hidden" r:id="rId2"/>
    <sheet name="2PO 2.2" sheetId="6" r:id="rId3"/>
    <sheet name="2PO 2.3 (eng)" sheetId="17" state="hidden" r:id="rId4"/>
    <sheet name="F Specific output 2.2.3 (1)" sheetId="25" r:id="rId5"/>
    <sheet name="F Specific output 2.2.1 (1)" sheetId="2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4" i="6" l="1"/>
  <c r="C12" i="6"/>
  <c r="E12" i="6" s="1"/>
  <c r="E10" i="6"/>
  <c r="E50" i="6" l="1"/>
  <c r="E46" i="6" l="1"/>
  <c r="E40" i="6"/>
  <c r="E34" i="6"/>
  <c r="E29" i="6"/>
  <c r="E24" i="6"/>
  <c r="E22" i="6"/>
  <c r="E20" i="6"/>
  <c r="E18" i="6"/>
  <c r="E16" i="6"/>
  <c r="E15" i="6"/>
  <c r="E61" i="6"/>
  <c r="B61" i="6" s="1"/>
  <c r="C61" i="6"/>
  <c r="F61" i="6" l="1"/>
  <c r="G61" i="6" s="1"/>
  <c r="F22" i="6" l="1"/>
  <c r="G20" i="6"/>
  <c r="G18" i="6"/>
  <c r="G16" i="6"/>
  <c r="C14" i="6"/>
  <c r="C8" i="6"/>
  <c r="C6" i="6"/>
  <c r="G22" i="6" l="1"/>
  <c r="F16" i="6"/>
  <c r="F18" i="6"/>
  <c r="F20" i="6"/>
  <c r="C10" i="6"/>
  <c r="B16" i="6" l="1"/>
  <c r="C56" i="6"/>
  <c r="A75" i="6"/>
  <c r="A78" i="6"/>
  <c r="G12" i="6" l="1"/>
  <c r="G10" i="6"/>
  <c r="A3" i="26" l="1"/>
  <c r="A4" i="26" s="1"/>
  <c r="A5" i="26" s="1"/>
  <c r="A6" i="26" s="1"/>
  <c r="A7" i="26" s="1"/>
  <c r="A8" i="26" s="1"/>
  <c r="A9" i="26" s="1"/>
  <c r="A10" i="26" s="1"/>
  <c r="A11" i="26" s="1"/>
  <c r="A12" i="26" s="1"/>
  <c r="A13" i="26" s="1"/>
  <c r="A14" i="26" s="1"/>
  <c r="A15" i="26" s="1"/>
  <c r="A16" i="26" s="1"/>
  <c r="A17" i="26" s="1"/>
  <c r="A18" i="26" s="1"/>
  <c r="A19" i="26" s="1"/>
  <c r="M54" i="6" l="1"/>
  <c r="J79" i="6"/>
  <c r="K79" i="6" s="1"/>
  <c r="H79" i="6"/>
  <c r="I79" i="6" s="1"/>
  <c r="C79" i="6"/>
  <c r="B79" i="6"/>
  <c r="A79" i="6"/>
  <c r="J78" i="6" l="1"/>
  <c r="K78" i="6" s="1"/>
  <c r="H78" i="6"/>
  <c r="I78" i="6" s="1"/>
  <c r="C78" i="6"/>
  <c r="B78" i="6"/>
  <c r="D75" i="6" l="1"/>
  <c r="C75" i="6"/>
  <c r="B75" i="6"/>
  <c r="J74" i="6"/>
  <c r="G74" i="6"/>
  <c r="D74" i="6"/>
  <c r="C74" i="6"/>
  <c r="B74" i="6"/>
  <c r="A74" i="6"/>
  <c r="J73" i="6"/>
  <c r="D73" i="6"/>
  <c r="G73" i="6"/>
  <c r="C73" i="6"/>
  <c r="B73" i="6"/>
  <c r="A73" i="6"/>
  <c r="J72" i="6"/>
  <c r="H72" i="6"/>
  <c r="C72" i="6"/>
  <c r="B72" i="6"/>
  <c r="A72" i="6"/>
  <c r="J71" i="6"/>
  <c r="H71" i="6"/>
  <c r="C71" i="6"/>
  <c r="B71" i="6"/>
  <c r="A71" i="6"/>
  <c r="J70" i="6"/>
  <c r="H70" i="6"/>
  <c r="C70" i="6"/>
  <c r="B70" i="6"/>
  <c r="A70" i="6"/>
  <c r="J69" i="6"/>
  <c r="H69" i="6"/>
  <c r="C69" i="6"/>
  <c r="B69" i="6"/>
  <c r="A69" i="6"/>
  <c r="J68" i="6"/>
  <c r="H68" i="6"/>
  <c r="C68" i="6"/>
  <c r="B68" i="6"/>
  <c r="A68" i="6"/>
  <c r="J67" i="6"/>
  <c r="H67" i="6"/>
  <c r="C67" i="6"/>
  <c r="B67" i="6"/>
  <c r="A67" i="6"/>
  <c r="C55" i="6" l="1"/>
  <c r="C54" i="6"/>
  <c r="P52" i="6"/>
  <c r="O52" i="6"/>
  <c r="F50" i="6"/>
  <c r="G50" i="6" s="1"/>
  <c r="P48" i="6"/>
  <c r="O48" i="6"/>
  <c r="F46" i="6"/>
  <c r="G46" i="6" s="1"/>
  <c r="P44" i="6"/>
  <c r="O44" i="6"/>
  <c r="F40" i="6"/>
  <c r="G40" i="6" s="1"/>
  <c r="P38" i="6"/>
  <c r="O38" i="6"/>
  <c r="F34" i="6"/>
  <c r="G34" i="6" s="1"/>
  <c r="P32" i="6"/>
  <c r="O32" i="6"/>
  <c r="F29" i="6"/>
  <c r="G29" i="6" s="1"/>
  <c r="P27" i="6"/>
  <c r="O27" i="6"/>
  <c r="F24" i="6"/>
  <c r="G15" i="6"/>
  <c r="G14" i="6"/>
  <c r="E8" i="6"/>
  <c r="E6" i="6"/>
  <c r="G6" i="6" s="1"/>
  <c r="G24" i="6" l="1"/>
  <c r="B24" i="6"/>
  <c r="J75" i="6"/>
  <c r="O54" i="6"/>
  <c r="H75" i="6"/>
  <c r="P54" i="6"/>
  <c r="E54" i="6"/>
  <c r="E55" i="6"/>
  <c r="F8" i="6"/>
  <c r="F12" i="6"/>
  <c r="F15" i="6"/>
  <c r="G8" i="6"/>
  <c r="G54" i="6" s="1"/>
  <c r="F6" i="6"/>
  <c r="F10" i="6"/>
  <c r="F14" i="6"/>
  <c r="P64" i="6"/>
  <c r="O64" i="6"/>
  <c r="C64" i="6"/>
  <c r="M64" i="6"/>
  <c r="M65" i="6" s="1"/>
  <c r="G64" i="6" l="1"/>
  <c r="O65" i="6"/>
  <c r="J76" i="6"/>
  <c r="K76" i="6"/>
  <c r="K75" i="6"/>
  <c r="I75" i="6"/>
  <c r="H76" i="6"/>
  <c r="P65" i="6"/>
  <c r="I76" i="6"/>
  <c r="G55" i="6"/>
  <c r="B6" i="6"/>
  <c r="F55" i="6"/>
  <c r="F54" i="6"/>
  <c r="E64" i="6"/>
  <c r="C80" i="6"/>
  <c r="B80" i="6"/>
  <c r="A80" i="6"/>
  <c r="C77" i="6"/>
  <c r="B77" i="6"/>
  <c r="A77" i="6"/>
  <c r="C76" i="6"/>
  <c r="B76" i="6"/>
  <c r="A76" i="6"/>
  <c r="F64" i="6" l="1"/>
  <c r="A3" i="25"/>
  <c r="A4" i="25" s="1"/>
  <c r="A5" i="25" s="1"/>
  <c r="A6" i="25" s="1"/>
  <c r="A7" i="25" s="1"/>
  <c r="A8" i="25" s="1"/>
  <c r="A9" i="25" s="1"/>
  <c r="A10" i="25" s="1"/>
  <c r="A11" i="25" s="1"/>
  <c r="A12" i="25" s="1"/>
  <c r="A13" i="25" s="1"/>
  <c r="A14" i="25" s="1"/>
  <c r="A15" i="25" s="1"/>
  <c r="A16" i="25" s="1"/>
  <c r="A17" i="25" s="1"/>
  <c r="A18" i="25" s="1"/>
  <c r="A19" i="25" s="1"/>
  <c r="J80" i="6" l="1"/>
  <c r="J77" i="6"/>
  <c r="H77" i="6"/>
  <c r="D80" i="6"/>
  <c r="D81" i="6" s="1"/>
  <c r="K77" i="6" l="1"/>
  <c r="J81" i="6"/>
  <c r="J82" i="6" s="1"/>
  <c r="I77" i="6"/>
  <c r="H81" i="6"/>
  <c r="I38" i="24"/>
  <c r="H38" i="24"/>
  <c r="I37" i="24"/>
  <c r="H37" i="24"/>
  <c r="I36" i="24"/>
  <c r="D36" i="24"/>
  <c r="I35" i="24"/>
  <c r="D35" i="24"/>
  <c r="I34" i="24"/>
  <c r="D34" i="24"/>
  <c r="I33" i="24"/>
  <c r="D33" i="24"/>
  <c r="I32" i="24"/>
  <c r="H32" i="24"/>
  <c r="I31" i="24"/>
  <c r="H31" i="24"/>
  <c r="I30" i="24"/>
  <c r="H30" i="24"/>
  <c r="I29" i="24"/>
  <c r="H29" i="24"/>
  <c r="I28" i="24"/>
  <c r="H28" i="24"/>
  <c r="D21" i="24"/>
  <c r="E21" i="24" s="1"/>
  <c r="F21" i="24" s="1"/>
  <c r="D17" i="24"/>
  <c r="E17" i="24" s="1"/>
  <c r="F17" i="24" s="1"/>
  <c r="D13" i="24"/>
  <c r="E13" i="24" s="1"/>
  <c r="F13" i="24" s="1"/>
  <c r="D8" i="24"/>
  <c r="E8" i="24" s="1"/>
  <c r="D5" i="24"/>
  <c r="F5" i="24" s="1"/>
  <c r="E5" i="24" l="1"/>
  <c r="F8" i="24"/>
  <c r="D18" i="17" l="1"/>
  <c r="D17" i="17"/>
  <c r="I18" i="17"/>
  <c r="I17" i="17"/>
  <c r="I42" i="19"/>
  <c r="I41" i="19"/>
  <c r="D7" i="19"/>
  <c r="D5" i="19"/>
  <c r="I15" i="17"/>
  <c r="I48" i="19" l="1"/>
  <c r="H48" i="19"/>
  <c r="I47" i="19"/>
  <c r="H47" i="19"/>
  <c r="I46" i="19"/>
  <c r="H46" i="19"/>
  <c r="I45" i="19"/>
  <c r="H45" i="19"/>
  <c r="I44" i="19"/>
  <c r="D44" i="19"/>
  <c r="I43" i="19"/>
  <c r="D43" i="19"/>
  <c r="J43" i="19" s="1"/>
  <c r="D42" i="19"/>
  <c r="D41" i="19"/>
  <c r="I40" i="19"/>
  <c r="H40" i="19"/>
  <c r="I39" i="19"/>
  <c r="H39" i="19"/>
  <c r="I38" i="19"/>
  <c r="H38" i="19"/>
  <c r="I37" i="19"/>
  <c r="H37" i="19"/>
  <c r="I36" i="19"/>
  <c r="H36" i="19"/>
  <c r="I35" i="19"/>
  <c r="H35" i="19"/>
  <c r="D28" i="19"/>
  <c r="E28" i="19" s="1"/>
  <c r="F28" i="19" s="1"/>
  <c r="D25" i="19"/>
  <c r="E25" i="19" s="1"/>
  <c r="F25" i="19" s="1"/>
  <c r="D23" i="19"/>
  <c r="E23" i="19" s="1"/>
  <c r="F23" i="19" s="1"/>
  <c r="D21" i="19"/>
  <c r="E21" i="19" s="1"/>
  <c r="F21" i="19" s="1"/>
  <c r="D19" i="19"/>
  <c r="E19" i="19" s="1"/>
  <c r="F19" i="19" s="1"/>
  <c r="D17" i="19"/>
  <c r="E17" i="19" s="1"/>
  <c r="F17" i="19" s="1"/>
  <c r="D14" i="19"/>
  <c r="E14" i="19" s="1"/>
  <c r="F14" i="19" s="1"/>
  <c r="D10" i="19"/>
  <c r="E10" i="19" s="1"/>
  <c r="F10" i="19" s="1"/>
  <c r="E7" i="19"/>
  <c r="F7" i="19" s="1"/>
  <c r="E5" i="19"/>
  <c r="F5" i="19" s="1"/>
  <c r="I16" i="17"/>
  <c r="H16" i="17"/>
  <c r="H15" i="17"/>
  <c r="D11" i="17"/>
  <c r="E11" i="17" s="1"/>
  <c r="F11" i="17" s="1"/>
  <c r="D9" i="17"/>
  <c r="E9" i="17" s="1"/>
  <c r="F9" i="17" s="1"/>
  <c r="D7" i="17"/>
  <c r="E7" i="17" s="1"/>
  <c r="F7" i="17" s="1"/>
  <c r="D5" i="17"/>
  <c r="E5" i="17" s="1"/>
  <c r="F5" i="17" s="1"/>
  <c r="J44"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0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21" authorId="0" shapeId="0" xr:uid="{00000000-0006-0000-00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Planuojama projektams skirti ES lėšų iki 70 proc., kur iki 40 proc. sudarytų subsidija, apie 30 proc. FI (ilgalaikė paskola). Kadangi paskola ilgalaikė, tad grįžtančių lėšų efektas rodikliams pasijus greičiausiai po 2029 m.</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D5" authorId="0" shapeId="0" xr:uid="{00000000-0006-0000-0100-000001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administrative costs ar not included into calculation of co financing rate</t>
        </r>
      </text>
    </comment>
    <comment ref="D17" authorId="0" shapeId="0" xr:uid="{00000000-0006-0000-0100-000002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1" authorId="0" shapeId="0" xr:uid="{00000000-0006-0000-0100-000003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paramos intensyvumas 70 proc.</t>
        </r>
      </text>
    </comment>
    <comment ref="D25" authorId="0" shapeId="0" xr:uid="{00000000-0006-0000-0100-00000400000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preliminariai 50 proc. paramos intensyvumas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I7" authorId="0" shapeId="0" xr:uid="{00000000-0006-0000-0200-000001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9" authorId="0" shapeId="0" xr:uid="{00000000-0006-0000-0200-000002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11" authorId="0" shapeId="0" xr:uid="{00000000-0006-0000-0200-000003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13" authorId="0" shapeId="0" xr:uid="{00000000-0006-0000-0200-000004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26" authorId="0" shapeId="0" xr:uid="{00000000-0006-0000-0200-000009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31" authorId="0" shapeId="0" xr:uid="{00000000-0006-0000-0200-00000A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37" authorId="0" shapeId="0" xr:uid="{00000000-0006-0000-0200-00000B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43" authorId="0" shapeId="0" xr:uid="{00000000-0006-0000-0200-00000C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47" authorId="0" shapeId="0" xr:uid="{00000000-0006-0000-0200-00000D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 ref="I51" authorId="0" shapeId="0" xr:uid="{00000000-0006-0000-0200-00000E000000}">
      <text>
        <r>
          <rPr>
            <b/>
            <sz val="9"/>
            <color indexed="81"/>
            <rFont val="Tahoma"/>
            <family val="2"/>
            <charset val="186"/>
          </rPr>
          <t>Autorius:</t>
        </r>
        <r>
          <rPr>
            <sz val="9"/>
            <color indexed="81"/>
            <rFont val="Tahoma"/>
            <family val="2"/>
            <charset val="186"/>
          </rPr>
          <t xml:space="preserve">
SFC2021 different indicator name "Apskaičiuotas išmetamas šltnamio efektą sukeliančių dujų kiekis"</t>
        </r>
      </text>
    </comment>
  </commentList>
</comments>
</file>

<file path=xl/sharedStrings.xml><?xml version="1.0" encoding="utf-8"?>
<sst xmlns="http://schemas.openxmlformats.org/spreadsheetml/2006/main" count="1284" uniqueCount="345">
  <si>
    <t>Konkretus uždavinys – 2.1. Skatinti naudoti energijos vartojimo efektyvumą didinančias priemones ir mažinti šiltnamio dujų išmetimus</t>
  </si>
  <si>
    <t xml:space="preserve">Action </t>
  </si>
  <si>
    <t xml:space="preserve">Total allocation of action level (indicated)  </t>
  </si>
  <si>
    <t>Intervention field</t>
  </si>
  <si>
    <t xml:space="preserve">allocation 2021- 2027 used for calculation of 2029 target </t>
  </si>
  <si>
    <t>Indicator</t>
  </si>
  <si>
    <t>Regiono kategorija veiklai</t>
  </si>
  <si>
    <t>Fondas  veiklai</t>
  </si>
  <si>
    <t>Rodiklio matavimo vienetas</t>
  </si>
  <si>
    <t xml:space="preserve">Rodiklio pradinė </t>
  </si>
  <si>
    <t>Rodiklio tarpinė 2024 m. reikšmė</t>
  </si>
  <si>
    <t>Rodiklio siektina 2029 m. reikšmė</t>
  </si>
  <si>
    <t>Duomenų šaltinis</t>
  </si>
  <si>
    <t>Rodiklio siektinų reikšmų apskaičiavimo metodika</t>
  </si>
  <si>
    <t>Indicators' calculation method</t>
  </si>
  <si>
    <t>code and name</t>
  </si>
  <si>
    <t xml:space="preserve">co-financing rate (Eur.) </t>
  </si>
  <si>
    <r>
      <t>Finansinė proporcija (EU+ kofinansavimas)(Eur.)</t>
    </r>
    <r>
      <rPr>
        <i/>
        <sz val="10"/>
        <color rgb="FFFF0000"/>
        <rFont val="Calibri"/>
        <family val="2"/>
        <charset val="186"/>
        <scheme val="minor"/>
      </rPr>
      <t xml:space="preserve">                         </t>
    </r>
    <r>
      <rPr>
        <b/>
        <sz val="10"/>
        <rFont val="Calibri"/>
        <family val="2"/>
        <charset val="186"/>
        <scheme val="minor"/>
      </rPr>
      <t xml:space="preserve"> </t>
    </r>
  </si>
  <si>
    <t>Code</t>
  </si>
  <si>
    <t>Name</t>
  </si>
  <si>
    <t>reikšmė</t>
  </si>
  <si>
    <t>metai</t>
  </si>
  <si>
    <t xml:space="preserve">2.1.1. To improve energy efficiency in households not connected to DH (83.000.000 eur) </t>
  </si>
  <si>
    <t>040 - Energy efficiency renovation of existing housing stock, demonstration projects and supporting measures</t>
  </si>
  <si>
    <t>RCO 18</t>
  </si>
  <si>
    <t>Dwellings with improved energy performance</t>
  </si>
  <si>
    <t>whole Lithuania</t>
  </si>
  <si>
    <t>CF</t>
  </si>
  <si>
    <t>Dwellings</t>
  </si>
  <si>
    <t>n/a</t>
  </si>
  <si>
    <t>Supported projects</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</si>
  <si>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sz val="10"/>
        <color theme="1"/>
        <rFont val="Calibri"/>
        <family val="2"/>
        <charset val="186"/>
      </rPr>
      <t>~</t>
    </r>
    <r>
      <rPr>
        <b/>
        <sz val="10"/>
        <color theme="1"/>
        <rFont val="Calibri"/>
        <family val="2"/>
        <charset val="186"/>
        <scheme val="minor"/>
      </rPr>
      <t>21534 namų ūkių (būstų).</t>
    </r>
    <r>
      <rPr>
        <sz val="10"/>
        <color theme="1"/>
        <rFont val="Calibri"/>
        <family val="2"/>
        <scheme val="minor"/>
      </rPr>
      <t xml:space="preserve"> Daroma prielaida, kad iki 2024 m. pab. bus investuota apie 30 proc. lėšų, tad tarpinė reikšmė 21534x0,3</t>
    </r>
    <r>
      <rPr>
        <sz val="10"/>
        <color theme="1"/>
        <rFont val="Calibri"/>
        <family val="2"/>
      </rPr>
      <t>=</t>
    </r>
    <r>
      <rPr>
        <b/>
        <sz val="10"/>
        <color theme="1"/>
        <rFont val="Calibri"/>
        <family val="2"/>
        <charset val="186"/>
      </rPr>
      <t>6460</t>
    </r>
  </si>
  <si>
    <r>
      <t>Calculation of indicators based on the 50 percent of funding intensity to maintain the same financial model as in 2014-2020.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t>
    </r>
    <r>
      <rPr>
        <sz val="10"/>
        <color theme="1"/>
        <rFont val="Calibri"/>
        <family val="2"/>
      </rPr>
      <t>=336 eur). With the allocated investment 15400 households will become more efficient  56906045/3696=</t>
    </r>
    <r>
      <rPr>
        <sz val="10"/>
        <color theme="1"/>
        <rFont val="Calibri"/>
        <family val="2"/>
        <charset val="186"/>
      </rPr>
      <t>~</t>
    </r>
    <r>
      <rPr>
        <sz val="10"/>
        <color theme="1"/>
        <rFont val="Calibri"/>
        <family val="2"/>
      </rPr>
      <t xml:space="preserve">15400. </t>
    </r>
    <r>
      <rPr>
        <sz val="10"/>
        <color theme="1"/>
        <rFont val="Calibri"/>
        <family val="2"/>
        <scheme val="minor"/>
      </rPr>
      <t>We assume that 30 percent of funds will be invested by 2024, then milestone will be 15400x0,3=4620 households with better energy efficiency.</t>
    </r>
  </si>
  <si>
    <t>RCR 26</t>
  </si>
  <si>
    <t>Annual primary energy consumption (of which: dwellings, public buildings, enterprises, other)</t>
  </si>
  <si>
    <t>MWh/year</t>
  </si>
  <si>
    <t>-</t>
  </si>
  <si>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21534  namų ūkių įrenginių suvartoja 21534 x66,28=</t>
    </r>
    <r>
      <rPr>
        <b/>
        <sz val="10"/>
        <color theme="1"/>
        <rFont val="Calibri"/>
        <family val="2"/>
        <charset val="186"/>
        <scheme val="minor"/>
      </rPr>
      <t>1 427 274 MWh/metus</t>
    </r>
    <r>
      <rPr>
        <sz val="10"/>
        <color theme="1"/>
        <rFont val="Calibri"/>
        <family val="2"/>
        <scheme val="minor"/>
      </rPr>
      <t xml:space="preserve">.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21534 namų ūkių įrenginių suvartos 21534x20,9=</t>
    </r>
    <r>
      <rPr>
        <b/>
        <sz val="10"/>
        <color theme="1"/>
        <rFont val="Calibri"/>
        <family val="2"/>
        <charset val="186"/>
        <scheme val="minor"/>
      </rPr>
      <t>450 061 MWh/metus.</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</si>
  <si>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  (conversion factor). 15400 households consume 15400x66,28=1.020.712 MWh/year primary energy. </t>
    </r>
    <r>
      <rPr>
        <u/>
        <sz val="10"/>
        <color theme="1"/>
        <rFont val="Calibri"/>
        <family val="2"/>
        <charset val="186"/>
        <scheme val="minor"/>
      </rPr>
      <t>Target 2029 calculation</t>
    </r>
    <r>
      <rPr>
        <sz val="10"/>
        <color theme="1"/>
        <rFont val="Calibri"/>
        <family val="2"/>
        <scheme val="minor"/>
      </rPr>
      <t>: efficient household consumes an average 1,8 toe of primary energy or 20,9 MWh (1,8x11,628=20,9 MWh). 15400 efficient households consume   15400x20,9=321860 MWh/year.</t>
    </r>
  </si>
  <si>
    <t>RCR 29</t>
  </si>
  <si>
    <t>Estimated greenhouse emissions</t>
  </si>
  <si>
    <t>tons of  CO2 eq/year</t>
  </si>
  <si>
    <r>
      <t xml:space="preserve">Pradinė reikšmė: </t>
    </r>
    <r>
      <rPr>
        <sz val="10"/>
        <color theme="1"/>
        <rFont val="Calibri"/>
        <family val="2"/>
        <charset val="186"/>
        <scheme val="minor"/>
      </rPr>
      <t xml:space="preserve">  1427274  MWh/metus x  0,04 tCO2/MWh taršos koeficientas  = </t>
    </r>
    <r>
      <rPr>
        <b/>
        <sz val="10"/>
        <color theme="1"/>
        <rFont val="Calibri"/>
        <family val="2"/>
        <charset val="186"/>
        <scheme val="minor"/>
      </rPr>
      <t>57091 t CO2ekvivalentu/metus</t>
    </r>
    <r>
      <rPr>
        <sz val="10"/>
        <color theme="1"/>
        <rFont val="Calibri"/>
        <family val="2"/>
        <charset val="186"/>
        <scheme val="minor"/>
      </rPr>
      <t>. G</t>
    </r>
    <r>
      <rPr>
        <u/>
        <sz val="10"/>
        <color theme="1"/>
        <rFont val="Calibri"/>
        <family val="2"/>
        <scheme val="minor"/>
      </rPr>
      <t xml:space="preserve">alutinė reikšmė:  </t>
    </r>
    <r>
      <rPr>
        <sz val="10"/>
        <color theme="1"/>
        <rFont val="Calibri"/>
        <family val="2"/>
        <charset val="186"/>
        <scheme val="minor"/>
      </rPr>
      <t>iš 450061 MWh/metus 20 % šio kiekio suvartojama pakeistais naujais biokuro katilais (jiems taikomas taršos faktorius 0,04 tCO2/MWh); 80 % energijos suvartojama šilumos siurbliais. Šilumos siurbliais pagaminama šilumos energija 75 % laikoma AEI energija, todėl tokiai energijos daliai taršos faktorius netaikomas. Likusiai energijos daliai pritaikytas elektros taršos faktorius 0,42 tCO2/MWh. (450061  MWh/metus * 0,2*0,04 tCO2/MWh)+( 450061 MWh/metus*0,8*0,25* 0,42 tCO2/MWh) =  3600+37805 =</t>
    </r>
    <r>
      <rPr>
        <b/>
        <sz val="10"/>
        <color theme="1"/>
        <rFont val="Calibri"/>
        <family val="2"/>
        <charset val="186"/>
        <scheme val="minor"/>
      </rPr>
      <t xml:space="preserve"> 41405 t CO2ekvivalentu/metus. </t>
    </r>
  </si>
  <si>
    <t>Midle-West Lithuania region</t>
  </si>
  <si>
    <t>ERDF</t>
  </si>
  <si>
    <r>
      <rPr>
        <i/>
        <sz val="10"/>
        <color rgb="FF7030A0"/>
        <rFont val="Calibri"/>
        <family val="2"/>
        <scheme val="minor"/>
      </rPr>
      <t>Rodikliai skaičiuojami su 50 proc. intensyvumu, išlaikant tą pačią finansavimo schemą kaip ir 2014-2020 m. Administravimo kaštai 4,11 proc. yra tokie patys  kaip 2014-2020 m. VP. Jie išeliminuojami skaičiuojant rodiklių reikšmes.</t>
    </r>
    <r>
      <rPr>
        <sz val="10"/>
        <rFont val="Calibri"/>
        <family val="2"/>
        <charset val="186"/>
        <scheme val="minor"/>
      </rPr>
      <t xml:space="preserve"> Pagal 2014–2020 metų VP įgyvendinimo rezultatus vienam namų ūkiui, t.y. 1 šilumos gamybos įrenginiui tenkanti vidut. šilumos galia yra 11 kW ir jo vid. kaina 3696 eur (1 kW kaina 336 eur). Investavus 79 588 700 eur,  užtikrinsime energijos efektyvumo rodiklių pagerinimą  79 588 700/3696=~</t>
    </r>
    <r>
      <rPr>
        <b/>
        <sz val="10"/>
        <rFont val="Calibri"/>
        <family val="2"/>
        <charset val="186"/>
        <scheme val="minor"/>
      </rPr>
      <t xml:space="preserve">21534 namų ūkių </t>
    </r>
    <r>
      <rPr>
        <sz val="10"/>
        <rFont val="Calibri"/>
        <family val="2"/>
        <charset val="186"/>
        <scheme val="minor"/>
      </rPr>
      <t>(būstų). Daroma prielaida, kad iki 2024 m. pab. bus investuota apie 30 proc. lėšų, tad tarpinė reikšmė 21534x0,3=</t>
    </r>
    <r>
      <rPr>
        <b/>
        <sz val="10"/>
        <rFont val="Calibri"/>
        <family val="2"/>
        <charset val="186"/>
        <scheme val="minor"/>
      </rPr>
      <t>6460</t>
    </r>
  </si>
  <si>
    <r>
      <rPr>
        <i/>
        <sz val="10"/>
        <color theme="1"/>
        <rFont val="Calibri"/>
        <family val="2"/>
        <charset val="186"/>
        <scheme val="minor"/>
      </rPr>
      <t>Calculation of indicators based on the 50 percent of funding intensity to maintain the same financial model as in 2014-2020.</t>
    </r>
    <r>
      <rPr>
        <sz val="10"/>
        <color theme="1"/>
        <rFont val="Calibri"/>
        <family val="2"/>
        <scheme val="minor"/>
      </rPr>
      <t xml:space="preserve">    We assume that administrative costs will be similar as in 2014-2020 OP for boilers' replacement projects and those costs are not included in the calculation of indicators. According to 2014-2020 OP implementation results, an average heat generation capacity installed per household is 11 kW with the price of 3696 eur (1kW=336 eur). With the allocated investment 28600 households will become better energy efficient  105682655/3696=~28600.  We assume that 30 percent of funds will be invested by 2024, then milestone will be 28600x0,3=8580 households with better energy efficiency.</t>
    </r>
  </si>
  <si>
    <r>
      <rPr>
        <u/>
        <sz val="10"/>
        <color theme="1"/>
        <rFont val="Calibri"/>
        <family val="2"/>
        <charset val="186"/>
        <scheme val="minor"/>
      </rPr>
      <t>Baseline calculation</t>
    </r>
    <r>
      <rPr>
        <sz val="10"/>
        <color theme="1"/>
        <rFont val="Calibri"/>
        <family val="2"/>
        <scheme val="minor"/>
      </rPr>
      <t xml:space="preserve">: According to 2014-2020 OP implementation results, inefficient household consumes an average 5,7 toe of primary energy or 66,28 MWh (5,7x11,628=66,28 MWh, where 1 toe = 11,628 MWh/year  (conversion factor). 28600 households consume 28600x66,28=1895608 MWh/year primary energy. </t>
    </r>
    <r>
      <rPr>
        <u/>
        <sz val="10"/>
        <color theme="1"/>
        <rFont val="Calibri"/>
        <family val="2"/>
        <charset val="186"/>
        <scheme val="minor"/>
      </rPr>
      <t>Target 2029</t>
    </r>
    <r>
      <rPr>
        <sz val="10"/>
        <color theme="1"/>
        <rFont val="Calibri"/>
        <family val="2"/>
        <scheme val="minor"/>
      </rPr>
      <t>: efficient household consumes an average 1,8 toe of primary energy or 20,9 MWh (1,8x11,628=20,9 MWh). 28600 efficient households consume   28600x20,9=597740 MWh/year.</t>
    </r>
  </si>
  <si>
    <t>2.1.2. To renovate public buildings improving energy efficiency   (62.000.000 eur)</t>
  </si>
  <si>
    <t>044- Energy efficiency renovation or energy efficiency measures regarding public infrastructure, demonstration projects and supporting measures compliant with energy efficiency criteria</t>
  </si>
  <si>
    <t>RCO 19</t>
  </si>
  <si>
    <t>Public buildings with improved energy performance</t>
  </si>
  <si>
    <t>m2</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</si>
  <si>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88571428,6 / 345 = ~ 256,7 tūkst. m²;  Daroma prielaida, kad iki 2024 m. bus investuota   apie 10 proc. lėšų ir atnaujinta apie 25,6 tūkst m²pastatų ploto. </t>
    </r>
  </si>
  <si>
    <r>
      <t xml:space="preserve">According to 2014-2020 OP implementation data renovation costs of 1 m2 floor area of public building is 345 eur. With 35428571 EUR 102000 m2 floor area of public buildings could be renovated 35428571 /345 = ~ 102000 m². </t>
    </r>
    <r>
      <rPr>
        <u/>
        <sz val="10"/>
        <color theme="1"/>
        <rFont val="Calibri"/>
        <family val="2"/>
        <charset val="186"/>
        <scheme val="minor"/>
      </rPr>
      <t>Milestone 2024:</t>
    </r>
    <r>
      <rPr>
        <sz val="10"/>
        <color theme="1"/>
        <rFont val="Calibri"/>
        <family val="2"/>
        <scheme val="minor"/>
      </rPr>
      <t xml:space="preserve"> it is assumed  that 10 percent of funds will be invested by 2024, then 10200 m2 floor area of public buildings could be renovated.</t>
    </r>
  </si>
  <si>
    <r>
      <rPr>
        <u/>
        <sz val="10"/>
        <color theme="1"/>
        <rFont val="Calibri"/>
        <family val="2"/>
        <scheme val="minor"/>
      </rPr>
      <t xml:space="preserve">Pradinė reikšmė: </t>
    </r>
    <r>
      <rPr>
        <sz val="10"/>
        <color theme="1"/>
        <rFont val="Calibri"/>
        <family val="2"/>
        <charset val="186"/>
        <scheme val="minor"/>
      </rPr>
      <t xml:space="preserve">pastatai, kurių plotas </t>
    </r>
    <r>
      <rPr>
        <sz val="10"/>
        <color theme="1"/>
        <rFont val="Calibri"/>
        <family val="2"/>
        <scheme val="minor"/>
      </rPr>
      <t xml:space="preserve"> 256700 m2, sunaudos pirminės energijos 256700 m2x220kWh/m²/metus= 56474MWh/metus (kur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40 proc.  pirminės energijos: 56474MWh/metus x 60 % = 33884 MWh/metus</t>
    </r>
  </si>
  <si>
    <r>
      <rPr>
        <u/>
        <sz val="10"/>
        <rFont val="Calibri"/>
        <family val="2"/>
        <charset val="186"/>
        <scheme val="minor"/>
      </rPr>
      <t>Baseline calculation</t>
    </r>
    <r>
      <rPr>
        <sz val="10"/>
        <rFont val="Calibri"/>
        <family val="2"/>
        <charset val="186"/>
        <scheme val="minor"/>
      </rPr>
      <t>:  102000 m2  floor area of ineffiecient public buildings consume 22440MWh/year ( 22440MWh/year x220kWh/m²/year= 22440MWh/year, where 220 kWh/m2 - an average annual energy consumption of 1 m2 floor area of  public building  (data provided by Lithuanian Energy Agency) .</t>
    </r>
    <r>
      <rPr>
        <u/>
        <sz val="10"/>
        <rFont val="Calibri"/>
        <family val="2"/>
        <charset val="186"/>
        <scheme val="minor"/>
      </rPr>
      <t>Target 2029 calculation</t>
    </r>
    <r>
      <rPr>
        <sz val="10"/>
        <rFont val="Calibri"/>
        <family val="2"/>
        <charset val="186"/>
        <scheme val="minor"/>
      </rPr>
      <t>:  according to 2014-2020 OP implementation after renovation public buildings cosume at least 30 percent less energy. Therefore 22440MWh/year x 70 % = 15 708 MWh/year.</t>
    </r>
  </si>
  <si>
    <r>
      <rPr>
        <u/>
        <sz val="10"/>
        <color theme="1"/>
        <rFont val="Calibri"/>
        <family val="2"/>
        <scheme val="minor"/>
      </rPr>
      <t>Pradinė reikšmė:</t>
    </r>
    <r>
      <rPr>
        <sz val="10"/>
        <color theme="1"/>
        <rFont val="Calibri"/>
        <family val="2"/>
        <scheme val="minor"/>
      </rPr>
      <t xml:space="preserve"> 56474 000 kWh/metus x 0,1 kgCO2/kWh (taršos faktorius)= 5647400 kgCO2, t.y.  ~ 5647 tCO2/metus. </t>
    </r>
    <r>
      <rPr>
        <u/>
        <sz val="10"/>
        <color theme="1"/>
        <rFont val="Calibri"/>
        <family val="2"/>
        <charset val="186"/>
        <scheme val="minor"/>
      </rPr>
      <t>Galutinė reikšmė</t>
    </r>
    <r>
      <rPr>
        <sz val="10"/>
        <color theme="1"/>
        <rFont val="Calibri"/>
        <family val="2"/>
        <scheme val="minor"/>
      </rPr>
      <t>:  33884 000 kWh/metus x 0,1kg CO2/kWh = 3388400 kgCO2/metus, t.y  ~ 3388 tCO2/metus.</t>
    </r>
  </si>
  <si>
    <r>
      <rPr>
        <u/>
        <sz val="10"/>
        <rFont val="Calibri"/>
        <family val="2"/>
        <charset val="186"/>
        <scheme val="minor"/>
      </rPr>
      <t>Baseline calculation</t>
    </r>
    <r>
      <rPr>
        <sz val="10"/>
        <rFont val="Calibri"/>
        <family val="2"/>
        <charset val="186"/>
        <scheme val="minor"/>
      </rPr>
      <t xml:space="preserve">: 22 440 000 kWh/year x 0,1 kgCO2/kWh (pollution factor for heat from DH according to Technical Regulation of Construction, Ministry of Environment)= 2 244 000 kgCO2 ~ 2 244 tCO2/year. </t>
    </r>
    <r>
      <rPr>
        <u/>
        <sz val="10"/>
        <rFont val="Calibri"/>
        <family val="2"/>
        <charset val="186"/>
        <scheme val="minor"/>
      </rPr>
      <t>Target 2029 calculation</t>
    </r>
    <r>
      <rPr>
        <sz val="10"/>
        <rFont val="Calibri"/>
        <family val="2"/>
        <charset val="186"/>
        <scheme val="minor"/>
      </rPr>
      <t>: 15 708 000x0,1 = 1 570 800 kgCO2/year ~ 1571 tCO2/year.</t>
    </r>
  </si>
  <si>
    <t xml:space="preserve">2.1.3.To improve energy efficiency of district heating, cooling and  hot water supply systems and develop systems  (27.000.000 eur) </t>
  </si>
  <si>
    <t>034 - High efficiency co-generation, district heating and cooling</t>
  </si>
  <si>
    <r>
      <t>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t>
    </r>
    <r>
      <rPr>
        <sz val="10"/>
        <rFont val="Calibri"/>
        <family val="2"/>
        <charset val="186"/>
        <scheme val="minor"/>
      </rPr>
      <t>e 50</t>
    </r>
    <r>
      <rPr>
        <sz val="10"/>
        <color theme="1"/>
        <rFont val="Calibri"/>
        <family val="2"/>
        <scheme val="minor"/>
      </rPr>
      <t xml:space="preserve"> 100MWh energijos per metus, tad pritaikius 21 km vamzdynų žematemperatūriam režimui, kasmet būtų taupoma </t>
    </r>
    <r>
      <rPr>
        <sz val="10"/>
        <rFont val="Calibri"/>
        <family val="2"/>
        <charset val="186"/>
        <scheme val="minor"/>
      </rPr>
      <t xml:space="preserve">50x21= 1050 MWh.                                                                                                                                                                                                                                                            </t>
    </r>
    <r>
      <rPr>
        <u/>
        <sz val="10"/>
        <rFont val="Calibri"/>
        <family val="2"/>
        <charset val="186"/>
        <scheme val="minor"/>
      </rPr>
      <t>Pradinė  reikšmė</t>
    </r>
    <r>
      <rPr>
        <sz val="10"/>
        <rFont val="Calibri"/>
        <family val="2"/>
        <charset val="186"/>
        <scheme val="minor"/>
      </rPr>
      <t xml:space="preserve">: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t>
    </r>
    <r>
      <rPr>
        <b/>
        <sz val="10"/>
        <rFont val="Calibri"/>
        <family val="2"/>
        <charset val="186"/>
        <scheme val="minor"/>
      </rPr>
      <t xml:space="preserve">                                                                                                                                                                                                        </t>
    </r>
    <r>
      <rPr>
        <sz val="10"/>
        <rFont val="Calibri"/>
        <family val="2"/>
        <charset val="186"/>
        <scheme val="minor"/>
      </rPr>
      <t xml:space="preserve"> Įvadinė apskaita+karšto vandens skaitikliai:  pagal LŠTA statistiką 2019 m. per 10000 vnt. įvadinės apskaitos prietaisus praėjo apie 3 500 000 MWh šilumos kiekio vartotojams per metus nenuskaitant jos nuotoliniu būdu, t.y. pro 1 įvadinį  šilum</t>
    </r>
    <r>
      <rPr>
        <sz val="10"/>
        <color theme="1"/>
        <rFont val="Calibri"/>
        <family val="2"/>
        <scheme val="minor"/>
      </rPr>
      <t>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t>
    </r>
    <r>
      <rPr>
        <b/>
        <sz val="10"/>
        <color theme="1"/>
        <rFont val="Calibri"/>
        <family val="2"/>
        <scheme val="minor"/>
      </rPr>
      <t xml:space="preserve"> </t>
    </r>
    <r>
      <rPr>
        <sz val="10"/>
        <color theme="1"/>
        <rFont val="Calibri"/>
        <family val="2"/>
        <charset val="186"/>
        <scheme val="minor"/>
      </rPr>
      <t xml:space="preserve">3214  </t>
    </r>
    <r>
      <rPr>
        <sz val="10"/>
        <color theme="1"/>
        <rFont val="Calibri"/>
        <family val="2"/>
        <scheme val="minor"/>
      </rPr>
      <t>šilumos apskaitos prietaisus praeina 3214x350=</t>
    </r>
    <r>
      <rPr>
        <sz val="10"/>
        <color theme="1"/>
        <rFont val="Calibri"/>
        <family val="2"/>
        <charset val="186"/>
        <scheme val="minor"/>
      </rPr>
      <t>1 124 900 MWh/metus šilumos</t>
    </r>
    <r>
      <rPr>
        <b/>
        <sz val="10"/>
        <color theme="1"/>
        <rFont val="Calibri"/>
        <family val="2"/>
        <scheme val="minor"/>
      </rPr>
      <t xml:space="preserve">.  </t>
    </r>
    <r>
      <rPr>
        <sz val="10"/>
        <color theme="1"/>
        <rFont val="Calibri"/>
        <family val="2"/>
        <charset val="186"/>
        <scheme val="minor"/>
      </rPr>
      <t>Įdiegus/modernizavus šilumos apskaitą bei atsiskaitomuosius karšto vandens skaitiklius su nuotoliniu duomenų nuskaitymu, taupoma apie 1 proc. pirminės energijos/metus, .t.y . bus sutaupyta apie  1 124 900 MWh/metus x 0,01=11249 MWh/metus. G</t>
    </r>
    <r>
      <rPr>
        <u/>
        <sz val="10"/>
        <color theme="1"/>
        <rFont val="Calibri"/>
        <family val="2"/>
        <charset val="186"/>
        <scheme val="minor"/>
      </rPr>
      <t>a</t>
    </r>
    <r>
      <rPr>
        <u/>
        <sz val="10"/>
        <color theme="1"/>
        <rFont val="Calibri"/>
        <family val="2"/>
        <scheme val="minor"/>
      </rPr>
      <t>lutinė reikšmė 2029 m</t>
    </r>
    <r>
      <rPr>
        <sz val="10"/>
        <color theme="1"/>
        <rFont val="Calibri"/>
        <family val="2"/>
        <scheme val="minor"/>
      </rPr>
      <t>.: po įvadinės apskaitos ir atsiskaitomųjų skaitiklių modernizavimo šilumos praeitų  1124900-11249=</t>
    </r>
    <r>
      <rPr>
        <sz val="10"/>
        <color theme="1"/>
        <rFont val="Calibri"/>
        <family val="2"/>
        <charset val="186"/>
        <scheme val="minor"/>
      </rPr>
      <t xml:space="preserve">1113651 MWh/metus. </t>
    </r>
    <r>
      <rPr>
        <b/>
        <u/>
        <sz val="10"/>
        <color theme="1"/>
        <rFont val="Calibri"/>
        <family val="2"/>
        <charset val="186"/>
        <scheme val="minor"/>
      </rPr>
      <t>Bendra pradinė reikš</t>
    </r>
    <r>
      <rPr>
        <b/>
        <u/>
        <sz val="10"/>
        <rFont val="Calibri"/>
        <family val="2"/>
        <charset val="186"/>
        <scheme val="minor"/>
      </rPr>
      <t>mė</t>
    </r>
    <r>
      <rPr>
        <u/>
        <sz val="10"/>
        <rFont val="Calibri"/>
        <family val="2"/>
        <charset val="186"/>
        <scheme val="minor"/>
      </rPr>
      <t xml:space="preserve">  </t>
    </r>
    <r>
      <rPr>
        <sz val="10"/>
        <rFont val="Calibri"/>
        <family val="2"/>
        <charset val="186"/>
        <scheme val="minor"/>
      </rPr>
      <t>8400</t>
    </r>
    <r>
      <rPr>
        <sz val="10"/>
        <color theme="1"/>
        <rFont val="Calibri"/>
        <family val="2"/>
        <scheme val="minor"/>
      </rPr>
      <t>+1 124 900 =</t>
    </r>
    <r>
      <rPr>
        <b/>
        <sz val="10"/>
        <rFont val="Calibri"/>
        <family val="2"/>
        <charset val="186"/>
        <scheme val="minor"/>
      </rPr>
      <t>1 133 300</t>
    </r>
    <r>
      <rPr>
        <b/>
        <sz val="10"/>
        <color rgb="FFFF0000"/>
        <rFont val="Calibri"/>
        <family val="2"/>
        <charset val="186"/>
        <scheme val="minor"/>
      </rPr>
      <t xml:space="preserve"> </t>
    </r>
    <r>
      <rPr>
        <b/>
        <sz val="10"/>
        <color theme="1"/>
        <rFont val="Calibri"/>
        <family val="2"/>
        <scheme val="minor"/>
      </rPr>
      <t>MWh/me</t>
    </r>
    <r>
      <rPr>
        <sz val="10"/>
        <color theme="1"/>
        <rFont val="Calibri"/>
        <family val="2"/>
        <scheme val="minor"/>
      </rPr>
      <t xml:space="preserve">tus, </t>
    </r>
    <r>
      <rPr>
        <b/>
        <u/>
        <sz val="10"/>
        <color theme="1"/>
        <rFont val="Calibri"/>
        <family val="2"/>
        <charset val="186"/>
        <scheme val="minor"/>
      </rPr>
      <t>bendra galutinė reikšmė:</t>
    </r>
    <r>
      <rPr>
        <u/>
        <sz val="10"/>
        <color theme="1"/>
        <rFont val="Calibri"/>
        <family val="2"/>
        <scheme val="minor"/>
      </rPr>
      <t xml:space="preserve">  </t>
    </r>
    <r>
      <rPr>
        <sz val="10"/>
        <color theme="1"/>
        <rFont val="Calibri"/>
        <family val="2"/>
        <charset val="186"/>
        <scheme val="minor"/>
      </rPr>
      <t xml:space="preserve">   </t>
    </r>
    <r>
      <rPr>
        <sz val="10"/>
        <rFont val="Calibri"/>
        <family val="2"/>
        <charset val="186"/>
        <scheme val="minor"/>
      </rPr>
      <t xml:space="preserve">7350+1113651= </t>
    </r>
    <r>
      <rPr>
        <b/>
        <sz val="10"/>
        <rFont val="Calibri"/>
        <family val="2"/>
        <charset val="186"/>
        <scheme val="minor"/>
      </rPr>
      <t>1121001</t>
    </r>
    <r>
      <rPr>
        <sz val="10"/>
        <color rgb="FFFF0000"/>
        <rFont val="Calibri"/>
        <family val="2"/>
        <charset val="186"/>
        <scheme val="minor"/>
      </rPr>
      <t xml:space="preserve"> </t>
    </r>
    <r>
      <rPr>
        <b/>
        <sz val="10"/>
        <color theme="1"/>
        <rFont val="Calibri"/>
        <family val="2"/>
        <scheme val="minor"/>
      </rPr>
      <t>MWh/metus.</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</si>
  <si>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xml:space="preserve">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t>
    </r>
    <r>
      <rPr>
        <sz val="10"/>
        <color theme="1"/>
        <rFont val="Calibri"/>
        <family val="2"/>
        <charset val="186"/>
      </rPr>
      <t>1 575 000</t>
    </r>
    <r>
      <rPr>
        <sz val="10"/>
        <color theme="1"/>
        <rFont val="Calibri"/>
        <family val="2"/>
        <scheme val="minor"/>
      </rPr>
      <t xml:space="preserve"> MWh/year of energy has passed through 4500 introductory heat meter to consumers per year without remote reading. Total energy consumption 16050+1 575 000</t>
    </r>
    <r>
      <rPr>
        <sz val="10"/>
        <color theme="1"/>
        <rFont val="Calibri"/>
        <family val="2"/>
        <charset val="186"/>
      </rPr>
      <t>=</t>
    </r>
    <r>
      <rPr>
        <b/>
        <sz val="10"/>
        <color theme="1"/>
        <rFont val="Calibri"/>
        <family val="2"/>
        <charset val="186"/>
      </rPr>
      <t>1 591 050 MWh/</t>
    </r>
    <r>
      <rPr>
        <b/>
        <sz val="10"/>
        <color theme="1"/>
        <rFont val="Calibri"/>
        <family val="2"/>
        <charset val="186"/>
        <scheme val="minor"/>
      </rPr>
      <t>year.</t>
    </r>
    <r>
      <rPr>
        <sz val="10"/>
        <color theme="1"/>
        <rFont val="Calibri"/>
        <family val="2"/>
        <scheme val="minor"/>
      </rPr>
      <t xml:space="preserve">  </t>
    </r>
    <r>
      <rPr>
        <u/>
        <sz val="10"/>
        <color theme="1"/>
        <rFont val="Calibri"/>
        <family val="2"/>
        <charset val="186"/>
        <scheme val="minor"/>
      </rPr>
      <t>Target 2029 calculation</t>
    </r>
    <r>
      <rPr>
        <sz val="10"/>
        <color theme="1"/>
        <rFont val="Calibri"/>
        <family val="2"/>
        <scheme val="minor"/>
      </rPr>
      <t>: 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t>
    </r>
    <r>
      <rPr>
        <b/>
        <sz val="10"/>
        <color theme="1"/>
        <rFont val="Calibri"/>
        <family val="2"/>
        <charset val="186"/>
        <scheme val="minor"/>
      </rPr>
      <t xml:space="preserve"> 1.572.300 MWh / year</t>
    </r>
    <r>
      <rPr>
        <sz val="10"/>
        <color theme="1"/>
        <rFont val="Calibri"/>
        <family val="2"/>
        <scheme val="minor"/>
      </rPr>
      <t xml:space="preserve">.
</t>
    </r>
  </si>
  <si>
    <t>RCO 20</t>
  </si>
  <si>
    <t>District heating and cooling network lines newly constructed and improved</t>
  </si>
  <si>
    <t>km</t>
  </si>
  <si>
    <r>
      <rPr>
        <i/>
        <sz val="10"/>
        <color rgb="FF7030A0"/>
        <rFont val="Calibri"/>
        <family val="2"/>
        <scheme val="minor"/>
      </rPr>
      <t xml:space="preserve">Rodikliai skaičiuojami su 70 proc. intensyvumu, darant prielaidą, kad projektams bus teikiama subsidija ( iki 40 proc.) ir ilgalaikė paskola (apie 30 proc.). Paskola ilgalaikė, tad grįžtančių lėšų efektas rodikliams pasijus po 2029 metų. </t>
    </r>
    <r>
      <rPr>
        <sz val="10"/>
        <color theme="1"/>
        <rFont val="Calibri"/>
        <family val="2"/>
        <scheme val="minor"/>
      </rPr>
      <t xml:space="preserve">50 proc.lėšų (9642857,15 EUR) bus investuojama į CŠT pritaikymą darbui žematemperatūriu režimu.Pagal vykdomus projektus vidut. 1 m. vamzdyno pritaikymo/modernizavimo darbų kaina - 450 eurų, tai už  9 642 857,15 EUR galima modernizuoti/pritaikyti 9642857,15/450= </t>
    </r>
    <r>
      <rPr>
        <sz val="10"/>
        <color theme="1"/>
        <rFont val="Calibri"/>
        <family val="2"/>
        <charset val="186"/>
      </rPr>
      <t>~</t>
    </r>
    <r>
      <rPr>
        <sz val="10"/>
        <color theme="1"/>
        <rFont val="Calibri"/>
        <family val="2"/>
        <scheme val="minor"/>
      </rPr>
      <t xml:space="preserve">21 km CŠT vamzdyno. Darom prielaidą, kad iki 2024 m. bus investuota 30 proc. lėšų, tad bus modernizuota </t>
    </r>
    <r>
      <rPr>
        <sz val="10"/>
        <color theme="1"/>
        <rFont val="Calibri"/>
        <family val="2"/>
        <charset val="186"/>
      </rPr>
      <t>~</t>
    </r>
    <r>
      <rPr>
        <sz val="8"/>
        <color theme="1"/>
        <rFont val="Calibri"/>
        <family val="2"/>
      </rPr>
      <t xml:space="preserve"> </t>
    </r>
    <r>
      <rPr>
        <sz val="10"/>
        <color theme="1"/>
        <rFont val="Calibri"/>
        <family val="2"/>
        <scheme val="minor"/>
      </rPr>
      <t>6km.</t>
    </r>
  </si>
  <si>
    <t>50 percent Funds (13.456.617,1 EUR) will be invested in the adaptation of DH to work in low temperature regime. According to Lithuanian District Heating Association,  an average costs of 1 m DH pipeline modernization/adaptation to low temperature regime is 450 EUR, therefore 30 km of DH pipeline could be modernised for 13.456.617,1 EUR. We assume that by 2024, 30 percent of the funds will be invested, so 9 km will be modernized.</t>
  </si>
  <si>
    <t xml:space="preserve">Pradinė reikšmė: 1133300 MWh/metus x  0,1 tCO2/MWh (taršos koeficientas šilumai iš CŠT)  = 113330  tCO2ekvivalentu/metus ;   Galutinė reikšmė:  1121001 MWh/metus x  0,1 tCO2/MWh  = 112100  tCO2ekvivalentu/metus        </t>
  </si>
  <si>
    <t>special output</t>
  </si>
  <si>
    <t xml:space="preserve">Installed meters with remote data reading for heat, cool, hot water </t>
  </si>
  <si>
    <t>units</t>
  </si>
  <si>
    <r>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t>
    </r>
    <r>
      <rPr>
        <sz val="10"/>
        <rFont val="Calibri"/>
        <family val="2"/>
      </rPr>
      <t>=51428 vnt</t>
    </r>
    <r>
      <rPr>
        <sz val="10"/>
        <rFont val="Calibri"/>
        <family val="2"/>
        <scheme val="minor"/>
      </rPr>
      <t>. Daroma prielaida, kad iki 2024 m. bus investuota apie 30 proc. lėšų, atitinkamai bus įrengta apie (51428x0,3)=15428 vnt.</t>
    </r>
  </si>
  <si>
    <r>
      <t>50 percent of the planned funds (13.456.617,1 EUR) will be invested in the modernization of heat and hot water metering devices and management systems. It is assumed that 50 percent (6,725 MEUR each) will be used for the modernization of heat metering and 50 percent for the modernization of hot water meters. According to the data of LŠTA, installation / modernization of 1 introductory heat meter with the whole remote system costs about 1500 euros, installation of hot water meter with the whole remote system costs 100 euros. So until 2029. can be installed / modernized in total (6725000/1500) + (6725000/100) = 71750 pcs. It is assumed that by 2024, about 30 percent of the funds will be invested, respectively, about (71750x0.3) = 21525 units will be installed.</t>
    </r>
    <r>
      <rPr>
        <i/>
        <sz val="10"/>
        <color theme="1"/>
        <rFont val="Calibri"/>
        <family val="2"/>
        <charset val="186"/>
        <scheme val="minor"/>
      </rPr>
      <t xml:space="preserve">Seeking to calculate number of modernised meters which have remote system special output indicator is proposed for this action. </t>
    </r>
  </si>
  <si>
    <r>
      <t xml:space="preserve">Rodiklio pradinė ir galutinė reikšmės sudaryta iš suvartojimo, diegiant šilumos apskaitos prietaisus bei karšto vandens skaitiklius ir iš suvartojimo, pritaikant CŠT tinklą žematemperatūriui režimui.                                                                                                                                                 50 proc. numatytų lėšų (9 642 857,15 EUR) bus investuojama bendrai į CŠT efektyvinimą/pritaikymą žematemperatūriam darbo režimui. Investavus 9 642 857,15 EUR, pervesti prie žematemperatūrio režimo galima 21 km CŠT vamzdynų.   Vadovaujantis  VERT šilumos nuostolių skaičiuoklę, 1km sąlyginio vamzdyno perėjimas prie žematemperatūrinio šildymo taupo apie 50 100MWh energijos per metus, tad pritaikius 21 km vamzdynų žematemperatūriam režimui, kasmet būtų taupoma 50x21= 1050 MWh.                                                                                                                                                                                                                                                            Pradinė  reikšmė: Vadovaujantis LŠTA šilumos tiekimo įmonių ūkinės veiklos apžvalga 2019,  1 km CŠT tinklo šilumos nuostoliai  siekia 400  MWh/metus,  tuomet iki modernizavimo 21 km CŠT suvartoja 21x400 = 8400  MWh/ metus (2019 m.), o 2029 m.  modernizuotas 21 km tinklas suvartos 8400-1050 = 7350 MWh/ metus.                                                                                                                                                                                                                Įvadinė apskaita+karšto vandens skaitikliai: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9642857,15 EUR (dalinant po lygiai šilumos apskaitai ir karšto vandnes apskaitai), būtų įdiegta  4821428/1500 = 3214  vnt išmanių įvadinės šilumos apskaitos prietaisų ir 4821428/100=48214 vnt karšto vandens skaitiklių su nuotoliniu duomenu nuskaitymo funkcija.Iki modernizavimo  per 3214  šilumos apskaitos prietaisus praeina 3214x350=1 124 900 MWh/metus šilumos.  Įdiegus/modernizavus šilumos apskaitą bei atsiskaitomuosius karšto vandens skaitiklius su nuotoliniu duomenų nuskaitymu, taupoma apie 1 proc. pirminės energijos/metus, .t.y . bus sutaupyta apie  1 124 900 MWh/metus x 0,01=11249 MWh/metus. Galutinė reikšmė 2029 m.: po įvadinės apskaitos ir atsiskaitomųjų skaitiklių modernizavimo šilumos praeitų  1124900-11249=1113651 MWh/metus. </t>
    </r>
    <r>
      <rPr>
        <u/>
        <sz val="10"/>
        <color theme="1"/>
        <rFont val="Calibri"/>
        <family val="2"/>
        <charset val="186"/>
        <scheme val="minor"/>
      </rPr>
      <t>Bendra pradinė reikšmė</t>
    </r>
    <r>
      <rPr>
        <sz val="10"/>
        <color theme="1"/>
        <rFont val="Calibri"/>
        <family val="2"/>
        <scheme val="minor"/>
      </rPr>
      <t xml:space="preserve">  8400+1 124 900 =</t>
    </r>
    <r>
      <rPr>
        <b/>
        <sz val="10"/>
        <color theme="1"/>
        <rFont val="Calibri"/>
        <family val="2"/>
        <charset val="186"/>
        <scheme val="minor"/>
      </rPr>
      <t>1 133 300 MWh/metus</t>
    </r>
    <r>
      <rPr>
        <sz val="10"/>
        <color theme="1"/>
        <rFont val="Calibri"/>
        <family val="2"/>
        <scheme val="minor"/>
      </rPr>
      <t xml:space="preserve">, </t>
    </r>
    <r>
      <rPr>
        <u/>
        <sz val="10"/>
        <color theme="1"/>
        <rFont val="Calibri"/>
        <family val="2"/>
        <charset val="186"/>
        <scheme val="minor"/>
      </rPr>
      <t>bendra galutinė reikšmė 2029</t>
    </r>
    <r>
      <rPr>
        <sz val="10"/>
        <color theme="1"/>
        <rFont val="Calibri"/>
        <family val="2"/>
        <scheme val="minor"/>
      </rPr>
      <t xml:space="preserve">:  7350+1113651= </t>
    </r>
    <r>
      <rPr>
        <b/>
        <sz val="10"/>
        <color theme="1"/>
        <rFont val="Calibri"/>
        <family val="2"/>
        <charset val="186"/>
        <scheme val="minor"/>
      </rPr>
      <t>1121001 MWh/metus.</t>
    </r>
  </si>
  <si>
    <r>
      <t xml:space="preserve">50 percent of  funds (13.456.616,1 EUR) will be invested in the efficiency and adaptation of DH to low-temperature regime; 50 percent of funds (13.456.616,1 EUR) will be invested in the modernization of introductory heat metering devices and hot water meters.
</t>
    </r>
    <r>
      <rPr>
        <u/>
        <sz val="10"/>
        <color theme="1"/>
        <rFont val="Calibri"/>
        <family val="2"/>
        <charset val="186"/>
        <scheme val="minor"/>
      </rPr>
      <t>Baseline calculation</t>
    </r>
    <r>
      <rPr>
        <sz val="10"/>
        <color theme="1"/>
        <rFont val="Calibri"/>
        <family val="2"/>
        <scheme val="minor"/>
      </rPr>
      <t>:  According to  annual review prepared by  Lithuanian District Heating Association on  economic activity of heat supply companies in 2019 , 1 km of DH consumes (heat loss) 535 MWh /year, then 30 km consume 30x535=16050 MWh/year. An average 350 MWh of thermal energy per year has passed through 1 introductory heat meter without being read remotely. 1 575 000 MWh/year of energy has passed through 4500 introductory heat meter to consumers per year without remote reading. Total energy consumption 16050+1 575 000=</t>
    </r>
    <r>
      <rPr>
        <b/>
        <sz val="10"/>
        <color theme="1"/>
        <rFont val="Calibri"/>
        <family val="2"/>
        <charset val="186"/>
        <scheme val="minor"/>
      </rPr>
      <t>1 591 050 MWh/year.</t>
    </r>
    <r>
      <rPr>
        <sz val="10"/>
        <color theme="1"/>
        <rFont val="Calibri"/>
        <family val="2"/>
        <scheme val="minor"/>
      </rPr>
      <t xml:space="preserve">  </t>
    </r>
    <r>
      <rPr>
        <u/>
        <sz val="10"/>
        <color theme="1"/>
        <rFont val="Calibri"/>
        <family val="2"/>
        <charset val="186"/>
        <scheme val="minor"/>
      </rPr>
      <t xml:space="preserve">Target 2029 calculation: </t>
    </r>
    <r>
      <rPr>
        <sz val="10"/>
        <color theme="1"/>
        <rFont val="Calibri"/>
        <family val="2"/>
        <scheme val="minor"/>
      </rPr>
      <t xml:space="preserve">according to heat loss calculator of National Energy Regulatory Council modernization/adaptation of 1 km of conditional pipeline to low-temperature regime save about 100 MWh of energy per year, so modernised 30 km of pipeline would save 100x30 = 3000 MWh/year primary energy annually, it means that consumption of 30 km modernised network will be 16050-3000 = 13050 MWh/year.  The modernization of heat metering and  hot water meters with remote data reading will save about 1 percent of primary energy consumption.So, having modernised 4500 meters energy consumption would reach 1575000-15750 = 1559250 MWh / year, where savings (loss reduction) makes up 1 percent, which is 15750 MWh / year. The total final value is 13050 + 1559250 = </t>
    </r>
    <r>
      <rPr>
        <b/>
        <sz val="10"/>
        <color theme="1"/>
        <rFont val="Calibri"/>
        <family val="2"/>
        <charset val="186"/>
        <scheme val="minor"/>
      </rPr>
      <t>1.572.300 MWh / year.</t>
    </r>
  </si>
  <si>
    <r>
      <rPr>
        <i/>
        <sz val="10"/>
        <color rgb="FF7030A0"/>
        <rFont val="Calibri"/>
        <family val="2"/>
        <scheme val="minor"/>
      </rPr>
      <t>Rodikliai skaičiuojami su 70 proc. intensyvumu, darant prielaidą, kad projektams bus teikiama subsidija ( iki 40 proc.) ir ilgalaikė paskola (apie 30 proc.). Paskola ilgalaikė, tad grįžtančių lėšų efektas rodikliams pasijus po 2029 metų.</t>
    </r>
    <r>
      <rPr>
        <sz val="10"/>
        <color rgb="FF7030A0"/>
        <rFont val="Calibri"/>
        <family val="2"/>
        <charset val="186"/>
        <scheme val="minor"/>
      </rPr>
      <t xml:space="preserve"> </t>
    </r>
    <r>
      <rPr>
        <sz val="10"/>
        <rFont val="Calibri"/>
        <family val="2"/>
        <charset val="186"/>
        <scheme val="minor"/>
      </rPr>
      <t>50 proc. Lėšų (9642857,15 EUR) bus investuojama į CŠT pritaikymą darbui žematemperatūriu režimu.Pagal vykdomus projektus vidut. 1 m. vamzdyno pritaikymo/modernizavimo darbų kaina - 450 eurų, tai už  9 642 857,15 EUR galima modernizuoti/pritaikyti 9642857,15/450= ~21 km CŠT vamzdyno. Darom prielaidą, kad iki 2024 m. bus investuota 30 proc. lėšų, tad bus modernizuota ~ 6km.</t>
    </r>
  </si>
  <si>
    <r>
      <rPr>
        <i/>
        <sz val="10"/>
        <color theme="1"/>
        <rFont val="Calibri"/>
        <family val="2"/>
        <charset val="186"/>
        <scheme val="minor"/>
      </rPr>
      <t>Calculation of indicators based on 50 percent fund intensity to maintain the same financial model as in 2014-2020  for district heating sector.</t>
    </r>
    <r>
      <rPr>
        <sz val="10"/>
        <color theme="1"/>
        <rFont val="Calibri"/>
        <family val="2"/>
        <scheme val="minor"/>
      </rPr>
      <t xml:space="preserve"> 50 percent funds (13.456.617,1 EUR) will be invested in the adaptation of DH to work in low temperature regime. According to the ongoing projects in district heating sector, the average costs of 1 m pipeline modernization is 450 EUR. Therefore with 13.456.617,1 EUR  30 km of DH pipeline could be  modernized/adapted. We assume that by 2024, 30 percent of the funds will be invested, so 9 km will be modernized.</t>
    </r>
  </si>
  <si>
    <t>50 proc. numatytų lėšų (9642857,15 EUR) bus investuojama bendrai į šilumos, karšto vandens apskaitos prietaisų modernizavimą ir valdymo sistemas. Daroma prielaida, kad po  50 proc. (po 4821428 EUR)  investicijų bus skirta šilumos apskaitos modernizavimui bei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(4821428/1500)+(4821428/100)=51428 vnt. Daroma prielaida, kad iki 2024 m. bus investuota apie 30 proc. lėšų, atitinkamai bus įrengta apie (51428x0,3)=15428 vnt.</t>
  </si>
  <si>
    <r>
      <t>50 percent of funds (13.456.617,1 EUR) will be invested in the modernization of heat and hot water metering devices and management systems. It is assumed that 50 percent (6,728308,55 MEUR) will be used for the modernization of heat metering and 50 percent  (6,728308,55 MEUR) for the modernization of hot water meters. According to the data provide by LDHA, installation/ modernization of 1 introductory heat meter with the whole remote system costs about 1500 euros, installation of hot water meter with the whole remote system costs 100 euros. With investment of  13.456.617,1 EUR  total number of devices (6728308,55/1500) + (6728308,55/100) = 71768 pcs. could be installed / modernized. It is assumed that by 2024, about 30 percent of the funds will be invested, respectively, about (71768x0,3) = 21530 units will be installed.</t>
    </r>
    <r>
      <rPr>
        <i/>
        <sz val="10"/>
        <color theme="1"/>
        <rFont val="Calibri"/>
        <family val="2"/>
        <charset val="186"/>
        <scheme val="minor"/>
      </rPr>
      <t xml:space="preserve">Seeking to calculate number of modernised meters which have remote system special output indicator is proposed for this action. </t>
    </r>
  </si>
  <si>
    <r>
      <rPr>
        <u/>
        <sz val="10"/>
        <color theme="1"/>
        <rFont val="Calibri"/>
        <family val="2"/>
        <charset val="186"/>
        <scheme val="minor"/>
      </rPr>
      <t>Pradinė reikšmė</t>
    </r>
    <r>
      <rPr>
        <sz val="10"/>
        <color theme="1"/>
        <rFont val="Calibri"/>
        <family val="2"/>
        <scheme val="minor"/>
      </rPr>
      <t xml:space="preserve">: 1133300 MWh/metus x  0,1 tCO2/MWh (taršos koeficientas šilumai iš CŠT)  = </t>
    </r>
    <r>
      <rPr>
        <b/>
        <sz val="10"/>
        <color theme="1"/>
        <rFont val="Calibri"/>
        <family val="2"/>
        <charset val="186"/>
        <scheme val="minor"/>
      </rPr>
      <t>113330  tCO2ekvivalentu/metus</t>
    </r>
    <r>
      <rPr>
        <sz val="10"/>
        <color theme="1"/>
        <rFont val="Calibri"/>
        <family val="2"/>
        <scheme val="minor"/>
      </rPr>
      <t xml:space="preserve"> ;  </t>
    </r>
    <r>
      <rPr>
        <u/>
        <sz val="10"/>
        <color theme="1"/>
        <rFont val="Calibri"/>
        <family val="2"/>
        <charset val="186"/>
        <scheme val="minor"/>
      </rPr>
      <t xml:space="preserve"> Galutinė reikšmė:</t>
    </r>
    <r>
      <rPr>
        <sz val="10"/>
        <color theme="1"/>
        <rFont val="Calibri"/>
        <family val="2"/>
        <scheme val="minor"/>
      </rPr>
      <t xml:space="preserve">  1121001 MWh/metus x  0,1 tCO2/MWh  = </t>
    </r>
    <r>
      <rPr>
        <b/>
        <sz val="10"/>
        <rFont val="Calibri"/>
        <family val="2"/>
        <charset val="186"/>
        <scheme val="minor"/>
      </rPr>
      <t xml:space="preserve">112100  tCO2ekvivalentu/metus  </t>
    </r>
    <r>
      <rPr>
        <sz val="10"/>
        <color theme="1"/>
        <rFont val="Calibri"/>
        <family val="2"/>
        <scheme val="minor"/>
      </rPr>
      <t xml:space="preserve">   </t>
    </r>
  </si>
  <si>
    <t>Indicator's code</t>
  </si>
  <si>
    <t>Indicator's name</t>
  </si>
  <si>
    <t>Measurement unit</t>
  </si>
  <si>
    <t>Baseline</t>
  </si>
  <si>
    <t>Region Category</t>
  </si>
  <si>
    <t>Fund</t>
  </si>
  <si>
    <t>Baseline year</t>
  </si>
  <si>
    <t>Milestone 2024</t>
  </si>
  <si>
    <t>Target 2029</t>
  </si>
  <si>
    <t>RCO19</t>
  </si>
  <si>
    <t xml:space="preserve"> m2</t>
  </si>
  <si>
    <t>MWh/ year</t>
  </si>
  <si>
    <t>Action Veiksmas</t>
  </si>
  <si>
    <t>Rodiklis</t>
  </si>
  <si>
    <t>Rodiklio kodas</t>
  </si>
  <si>
    <t>Rodiklio pavadinimas</t>
  </si>
  <si>
    <t>025- Energy efficiency renovation of existing housing stock, demonstration projects and supporting measures</t>
  </si>
  <si>
    <t>Whole Lithuania</t>
  </si>
  <si>
    <t>dwellings</t>
  </si>
  <si>
    <r>
      <rPr>
        <i/>
        <sz val="10"/>
        <color rgb="FF7030A0"/>
        <rFont val="Calibri"/>
        <family val="2"/>
        <scheme val="minor"/>
      </rPr>
      <t xml:space="preserve">Rodikliai skaičiuojami su 50 proc. intensyvumu, išlaikant tą pačią finansavimo schemą kaip ir 2014-2020 m. </t>
    </r>
    <r>
      <rPr>
        <i/>
        <sz val="10"/>
        <rFont val="Calibri"/>
        <family val="2"/>
        <charset val="186"/>
        <scheme val="minor"/>
      </rPr>
      <t>Administravimo kaštai 4,11 proc. yra tokie patys  kaip 2014-2020 m. VP. Jie išeliminuojami skaičiuojant rodiklių reikšmes.</t>
    </r>
    <r>
      <rPr>
        <i/>
        <sz val="10"/>
        <color rgb="FF7030A0"/>
        <rFont val="Calibri"/>
        <family val="2"/>
        <scheme val="minor"/>
      </rPr>
      <t xml:space="preserve"> </t>
    </r>
    <r>
      <rPr>
        <sz val="10"/>
        <color theme="1"/>
        <rFont val="Calibri"/>
        <family val="2"/>
        <scheme val="minor"/>
      </rPr>
      <t>Pagal 2014–2020 metų VP įgyvendinimo rezultatus vienam namų ūkiui, t.y. 1 šilumos gamybos įrenginiui tenkanti vidut. šilumos galia yra 11 kW ir jo vid. kaina 3696 eur (1 kW kaina 336 eur). Investavus 56906045 eur,  užtikrinsime energijos efektyvumo rodiklių pagerinimą apie 15400 namų ūkių 56906045/3696=</t>
    </r>
    <r>
      <rPr>
        <sz val="10"/>
        <color theme="1"/>
        <rFont val="Calibri"/>
        <family val="2"/>
        <charset val="186"/>
      </rPr>
      <t>~</t>
    </r>
    <r>
      <rPr>
        <sz val="10"/>
        <color theme="1"/>
        <rFont val="Calibri"/>
        <family val="2"/>
        <scheme val="minor"/>
      </rPr>
      <t>15400. Daroma prielaida, kad iki 2024 m. pab. bus investuota apie 30 proc. lėšų, tad tarpinė reikšmė 15400x0,3</t>
    </r>
    <r>
      <rPr>
        <sz val="10"/>
        <color theme="1"/>
        <rFont val="Calibri"/>
        <family val="2"/>
      </rPr>
      <t>=4620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</si>
  <si>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15400 namų ūkių įrenginių suvartoja 15400x66,28=1.020.712 MWh/metus. </t>
    </r>
    <r>
      <rPr>
        <u/>
        <sz val="10"/>
        <color theme="1"/>
        <rFont val="Calibri"/>
        <family val="2"/>
        <scheme val="minor"/>
      </rPr>
      <t>Galutinė reikšmė:</t>
    </r>
    <r>
      <rPr>
        <sz val="10"/>
        <color theme="1"/>
        <rFont val="Calibri"/>
        <family val="2"/>
        <scheme val="minor"/>
      </rPr>
      <t xml:space="preserve"> naujas šilumos gamybos įrenginys per metus vidutiniškai sunaudoja 1,8 TNE pirminio kuro energijos arba 1,8x11,628=20,9 MWh. 15400 namų ūkių įrenginių suvartos 15400x20,9=321860 MWh/metus.</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</si>
  <si>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 xml:space="preserve"> </t>
    </r>
    <r>
      <rPr>
        <i/>
        <sz val="10"/>
        <color theme="1"/>
        <rFont val="Calibri"/>
        <family val="2"/>
        <charset val="186"/>
        <scheme val="minor"/>
      </rPr>
      <t xml:space="preserve">Administravimo kaštai 4,11 proc. yra tokie patys  kaip 2014-2020 m. VP. Jie išeliminuojami skaičiuojant rodiklių reikšmes. </t>
    </r>
    <r>
      <rPr>
        <sz val="10"/>
        <color theme="1"/>
        <rFont val="Calibri"/>
        <family val="2"/>
        <scheme val="minor"/>
      </rPr>
      <t>Pagal 2014–2020 VP įgyvendinimo rezultatus vienam namų ūkiui, t.y. 1 šilumos gamybos įrenginiui tenkanti vidut. šilumos galia yra 11 kW ir jo vid. kaina 3696 eur (1 kW kaina 336 eur).Investavus 105682655 eur, užtikrinsime energijos efektyvumo rodiklių pagerinimą apie 28600 namų ūkių 105682655/3696=</t>
    </r>
    <r>
      <rPr>
        <sz val="10"/>
        <color theme="1"/>
        <rFont val="Calibri"/>
        <family val="2"/>
        <charset val="186"/>
      </rPr>
      <t>~</t>
    </r>
    <r>
      <rPr>
        <b/>
        <sz val="10"/>
        <color theme="1"/>
        <rFont val="Calibri"/>
        <family val="2"/>
        <scheme val="minor"/>
      </rPr>
      <t>28600</t>
    </r>
    <r>
      <rPr>
        <sz val="10"/>
        <color theme="1"/>
        <rFont val="Calibri"/>
        <family val="2"/>
        <scheme val="minor"/>
      </rPr>
      <t>. Daroma prielaida, kad iki 2024 m. pab. bus investuota apie 30 proc. lėšų, tad tarpinė reikšmė 28600x0,3=</t>
    </r>
    <r>
      <rPr>
        <b/>
        <sz val="10"/>
        <color theme="1"/>
        <rFont val="Calibri"/>
        <family val="2"/>
        <scheme val="minor"/>
      </rPr>
      <t>8580</t>
    </r>
  </si>
  <si>
    <r>
      <rPr>
        <u/>
        <sz val="10"/>
        <color theme="1"/>
        <rFont val="Calibri"/>
        <family val="2"/>
        <scheme val="minor"/>
      </rPr>
      <t>Pradinė  reikšmė</t>
    </r>
    <r>
      <rPr>
        <sz val="10"/>
        <color theme="1"/>
        <rFont val="Calibri"/>
        <family val="2"/>
        <scheme val="minor"/>
      </rPr>
      <t xml:space="preserve">: senas neefektyvus šilumos gamybos įrenginys per metus sunaudoja vidut. 5,7 TNE pirminio kuro energijos, t.y. 5,7x11,628=66,28 MWh (konversijos koeficientas 1 TNE = 11,628 MWh.). 28600 namų ūkių įrenginių suvartoja 28600x66,28=1895608 MWh/metus. </t>
    </r>
    <r>
      <rPr>
        <u/>
        <sz val="10"/>
        <color theme="1"/>
        <rFont val="Calibri"/>
        <family val="2"/>
        <scheme val="minor"/>
      </rPr>
      <t xml:space="preserve">GAlutinė reikšmė: </t>
    </r>
    <r>
      <rPr>
        <sz val="10"/>
        <color theme="1"/>
        <rFont val="Calibri"/>
        <family val="2"/>
        <scheme val="minor"/>
      </rPr>
      <t>naujas šilumos gamybos įrenginys per metus vidutiniškai sunaudoja 1,8 TNE pirminio kuro energijos arba 1,8x11,628=20,9 MWh. 28600 namų ūkių įrenginių suvartos 28600x20,9=597740 MWh/metus.</t>
    </r>
  </si>
  <si>
    <t>026- Energy efficiency renovation of public infrastructure, demonstration projects and supporting measures</t>
  </si>
  <si>
    <t>square metres</t>
  </si>
  <si>
    <r>
      <rPr>
        <i/>
        <sz val="10"/>
        <color rgb="FF7030A0"/>
        <rFont val="Calibri"/>
        <family val="2"/>
        <scheme val="minor"/>
      </rPr>
      <t xml:space="preserve">Rodikliai skaičiuojami su 70 proc. intensyvumu, išlaikant tą pačią finansavimo schemą kaip ir 2014-2020 m. </t>
    </r>
    <r>
      <rPr>
        <sz val="10"/>
        <color theme="1"/>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35428571 / 345 = ~ 102 tūkst. m²;  Daroma prielaida, kad iki 2024 m. bus investuota   apie 10 proc. lėšų ir atnaujinta apie 10,2 tūkst m²pastatų ploto. </t>
    </r>
  </si>
  <si>
    <r>
      <rPr>
        <u/>
        <sz val="10"/>
        <color theme="1"/>
        <rFont val="Calibri"/>
        <family val="2"/>
        <scheme val="minor"/>
      </rPr>
      <t>Pradinė reikšmė:</t>
    </r>
    <r>
      <rPr>
        <sz val="10"/>
        <color theme="1"/>
        <rFont val="Calibri"/>
        <family val="2"/>
        <scheme val="minor"/>
      </rPr>
      <t xml:space="preserve"> 102000 m2x220kWh/m²/metus= 22440MWh/metus (220 kWh/m²/metus - VšĮ LEA paskaičiuotas energijos sąnaudų vidurkis iš pastatų sertifikatų) . </t>
    </r>
    <r>
      <rPr>
        <u/>
        <sz val="10"/>
        <color theme="1"/>
        <rFont val="Calibri"/>
        <family val="2"/>
        <scheme val="minor"/>
      </rPr>
      <t xml:space="preserve">Galutinė reikšmė </t>
    </r>
    <r>
      <rPr>
        <sz val="10"/>
        <color theme="1"/>
        <rFont val="Calibri"/>
        <family val="2"/>
        <scheme val="minor"/>
      </rPr>
      <t>apskaičiuota, siekiant sutaupyti atnaujintuose pastatuose ne mažiau kaip 30 proc. (30 proc. įtvirtinta ir LRV viešųjų pastatų atnaujinimo programoje) pirminės energijos: 22440 x 70 % = 15 708 MWh/metus</t>
    </r>
  </si>
  <si>
    <t>tons of CO2 eq/year</t>
  </si>
  <si>
    <r>
      <rPr>
        <u/>
        <sz val="10"/>
        <color theme="1"/>
        <rFont val="Calibri"/>
        <family val="2"/>
        <scheme val="minor"/>
      </rPr>
      <t>Pradinė reikšmė:</t>
    </r>
    <r>
      <rPr>
        <sz val="10"/>
        <color theme="1"/>
        <rFont val="Calibri"/>
        <family val="2"/>
        <scheme val="minor"/>
      </rPr>
      <t xml:space="preserve"> 22 440 000 kWh/metus x 0,1 kgCO2/kWh (taršos faktorius)= 2 244 000 kgCO2 ~ 2 244 tCO2/metus. GAlutinė reikšmė: 15 708 000x0,1 = 1 570 800 kgCO2/metus ~ 1571 tCO2/metus.</t>
    </r>
  </si>
  <si>
    <r>
      <rPr>
        <i/>
        <sz val="10"/>
        <color rgb="FF7030A0"/>
        <rFont val="Calibri"/>
        <family val="2"/>
        <scheme val="minor"/>
      </rPr>
      <t>Rodikliai skaičiuojami su 70 proc. intensyvumu, išlaikant tą pačią finansavimo schemą kaip ir 2014-2020 m.</t>
    </r>
    <r>
      <rPr>
        <sz val="10"/>
        <rFont val="Calibri"/>
        <family val="2"/>
        <scheme val="minor"/>
      </rPr>
      <t xml:space="preserve">Pagal 2014–2020 metų VP) įgyvendinimą ir gautų projektų informaciją, vid. investicijų poreikis pastato atnaujinimui siekia 345 Eur/m², tad su intervencijų kategorijai numatyta bendra lėšų suma galima būtų atnaujinti apie </t>
    </r>
    <r>
      <rPr>
        <sz val="10"/>
        <color theme="1"/>
        <rFont val="Calibri"/>
        <family val="2"/>
        <scheme val="minor"/>
      </rPr>
      <t xml:space="preserve"> 53142857,1/ 345 = ~ 155 tūkst. m²; Daroma prielaida, kad iki 2024 m. bus investuota   apie 10 proc. lėšų ir atnaujinta apie 15,5 tūks. m²  </t>
    </r>
  </si>
  <si>
    <t>According to 2014-2020 OP implementation data renovation costs of 1 m2 floor area of public building is 345 eur. With 53142857,1 EUR 155000 m2 floor area of public buildings could be renovated 53142857,1/ 345 = ~ 155000 m². Milestone 2024: it is assumed  that 10 percent of funds will be invested by 2024, then 15500 m2 floor area of public buildings could be renovated.</t>
  </si>
  <si>
    <r>
      <rPr>
        <u/>
        <sz val="10"/>
        <color theme="1"/>
        <rFont val="Calibri"/>
        <family val="2"/>
        <scheme val="minor"/>
      </rPr>
      <t>Pradinė  reikšmė</t>
    </r>
    <r>
      <rPr>
        <sz val="10"/>
        <color theme="1"/>
        <rFont val="Calibri"/>
        <family val="2"/>
        <scheme val="minor"/>
      </rPr>
      <t xml:space="preserve"> yra 155 000 m2 x 220kWh/m²/metus = 34 100 MWh/metus. </t>
    </r>
    <r>
      <rPr>
        <u/>
        <sz val="10"/>
        <color theme="1"/>
        <rFont val="Calibri"/>
        <family val="2"/>
        <scheme val="minor"/>
      </rPr>
      <t>Galutinė reikšmė</t>
    </r>
    <r>
      <rPr>
        <sz val="10"/>
        <color theme="1"/>
        <rFont val="Calibri"/>
        <family val="2"/>
        <scheme val="minor"/>
      </rPr>
      <t>: apskaičiuota, siekiant sutaupyti atnaujintuose pastatuose ne mažiau kaip 30 proc. (30 proc. įtvirtinta ir LRV viešųjų pastatų atnaujinimo programoje) pirminės energijos: 34100 x 70 % = 23870 MWh/metus</t>
    </r>
  </si>
  <si>
    <r>
      <rPr>
        <u/>
        <sz val="10"/>
        <color theme="1"/>
        <rFont val="Calibri"/>
        <family val="2"/>
        <charset val="186"/>
        <scheme val="minor"/>
      </rPr>
      <t>Baseline calculation</t>
    </r>
    <r>
      <rPr>
        <sz val="10"/>
        <color theme="1"/>
        <rFont val="Calibri"/>
        <family val="2"/>
        <scheme val="minor"/>
      </rPr>
      <t>:  155000 m2  floor area of ineffiecient public buildings consume 22440 MWh/year (155000 m2 x 220kWh/m²/year = 34100 MWh/year, where 220 kWh/m2 - an average annual energy consumption of 1 m2 floor area of  public building  (data provided by Lithuanian Energy Agency) .</t>
    </r>
    <r>
      <rPr>
        <u/>
        <sz val="10"/>
        <color theme="1"/>
        <rFont val="Calibri"/>
        <family val="2"/>
        <charset val="186"/>
        <scheme val="minor"/>
      </rPr>
      <t>Target 2029 calculation:</t>
    </r>
    <r>
      <rPr>
        <sz val="10"/>
        <color theme="1"/>
        <rFont val="Calibri"/>
        <family val="2"/>
        <scheme val="minor"/>
      </rPr>
      <t xml:space="preserve">  according to 2014-2020 OP implementation after renovation public buildings cosume at least 30 percent less energy. Therefore 34100MWh/year x 70 % = 23870 MWh/year.</t>
    </r>
  </si>
  <si>
    <t xml:space="preserve">RCR 29 </t>
  </si>
  <si>
    <r>
      <rPr>
        <u/>
        <sz val="10"/>
        <color theme="1"/>
        <rFont val="Calibri"/>
        <family val="2"/>
        <scheme val="minor"/>
      </rPr>
      <t>Pradinė reikšmė:</t>
    </r>
    <r>
      <rPr>
        <sz val="10"/>
        <color theme="1"/>
        <rFont val="Calibri"/>
        <family val="2"/>
        <scheme val="minor"/>
      </rPr>
      <t xml:space="preserve"> 34 100 000 kWh/metus x 0,1 kgCO2/kWh (pagal Aplinkos ministro patvirtintame Statybos techniniame reglamente (STR) įvardintą taršos faktorių šilumai iš CŠT) = 3 410 000 kgCO2 ~ 3410 tCO2/metus. </t>
    </r>
    <r>
      <rPr>
        <u/>
        <sz val="10"/>
        <color theme="1"/>
        <rFont val="Calibri"/>
        <family val="2"/>
        <scheme val="minor"/>
      </rPr>
      <t>Galutinė reikšmė:</t>
    </r>
    <r>
      <rPr>
        <sz val="10"/>
        <color theme="1"/>
        <rFont val="Calibri"/>
        <family val="2"/>
        <scheme val="minor"/>
      </rPr>
      <t xml:space="preserve"> 23 870 000 x 0,1 = 2387000 kgCO2/metus ~ 2387 tCO2/metus.</t>
    </r>
  </si>
  <si>
    <r>
      <rPr>
        <u/>
        <sz val="10"/>
        <color theme="1"/>
        <rFont val="Calibri"/>
        <family val="2"/>
        <charset val="186"/>
        <scheme val="minor"/>
      </rPr>
      <t>Baseline calculation:</t>
    </r>
    <r>
      <rPr>
        <sz val="10"/>
        <color theme="1"/>
        <rFont val="Calibri"/>
        <family val="2"/>
        <scheme val="minor"/>
      </rPr>
      <t xml:space="preserve"> 34 100 000 kWh/year x 0,1 kgCO2/kWh (pollution factor for heat from DH according to Technical Regulation of Construction, Ministry of Environment)= 2 244 000 kgCO2 ~ 2 244 tCO2/year. </t>
    </r>
    <r>
      <rPr>
        <u/>
        <sz val="10"/>
        <color theme="1"/>
        <rFont val="Calibri"/>
        <family val="2"/>
        <charset val="186"/>
        <scheme val="minor"/>
      </rPr>
      <t>Target 2029 calculation</t>
    </r>
    <r>
      <rPr>
        <sz val="10"/>
        <color theme="1"/>
        <rFont val="Calibri"/>
        <family val="2"/>
        <scheme val="minor"/>
      </rPr>
      <t>: 23870 000 x 0,1 = 2387000 kgCO2/year ~ 2387 tCO2/year.</t>
    </r>
  </si>
  <si>
    <t xml:space="preserve">2.1.3. To improve energy efficiency in enterprises                                               (24930585,7 eur)     </t>
  </si>
  <si>
    <t xml:space="preserve">024- Energy efficiency and demonstration projects in SMEs and supporting measures </t>
  </si>
  <si>
    <r>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suvartojimas)70x100. Siektina reikšmė būtų (Įmonių skaičius*vidutinis įmonės suvartojimas)- (Įmonių skaičius*vidutinis įmonės suvartojimas*efektyvumo padidėjimas)(70x100)-(70x100x0,2)</t>
    </r>
    <r>
      <rPr>
        <sz val="10"/>
        <color theme="1"/>
        <rFont val="Calibri"/>
        <family val="2"/>
      </rPr>
      <t>=5600 MWh/metus</t>
    </r>
  </si>
  <si>
    <r>
      <t xml:space="preserve">SME consumes an average  100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xml:space="preserve"> 70 (number of entities)x100MWh/year=7000 MWh/year. </t>
    </r>
    <r>
      <rPr>
        <u/>
        <sz val="10"/>
        <color theme="1"/>
        <rFont val="Calibri"/>
        <family val="2"/>
        <charset val="186"/>
        <scheme val="minor"/>
      </rPr>
      <t>Target 2029 calculation</t>
    </r>
    <r>
      <rPr>
        <sz val="10"/>
        <color theme="1"/>
        <rFont val="Calibri"/>
        <family val="2"/>
        <scheme val="minor"/>
      </rPr>
      <t>:7000-(70x100x0,2)=5600 MWh/year</t>
    </r>
  </si>
  <si>
    <t>Enterprises with improved energy performance</t>
  </si>
  <si>
    <t>enterprises</t>
  </si>
  <si>
    <r>
      <rPr>
        <i/>
        <sz val="10"/>
        <color rgb="FF7030A0"/>
        <rFont val="Calibri"/>
        <family val="2"/>
        <scheme val="minor"/>
      </rPr>
      <t>Rodikliai skaičiuojami su 70 proc. intensyvumu, siekiant neviršyti valstybės pagalbos limitų MVĮ.</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parama.  Todėl darant tokią pačią prielaidą dėl skiriamų investicijų apimties SVĮ, pagerinume energijos efektyvumo rodiklius apie 70 įmonių (4991411/72000=</t>
    </r>
    <r>
      <rPr>
        <sz val="10"/>
        <color theme="1"/>
        <rFont val="Calibri"/>
        <family val="2"/>
      </rPr>
      <t>~</t>
    </r>
    <r>
      <rPr>
        <sz val="10"/>
        <color theme="1"/>
        <rFont val="Calibri"/>
        <family val="2"/>
        <scheme val="minor"/>
      </rPr>
      <t>70). Darome prielaidą, kad iki 2024 m. investuosime 20 proc. lėšų, tad tarpinė reikšmė bus 70x0.2</t>
    </r>
    <r>
      <rPr>
        <sz val="10"/>
        <color theme="1"/>
        <rFont val="Calibri"/>
        <family val="2"/>
      </rPr>
      <t>=14 įmonių</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</si>
  <si>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4991411 eur  70 SME could be supported  (4991411/72000=~70). We assume that that 20 percent of funds will be invested by 2024, so Milestone 2024 will be 70x0,2=14 SME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</si>
  <si>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t>SVĮ įmonės vidutiniškai sunaudoja (SVĮ įmones, nuo 30 iki 400 kW leistinosios naudoti elektros galios)  100 MWh/metus (ESo duomenys).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 reikšmė būtų (Įmonių skaičius*vidutinis įmonės suvartojimas) 129x100. Siektina reikšmė būtų (Įmonių skaičius*vidutinis įmonės suvartojimas)- (Įmonių skaičius*vidutinis įmonės suvartojimas*efektyvumo padidėjimas)(129x100)-(129x100x0,2)=10320 MWh/metus</t>
  </si>
  <si>
    <r>
      <t>SME consumes an average  100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129 (number of entities)x100MWh/year=12900 MWh/year. </t>
    </r>
    <r>
      <rPr>
        <u/>
        <sz val="10"/>
        <color theme="1"/>
        <rFont val="Calibri"/>
        <family val="2"/>
        <charset val="186"/>
        <scheme val="minor"/>
      </rPr>
      <t>Target 2029 calculation</t>
    </r>
    <r>
      <rPr>
        <sz val="10"/>
        <color theme="1"/>
        <rFont val="Calibri"/>
        <family val="2"/>
        <scheme val="minor"/>
      </rPr>
      <t>:(129x100)-(129x100x0,2)=10320  MWh/year</t>
    </r>
  </si>
  <si>
    <r>
      <rPr>
        <i/>
        <sz val="10"/>
        <color rgb="FF7030A0"/>
        <rFont val="Calibri"/>
        <family val="2"/>
        <scheme val="minor"/>
      </rPr>
      <t>Rodikliai skaičiuojami su 70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vidutiniškai SVĮ įmonės įgyvendinamo EE projekto kaina apie 72.000 EUR. Todėl bus pagerinti energijos efektyvumo rodikliai apie 129 SVĮ. Formulė (9254638/72000=129). Iki 2024 m. planuotume investuoti apie 20 proc. lėšų, todėl tarpinė reikšmė būtų 129x0,2=25 įmonės</t>
    </r>
  </si>
  <si>
    <r>
      <rPr>
        <i/>
        <sz val="10"/>
        <color theme="1"/>
        <rFont val="Calibri"/>
        <family val="2"/>
        <charset val="186"/>
        <scheme val="minor"/>
      </rPr>
      <t>Calculation of indicators based on the 70 percent of funding intensity SME according to GBER.</t>
    </r>
    <r>
      <rPr>
        <sz val="10"/>
        <color theme="1"/>
        <rFont val="Calibri"/>
        <family val="2"/>
        <scheme val="minor"/>
      </rPr>
      <t xml:space="preserve"> According to currently active Climate Change Program's measure which is devoted to private legal entities to implement EE measures proposed by energy audits,  an average SME energy efficiency project  costs ~72000 eur.  With 9254638 eur  129 SME  could be supported (9254638/72000=129). We assume that that 20 percent of funds will be invested by 2024, so Milestone 2024 will be 129x0,2=25 SME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charset val="186"/>
        <scheme val="minor"/>
      </rPr>
      <t xml:space="preserve"> </t>
    </r>
  </si>
  <si>
    <t>024b- Energy efficiency and demonstration projects in large enterprises and supporting measures</t>
  </si>
  <si>
    <r>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suvartojimas)26x1000. Siektina reikšmė (Įmonių skaičius*vidutinis įmonės suvartojimas)-(Įmonių skaičius*vidutinis įmonės suvartojimas*efektyvumo padidėjimas) (26x1000)-(26x1000x0,2)</t>
    </r>
    <r>
      <rPr>
        <sz val="10"/>
        <color theme="1"/>
        <rFont val="Calibri"/>
        <family val="2"/>
      </rPr>
      <t>=20800MWh per metus</t>
    </r>
  </si>
  <si>
    <r>
      <t>A large entity consumes an average  1000 MWh/year (DSO provided data). It is assumed that having implemented all the EE measures, efficiency will increase by 20 %.</t>
    </r>
    <r>
      <rPr>
        <u/>
        <sz val="10"/>
        <color theme="1"/>
        <rFont val="Calibri"/>
        <family val="2"/>
        <charset val="186"/>
        <scheme val="minor"/>
      </rPr>
      <t xml:space="preserve"> Baseline calculation:</t>
    </r>
    <r>
      <rPr>
        <sz val="10"/>
        <color theme="1"/>
        <rFont val="Calibri"/>
        <family val="2"/>
        <scheme val="minor"/>
      </rPr>
      <t xml:space="preserve"> 48 (number of entities)x1000MWh/year=48000. </t>
    </r>
    <r>
      <rPr>
        <u/>
        <sz val="10"/>
        <color theme="1"/>
        <rFont val="Calibri"/>
        <family val="2"/>
        <charset val="186"/>
        <scheme val="minor"/>
      </rPr>
      <t>Target 2029 calculation</t>
    </r>
    <r>
      <rPr>
        <sz val="10"/>
        <color theme="1"/>
        <rFont val="Calibri"/>
        <family val="2"/>
        <scheme val="minor"/>
      </rPr>
      <t>:(48x1000)-(48x1000x0,2)=38400 MWh/year</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</si>
  <si>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26 įmonių. Formulė (10470846/400000=26). Iki 2024 m. planuotume investuoti apie 20 proc. lėšų, todėl tarpinė reikšmė būtų 26x0,2</t>
    </r>
    <r>
      <rPr>
        <sz val="10"/>
        <color theme="1"/>
        <rFont val="Calibri"/>
        <family val="2"/>
      </rPr>
      <t>=5 įmonės</t>
    </r>
  </si>
  <si>
    <r>
      <t xml:space="preserve">According to currently active Climate Change Program's measure devoted to private legal entities for the implementation of EE measures proposed by energy audits,  an average financial support of 200000 eur are being invested into EE measures of a large enterprise. With 9,7 MEUR could be supported 5,2/0,2= 26 entities. We assume that that 20 percent of funds will be invested by 2024, so Milestone 2024 will be 26x0,2=5 large entities with better energy efficiency. </t>
    </r>
    <r>
      <rPr>
        <i/>
        <sz val="10"/>
        <color theme="1"/>
        <rFont val="Calibri"/>
        <family val="2"/>
        <charset val="186"/>
        <scheme val="minor"/>
      </rPr>
      <t xml:space="preserve">Seeking to calculate number of entities whose energy efficiency was improved special output indicator is proposed for this action.  </t>
    </r>
  </si>
  <si>
    <t>Didelės įmonės  vidutiniškai sunaudoja (didelės įmonės, virš 400 kW leistinosios naudoti elektros galios) - 1000 MWh/metus (ESO informacija). Pagal Klimato kaitos programos įgyvendinimo rezultatus  bei energijos vartojimo auditų ataskaitų įmonėse duomenų analizę, daroma prielaida, kad įgyvendinus energijos vartojimo audito ataskaitose nurodytas energijos efektyvumo priemones (įgyvendinus projektus) energijos efektyvumas vidutiniškai padidės 20 %.   Pradinės reikšmė  (Įmonių skaičius*vidutinis įmonės suvartojimas) 48x1000. Siektina reikšmė: (Įmonių skaičius*vidutinis įmonės suvartojimas)-(Įmonių skaičius*vidutinis įmonės suvartojimas*efektyvumo padidėjimas) (48x1000)-(48x1000x0,2)=38400 MWh per metus</t>
  </si>
  <si>
    <r>
      <t xml:space="preserve">A large entity consumes an average  1000 MWh/year (DSO provided data). It is assumed that having implemented all the EE measures, efficiency will increase by 20 %. </t>
    </r>
    <r>
      <rPr>
        <u/>
        <sz val="10"/>
        <color theme="1"/>
        <rFont val="Calibri"/>
        <family val="2"/>
        <charset val="186"/>
        <scheme val="minor"/>
      </rPr>
      <t>Baseline calculation</t>
    </r>
    <r>
      <rPr>
        <sz val="10"/>
        <color theme="1"/>
        <rFont val="Calibri"/>
        <family val="2"/>
        <scheme val="minor"/>
      </rPr>
      <t>: 48 (number of entities)x1000MWh/year=48000 MWh/year. Target 2029 calculation:(48x1000)-(48x1000x0,2)=38400 MWh/year</t>
    </r>
  </si>
  <si>
    <r>
      <rPr>
        <i/>
        <sz val="10"/>
        <color rgb="FF7030A0"/>
        <rFont val="Calibri"/>
        <family val="2"/>
        <scheme val="minor"/>
      </rPr>
      <t>Rodikliai skaičiuojami su 50 proc. intensyvumu, siekiant neviršyti valstybės pagalbos limitų didelėms įmonėms.</t>
    </r>
    <r>
      <rPr>
        <sz val="10"/>
        <color theme="1"/>
        <rFont val="Calibri"/>
        <family val="2"/>
        <scheme val="minor"/>
      </rPr>
      <t>Pagal Klimato kaitos programos priemonės "Privačių juridinių asmenų energijos vartojimo efektyvumo priemonių įgyvendinimas pagal energijos audito ataskaitas" faktinius rezultatus nustatyta, kad didelės įmonės vidut. EE projektas siekia apie  400.000 EUR. Todėl bus pagerinti energijos efektyvumo rodikliai apie 48 įmonių. Formulė (19445857/400000=48). Iki 2024 m. planuotume investuoti apie 20 proc. lėšų, todėl tarpinė reikšmė būtų 48x0,2=9 įmonės</t>
    </r>
  </si>
  <si>
    <r>
      <t xml:space="preserve">According to currently active Climate Change Program's measure which is devoted to private legal entities to implement EE measures proposed by energy audits,  an average energy efficiency project of a large enterprise costs </t>
    </r>
    <r>
      <rPr>
        <sz val="10"/>
        <color theme="1"/>
        <rFont val="Calibri"/>
        <family val="2"/>
        <charset val="186"/>
      </rPr>
      <t>~</t>
    </r>
    <r>
      <rPr>
        <sz val="10"/>
        <color theme="1"/>
        <rFont val="Calibri"/>
        <family val="2"/>
        <scheme val="minor"/>
      </rPr>
      <t xml:space="preserve">400000 eur.  With 19445857 eur  48 large entities could be supported: 19445857/400000=48 entities. We assume that that 20 percent of funds will be invested by 2024, so Milestone 2024 will be 48x0,2=9 large entities with better energy efficiency.                                                                                                                                                     </t>
    </r>
    <r>
      <rPr>
        <i/>
        <sz val="10"/>
        <color theme="1"/>
        <rFont val="Calibri"/>
        <family val="2"/>
        <charset val="186"/>
        <scheme val="minor"/>
      </rPr>
      <t>Seeking to calculate number of entities whose energy efficiency was improved special output indicator is proposed for this action</t>
    </r>
    <r>
      <rPr>
        <sz val="10"/>
        <color theme="1"/>
        <rFont val="Calibri"/>
        <family val="2"/>
        <scheme val="minor"/>
      </rPr>
      <t xml:space="preserve">. </t>
    </r>
  </si>
  <si>
    <t xml:space="preserve">2.1.4. To improve energy efficiency of district heating, cooling and  hot water supply systems and develop systems    (26913232,1 eur) </t>
  </si>
  <si>
    <t>034- High efficiency co-generation, district heating and cooling</t>
  </si>
  <si>
    <r>
      <t xml:space="preserve">Rodiklio pradinė ir galutinė reikšmės sudaryta iš suvartojimo, diegiant šilumos apskaitos prietaisus bei karšto vandens skaitiklius ir iš suvartojimo, pritaikant CŠT tinklą žematemperatūriui režimui.                                                                                                                                                 50 proc. numatytų lėšų (13.456.617,1 EUR) bus investuojama bendrai į CŠT efektyvinimą/pritaikymą žematemperatūriam darbo režimui. Investavus 13.456.617,1 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t>
    </r>
    <r>
      <rPr>
        <u/>
        <sz val="10"/>
        <color theme="1"/>
        <rFont val="Calibri"/>
        <family val="2"/>
        <scheme val="minor"/>
      </rPr>
      <t>Pradinė  reikšmė</t>
    </r>
    <r>
      <rPr>
        <sz val="10"/>
        <color theme="1"/>
        <rFont val="Calibri"/>
        <family val="2"/>
        <scheme val="minor"/>
      </rPr>
      <t xml:space="preserve">: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13.456.617,1 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xml:space="preserve">, </t>
    </r>
    <r>
      <rPr>
        <u/>
        <sz val="10"/>
        <color theme="1"/>
        <rFont val="Calibri"/>
        <family val="2"/>
        <scheme val="minor"/>
      </rPr>
      <t>siekiama reikšmė 2029 m</t>
    </r>
    <r>
      <rPr>
        <sz val="10"/>
        <color theme="1"/>
        <rFont val="Calibri"/>
        <family val="2"/>
        <scheme val="minor"/>
      </rPr>
      <t>.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t>
    </r>
    <r>
      <rPr>
        <u/>
        <sz val="10"/>
        <color theme="1"/>
        <rFont val="Calibri"/>
        <family val="2"/>
        <scheme val="minor"/>
      </rPr>
      <t xml:space="preserve">Bendra pradinė reikšmė </t>
    </r>
    <r>
      <rPr>
        <sz val="10"/>
        <color theme="1"/>
        <rFont val="Calibri"/>
        <family val="2"/>
        <scheme val="minor"/>
      </rPr>
      <t>16050+1575000=</t>
    </r>
    <r>
      <rPr>
        <b/>
        <sz val="10"/>
        <color theme="1"/>
        <rFont val="Calibri"/>
        <family val="2"/>
        <scheme val="minor"/>
      </rPr>
      <t>1 591 050 MWh/me</t>
    </r>
    <r>
      <rPr>
        <sz val="10"/>
        <color theme="1"/>
        <rFont val="Calibri"/>
        <family val="2"/>
        <scheme val="minor"/>
      </rPr>
      <t xml:space="preserve">tus, </t>
    </r>
    <r>
      <rPr>
        <u/>
        <sz val="10"/>
        <color theme="1"/>
        <rFont val="Calibri"/>
        <family val="2"/>
        <scheme val="minor"/>
      </rPr>
      <t xml:space="preserve">bendra galutinė reikšmė </t>
    </r>
    <r>
      <rPr>
        <sz val="10"/>
        <color theme="1"/>
        <rFont val="Calibri"/>
        <family val="2"/>
        <scheme val="minor"/>
      </rPr>
      <t>13050+1559250=</t>
    </r>
    <r>
      <rPr>
        <b/>
        <sz val="10"/>
        <color theme="1"/>
        <rFont val="Calibri"/>
        <family val="2"/>
        <scheme val="minor"/>
      </rPr>
      <t>1 572 300 MWh/metus.</t>
    </r>
  </si>
  <si>
    <r>
      <rPr>
        <i/>
        <sz val="10"/>
        <color rgb="FF7030A0"/>
        <rFont val="Calibri"/>
        <family val="2"/>
        <scheme val="minor"/>
      </rPr>
      <t>Rodikliai skaičiuojami su 50 proc. intensyvumu, išlaikant tą pačią finansavimo schemą kaip ir 2014-2020 m</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</si>
  <si>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t>vnt.</t>
  </si>
  <si>
    <r>
      <t>50 proc. numatytų lėšų (13,45 MEUR) bus investuojama bendrai į šilumos, karšto vandens apskaitos prietaisų modernizavimą ir valdymo sistemas. Daroma prielaida, kad po  50 proc. (po 6,725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(6725000/1500)+(6725000/100)</t>
    </r>
    <r>
      <rPr>
        <sz val="10"/>
        <rFont val="Calibri"/>
        <family val="2"/>
      </rPr>
      <t>=71750 vnt</t>
    </r>
    <r>
      <rPr>
        <sz val="10"/>
        <rFont val="Calibri"/>
        <family val="2"/>
        <scheme val="minor"/>
      </rPr>
      <t>. Daroma prielaida, kad iki 2024 m. bus investuota apie 30 proc. lėšų, atitinkamai bus įrengta apie (71750x0,3)=21525 vnt.</t>
    </r>
  </si>
  <si>
    <r>
      <t xml:space="preserve">Rodiklio pradinė ir galutinė reikšmės sudaryta iš suvartojimo, diegiant šilumos apskaitos prietaisus bei karšto vandens skaitiklius ir iš suvartojimo, pritaikant CŠT tinklą žematemperatūriui režimui.                                                                                                                                         50 proc. numatytų lėšų (13,45 MEUR) bus investuojama bendrai į CŠT efektyvinimą/pritaikymą žematemperatūriam darbo režimui. Investavus 13,45 MEUR, pervesti prie žematemperatūrio režimo galima 30 km CŠT vamzdynų.   Vadovaujantis  VERT šilumos nuostolių skaičiuoklę, 1km sąlyginio vamzdyno perėjimas prie žematemperatūrinio šildymo taupo apie 100MWh energijos per metus, tad pritaikius 30 km vamzdyno žematemperatūriam režimui, kasmet būtų taupoma 100x30=3000 MWh.                                                                                                                                                                                                                                                            Pradinė energijos  suvartojimo reikšmė: Vadovaujantis LŠTA šilumos tiekimo įmonių ūkinės veiklos apžvalga 2019,  1 km CŠT vartoja (šilumos nuostoliai)  535 MWh/metus,  </t>
    </r>
    <r>
      <rPr>
        <b/>
        <sz val="10"/>
        <color theme="1"/>
        <rFont val="Calibri"/>
        <family val="2"/>
        <scheme val="minor"/>
      </rPr>
      <t xml:space="preserve">iki modernizavimo </t>
    </r>
    <r>
      <rPr>
        <sz val="10"/>
        <color theme="1"/>
        <rFont val="Calibri"/>
        <family val="2"/>
        <scheme val="minor"/>
      </rPr>
      <t>30 km suvartojo 30x535 =</t>
    </r>
    <r>
      <rPr>
        <b/>
        <sz val="10"/>
        <color theme="1"/>
        <rFont val="Calibri"/>
        <family val="2"/>
        <scheme val="minor"/>
      </rPr>
      <t>16050 MWh/ metus</t>
    </r>
    <r>
      <rPr>
        <sz val="10"/>
        <color theme="1"/>
        <rFont val="Calibri"/>
        <family val="2"/>
        <scheme val="minor"/>
      </rPr>
      <t xml:space="preserve"> (2019 m.), o 2029 m. 30 km tinklo suvartos 16050-3000=</t>
    </r>
    <r>
      <rPr>
        <b/>
        <sz val="10"/>
        <color theme="1"/>
        <rFont val="Calibri"/>
        <family val="2"/>
        <scheme val="minor"/>
      </rPr>
      <t xml:space="preserve">13050 MWh/ metus.                                                                                                                                                                                                               </t>
    </r>
    <r>
      <rPr>
        <sz val="10"/>
        <color theme="1"/>
        <rFont val="Calibri"/>
        <family val="2"/>
        <scheme val="minor"/>
      </rPr>
      <t xml:space="preserve"> Įvadinė apskaita+karšto vandens skatikliai: Pradinės reikšmės skaičiavimas: pagal LŠTA statistiką 2019 m. per 10000 vnt. įvadinės apskaitos prietaisus praėjo apie 3 500 000 MWh šilumos kiekio vartotojams per metus nenuskaitant jos nuotoliniu būdu, t.y. pro 1 įvadinį  šilumos apskaitos prietaisą praėjo vidut.  350 MWh šiluminės energijos per metus nenuskaitant jos nuotoliniu būdu. Investavus 13,45 MEUR, būtų įdiegta 4500 vnt išmanių įvadinės šilumos apskaitos prietaisų ir 67250 vnt karšto vandens skaitiklių su nuotoliniu duomenu nuskaitymo funkcija. Įdiegus/modernizavus šilumos apskaitą bei atsiskaitomuosius karšto vandens skaitiklius su nuotoliniu duomenų nuskaitymu, bus sutaupoma apie 1 proc. pirminės energijos.</t>
    </r>
    <r>
      <rPr>
        <b/>
        <sz val="10"/>
        <color theme="1"/>
        <rFont val="Calibri"/>
        <family val="2"/>
        <scheme val="minor"/>
      </rPr>
      <t>Iki įdiegimo</t>
    </r>
    <r>
      <rPr>
        <sz val="10"/>
        <color theme="1"/>
        <rFont val="Calibri"/>
        <family val="2"/>
        <scheme val="minor"/>
      </rPr>
      <t xml:space="preserve"> šilumos apskaitos prietaisų su nuotolinio nuskaitymo funkcija šilumos kiekis suvartojamas 4500x350=</t>
    </r>
    <r>
      <rPr>
        <b/>
        <sz val="10"/>
        <color theme="1"/>
        <rFont val="Calibri"/>
        <family val="2"/>
        <scheme val="minor"/>
      </rPr>
      <t>1 575 000 MWh/metus</t>
    </r>
    <r>
      <rPr>
        <sz val="10"/>
        <color theme="1"/>
        <rFont val="Calibri"/>
        <family val="2"/>
        <scheme val="minor"/>
      </rPr>
      <t>, siekiama reikšmė 2029 m. po įvadinės apskaitos modernizavimo ir atsiskaitomųjų skaitiklių įdiegimo  būtų  1575000-15750=</t>
    </r>
    <r>
      <rPr>
        <b/>
        <sz val="10"/>
        <color theme="1"/>
        <rFont val="Calibri"/>
        <family val="2"/>
        <scheme val="minor"/>
      </rPr>
      <t>1559250 MWh/metus</t>
    </r>
    <r>
      <rPr>
        <sz val="10"/>
        <color theme="1"/>
        <rFont val="Calibri"/>
        <family val="2"/>
        <scheme val="minor"/>
      </rPr>
      <t>, kur sutaupymai (nuostolių sumažinimas)  sudaro 1 proc., t.y. 15750 MWh /metus.Bendra pradinė reikšmė 16050+1575000=</t>
    </r>
    <r>
      <rPr>
        <b/>
        <sz val="10"/>
        <color theme="1"/>
        <rFont val="Calibri"/>
        <family val="2"/>
        <scheme val="minor"/>
      </rPr>
      <t>1 591 050 MWh/metus</t>
    </r>
    <r>
      <rPr>
        <sz val="10"/>
        <color theme="1"/>
        <rFont val="Calibri"/>
        <family val="2"/>
        <scheme val="minor"/>
      </rPr>
      <t xml:space="preserve">, bendra galutinė reikšmė 13050+1559250= </t>
    </r>
    <r>
      <rPr>
        <b/>
        <sz val="10"/>
        <color theme="1"/>
        <rFont val="Calibri"/>
        <family val="2"/>
        <scheme val="minor"/>
      </rPr>
      <t>1 572 300 MWh/metus.</t>
    </r>
  </si>
  <si>
    <r>
      <rPr>
        <i/>
        <sz val="10"/>
        <color rgb="FF7030A0"/>
        <rFont val="Calibri"/>
        <family val="2"/>
        <scheme val="minor"/>
      </rPr>
      <t xml:space="preserve">Rodikliai skaičiuojami su 50 proc. paramos intensyvumu, išlaikant tą pačią finansavimo schemą pareiškėjams, kaip ir 2014-2020 m. </t>
    </r>
    <r>
      <rPr>
        <sz val="10"/>
        <color theme="1"/>
        <rFont val="Calibri"/>
        <family val="2"/>
        <scheme val="minor"/>
      </rPr>
      <t>50 proc. Lėšų (13.456.617,1 EUR) bus investuojama į CŠT pritaikymą darbui žematemperatūriu režimu.Pagal vykdomus projektus vidut. 1 m. vamzdyno pritaikymo/modernizavimo darbų kaina - 450 eurų, tai už 13.456.617,1 EUR galima modernizuoti/pritaikyti 30 km CŠT vamzdyno. Darom prielaidą, kad iki 2024 m. bus investuota 30 proc. lėšų, tad bus modernizuota 9 km.</t>
    </r>
  </si>
  <si>
    <r>
      <t>50 proc. numatytų lėšų (13.456.617,1 EUR) bus investuojama bendrai į šilumos, karšto vandens apskaitos prietaisų modernizavimą ir valdymo sistemas. Daroma prielaida, kad po  50 proc. (po 6,728308,55 MEUR)  investicijų bus skirta šilumos apskaitos modernizavimui ir karšto vandens skaitiklių modernizavimui. Vadovaujantis LŠTA duomenimis, 1 įvadinio šilumos skaitiklio įrengimas/modernizavimas su visa nuotoline sistema kainuoja apie 1500 eur, karšto vandens skaitiklio įrengimas su visa nuotoline sistema kainuoja 100 eurų. Tad iki 2029 m. bendrai galima įrengti/modernizuoti (6728308,55/1500) + (6728308,55/100) = 71768</t>
    </r>
    <r>
      <rPr>
        <sz val="10"/>
        <rFont val="Calibri"/>
        <family val="2"/>
      </rPr>
      <t xml:space="preserve"> vnt</t>
    </r>
    <r>
      <rPr>
        <sz val="10"/>
        <rFont val="Calibri"/>
        <family val="2"/>
        <scheme val="minor"/>
      </rPr>
      <t>. Daroma prielaida, kad iki 2024 m. bus investuota apie 30 proc. lėšų, atitinkamai bus įrengta apie (71768x0,3)=21530 vnt.</t>
    </r>
  </si>
  <si>
    <t>Vidurio ir Vakarų Lietuvos regionas</t>
  </si>
  <si>
    <t xml:space="preserve">Enterprises </t>
  </si>
  <si>
    <t>Policy objective - 2. A greener, low-carbon transitioning towards a net zero carbon economy and resilient Europe by promoting clean and fair energy transition, green and blue investment, the circular economy, climate change mitigation and adaptation, risk prevention and management, and sustainable urban mobility</t>
  </si>
  <si>
    <t>Specific objective – 2.2. promoting renewable energy in accordance with Directive (EU) 2018/2001, including the sustainability criteria set out therein</t>
  </si>
  <si>
    <t>Ministry of energy</t>
  </si>
  <si>
    <t>EU Amount (EUR)</t>
  </si>
  <si>
    <t>Category of region</t>
  </si>
  <si>
    <t>M.U.</t>
  </si>
  <si>
    <t xml:space="preserve">Milestone 2024 </t>
  </si>
  <si>
    <t>Data source</t>
  </si>
  <si>
    <r>
      <t>Amount (EU+ national)(Eur.)</t>
    </r>
    <r>
      <rPr>
        <i/>
        <sz val="11"/>
        <color rgb="FFFF0000"/>
        <rFont val="Calibri"/>
        <family val="2"/>
        <charset val="186"/>
        <scheme val="minor"/>
      </rPr>
      <t xml:space="preserve">                  </t>
    </r>
    <r>
      <rPr>
        <b/>
        <sz val="11"/>
        <rFont val="Calibri"/>
        <family val="2"/>
        <charset val="186"/>
        <scheme val="minor"/>
      </rPr>
      <t xml:space="preserve"> </t>
    </r>
  </si>
  <si>
    <t>code</t>
  </si>
  <si>
    <t>name</t>
  </si>
  <si>
    <t>value</t>
  </si>
  <si>
    <t>year</t>
  </si>
  <si>
    <t xml:space="preserve">2.2.1. To promote  electricity generation from RES and energy storage solutions in households (Skatinti elektros energijos gamybą iš AEI ir energijos kaupimo sprendimų diegimą namų ūkiuose)  </t>
  </si>
  <si>
    <t>RCO22</t>
  </si>
  <si>
    <t>Additional production capacity for renewable energy (of which: electricity, thermal)(papildomi atsinaujinančiosios energijos gamybos pajėgumai (iš kurių: elektros, šiluminės energijos pajėgumai)</t>
  </si>
  <si>
    <t xml:space="preserve">MW </t>
  </si>
  <si>
    <t>projects data</t>
  </si>
  <si>
    <t xml:space="preserve">Calculation of indicators based on the 22 percent of funding intensity to maintain the same financial model as in 2014-2020 (EU amount- 139.871,20 Eur +  co-financing rate (Eur.) - 495.907. Total - 635.778,2). We assume that administrative costs will be 4,11 percent similar as for solar energy in 2014-2020 OP (04.1.1-LVPA-V-114 measure „Installation of RES production capacities in households“, 04.1.1-LVPA-V-115 measure  „RES for households“) and those costs are eliminated from the calculation of indicator (635.778,2 - 4.11 percent = 609.647,70 Eur.).  Installation of 1 kW small scale wind power plant (wind PP)  costs an average about 2000 eur (publicly available information on internet).Then with 609.647,7 eur  would be possible to install 609.647,7 eur /2000/1000 =~0,3 MWe of wind PP.  Action's implementation will be based on the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0,3*0,1=0,03 MW
</t>
  </si>
  <si>
    <t>RCR29</t>
  </si>
  <si>
    <t>Estimated greenhouse gas emissions (numatomas išmetamas šiltnamio efektą sukeliančių dujų kiekis)</t>
  </si>
  <si>
    <t>tons of CO2eq/year</t>
  </si>
  <si>
    <t>Mid-West Region</t>
  </si>
  <si>
    <t>MW</t>
  </si>
  <si>
    <r>
      <rPr>
        <b/>
        <sz val="11"/>
        <color theme="1"/>
        <rFont val="Calibri"/>
        <family val="2"/>
        <charset val="186"/>
        <scheme val="minor"/>
      </rPr>
      <t>048</t>
    </r>
    <r>
      <rPr>
        <sz val="11"/>
        <color theme="1"/>
        <rFont val="Calibri"/>
        <family val="2"/>
        <charset val="186"/>
        <scheme val="minor"/>
      </rPr>
      <t xml:space="preserve"> - Renewable energy: solar (Atsinaujinanti energija - saulė)</t>
    </r>
  </si>
  <si>
    <t>Calculation of indicators based on 22 percent of  funding intensity to maintain the same funding model as in 2014-2020 OP (04.1.1-LVPA-V-114 measure „Installation of RES production capacities in households“, 04.1.1-LVPA-V-115 measure  „RES for households“). (EU amount- 80.491.772,50 Eur +  co-financing rate (Eur.) - 285.379.920,70. Total - 365.871.693,20 Eur.). We assume that administrative costs will be the same  as in 2014-2020 OP for solar PP projects' administration (4,11 percent (365.871.693,20- 4.11 percent= 350.834.366,59 Eur)  and those costs are not included int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239*0,1=~24 MWe of solar PP.</t>
  </si>
  <si>
    <r>
      <rPr>
        <b/>
        <sz val="11"/>
        <color theme="1"/>
        <rFont val="Calibri"/>
        <family val="2"/>
        <charset val="186"/>
        <scheme val="minor"/>
      </rPr>
      <t xml:space="preserve">053 </t>
    </r>
    <r>
      <rPr>
        <sz val="11"/>
        <color theme="1"/>
        <rFont val="Calibri"/>
        <family val="2"/>
        <charset val="186"/>
        <scheme val="minor"/>
      </rPr>
      <t>- Smart Energy Systems (including smart grids and ICT systems) and related storage (Pažangios energijos sistemos (įskaitant pažangiuosius tinklus ir informacinių komunikacinių technologijų sistemas) ir susijęs kaupimas)</t>
    </r>
  </si>
  <si>
    <t>specific output</t>
  </si>
  <si>
    <t>Solutions for electricity storage (elektros energijos kaupimo sprendimai)</t>
  </si>
  <si>
    <t>MWh</t>
  </si>
  <si>
    <t xml:space="preserve">Calculation of indicators based on 22 percent of  funding intensity to maintain the same funding model as in 2014-2020 OP for solar plants (04.1.1-LVPA-V-114 measure „Installation of RES production capacities in households“, 04.1.1-LVPA-V-115 measure  „RES for households“)(EU amount- 1.645.543,80 Eur +  co-financing rate (Eur.) - 5.834,200,50. Total - 7.479.744,30 Eur.).We assume that administrative costs  (4,11 percent) will be the same  as in 2014-2020 OP for solar PP projects' administration (4,11 percent (7.479.744,30- 4.11 percent= 7.172.326,83 Eur) and those costs are not included int calculation of indicators.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 </t>
  </si>
  <si>
    <r>
      <rPr>
        <b/>
        <sz val="11"/>
        <color theme="1"/>
        <rFont val="Calibri"/>
        <family val="2"/>
        <charset val="186"/>
        <scheme val="minor"/>
      </rPr>
      <t>053</t>
    </r>
    <r>
      <rPr>
        <sz val="11"/>
        <color theme="1"/>
        <rFont val="Calibri"/>
        <family val="2"/>
        <charset val="186"/>
        <scheme val="minor"/>
      </rPr>
      <t xml:space="preserve"> -Smart Energy Systems (including smart grids and ICT systems) and related storage Pažangios energijos sistemos (įskaitant pažangiuosius tinklus ir informacinių komunikacinių technologijų sistemas) ir susijęs kaupimas </t>
    </r>
  </si>
  <si>
    <t>Calculation of indicators based on 22 percent of  funding intensity to maintain the same funding model as in 2014-2020 OP for solar plants.We assume that administrative costs will be the same (4,11 percent)  as in 2014-2020 OP for solar PP projects' administration (4,11 percent) (04.1.1-LVPA-V-114 measure „Installation of RES production capacities in households“, 04.1.1-LVPA-V-115 measure  „RES for households“)(EU amount- 1.645.543,80 Eur +  co-financing rate (Eur.) - 5.834,200,50. Total - 7.479.744,30 Eur.) and those costs are not included int calculation of indicators (7.479.744,30- 4.11 percent= 7.172.326,83 Eur).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t>
  </si>
  <si>
    <t>2.2.2.To promote heat generation from RES in households (Skatinti šilumos energijos gamybą iš AEI namų ūkiuose)</t>
  </si>
  <si>
    <r>
      <rPr>
        <b/>
        <sz val="11"/>
        <color theme="1"/>
        <rFont val="Calibri"/>
        <family val="2"/>
        <charset val="186"/>
        <scheme val="minor"/>
      </rPr>
      <t>049</t>
    </r>
    <r>
      <rPr>
        <sz val="11"/>
        <color theme="1"/>
        <rFont val="Calibri"/>
        <family val="2"/>
        <charset val="186"/>
        <scheme val="minor"/>
      </rPr>
      <t xml:space="preserve"> - Renewable energy: biomass (Atsinaujinanti energija - biomasė)</t>
    </r>
  </si>
  <si>
    <r>
      <t>Calculation of indicators based on the 50 percent of funding intensity to maintain the same financial model as in 2014-2020 OP  measure 04.3.2-LVPA-V-111  „Replacement of boilers in households“ (EU amount- 3.720.000 Eur +  co-financing rate (Eur.) - 3.720.000. Total - 7.440.000 Eur.).   We assume that administrative costs  (4,11 percent) will be similar as for boilers' replacement projects administration  in 2014-2020 OP and those costs are not included in the calculation of indicators  (7.440.000- 4.11 percent= 7.134.216 Eur).  According to 2014-2020 OP implementation results, an average installed capacity of biomass boiler  for one household  reaches 19 kW with the price of 3000 eur (1kW=150 eur according to flat rate study prepared by ESFA).  Then with the allocated investment 7.134.216 EUR /3.000=~2.378 efficient biomass boilers would be installed whose total capacity will be 2378x19 kW/1000=~45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45*x0,1=</t>
    </r>
    <r>
      <rPr>
        <sz val="11"/>
        <rFont val="Calibri"/>
        <family val="2"/>
        <charset val="186"/>
      </rPr>
      <t>~</t>
    </r>
    <r>
      <rPr>
        <sz val="11"/>
        <rFont val="Calibri"/>
        <family val="2"/>
        <charset val="186"/>
        <scheme val="minor"/>
      </rPr>
      <t>5 MW.</t>
    </r>
  </si>
  <si>
    <r>
      <rPr>
        <u/>
        <sz val="11"/>
        <color theme="1"/>
        <rFont val="Calibri"/>
        <family val="2"/>
        <charset val="186"/>
        <scheme val="minor"/>
      </rPr>
      <t>Baseline</t>
    </r>
    <r>
      <rPr>
        <sz val="11"/>
        <color theme="1"/>
        <rFont val="Calibri"/>
        <family val="2"/>
        <charset val="186"/>
        <scheme val="minor"/>
      </rPr>
      <t xml:space="preserve">: According to data of Lithuania's Climate Change Program  fossil fuel boiler consumes an average 5,7 toe of primary energy or 66,28 MWh (5,7x11,628=66,28 MWh, where 1 toe = 11,628 MWh  (conversion factor). 2378   boilers consume 2378x66,28 =~ 157614 MWh/year primary energy and CO2 will be 157614MWh/metus x 0,36 tCO2/MWht= </t>
    </r>
    <r>
      <rPr>
        <b/>
        <sz val="11"/>
        <color theme="1"/>
        <rFont val="Calibri"/>
        <family val="2"/>
        <charset val="186"/>
        <scheme val="minor"/>
      </rPr>
      <t>56741 tCO2 ekv. /year</t>
    </r>
    <r>
      <rPr>
        <sz val="11"/>
        <color theme="1"/>
        <rFont val="Calibri"/>
        <family val="2"/>
        <charset val="186"/>
        <scheme val="minor"/>
      </rPr>
      <t xml:space="preserve"> (where 0,36tCO2/MWh - pollution factor for fossil fuel, Technical Regulation of Construction (Ministry of Environment)). </t>
    </r>
    <r>
      <rPr>
        <u/>
        <sz val="11"/>
        <color theme="1"/>
        <rFont val="Calibri"/>
        <family val="2"/>
        <charset val="186"/>
        <scheme val="minor"/>
      </rPr>
      <t>Target 2029 calculation</t>
    </r>
    <r>
      <rPr>
        <sz val="11"/>
        <color theme="1"/>
        <rFont val="Calibri"/>
        <family val="2"/>
        <charset val="186"/>
        <scheme val="minor"/>
      </rPr>
      <t xml:space="preserve">: efficient biomass boiler consumes 2 times less energy 2,8 toe or  2,85x11,628=33,14  MWh.  2378 biomass boilers consume  2378x33,14=~ 78807MWh/year. CO2 will be ~ 78807 MWh/year x 0,04 tCO2/MWh (pollution factor for biomass according to TRC, MInistry of Environment)  = </t>
    </r>
    <r>
      <rPr>
        <b/>
        <sz val="11"/>
        <color theme="1"/>
        <rFont val="Calibri"/>
        <family val="2"/>
        <charset val="186"/>
        <scheme val="minor"/>
      </rPr>
      <t>3152 tCO2 ekv. /year.</t>
    </r>
  </si>
  <si>
    <r>
      <rPr>
        <b/>
        <sz val="11"/>
        <color theme="1"/>
        <rFont val="Calibri"/>
        <family val="2"/>
        <charset val="186"/>
        <scheme val="minor"/>
      </rPr>
      <t>049</t>
    </r>
    <r>
      <rPr>
        <sz val="11"/>
        <color theme="1"/>
        <rFont val="Calibri"/>
        <family val="2"/>
        <charset val="186"/>
        <scheme val="minor"/>
      </rPr>
      <t xml:space="preserve"> - Atsinaujinanti energija - biomasė (Renewable energy: biomass)</t>
    </r>
  </si>
  <si>
    <t>Calculation of indicators based on the 50 percent of funding intensity to maintain the same financial model as in 2014-2020 OP  measure 04.3.2-LVPA-V-111  „Replacement of boilers in households“ (EU amount- 3.720.000 Eur +  co-financing rate (Eur.) - 3.720.000. Total - 7.440.000 Eur.).We assume that administrative costs  (4,11 percent) will be similar as for boilers' replacement projects administration  in 2014-2020 OP and those costs are not included in the calculation of indicators (7.440.000- 4.11 percent= 7.134.216 Eur). According to 2014-2020 OP implementation results, an average installed capacity of biomass boiler  for one household  reaches 19 kW with the price of 3000 eur (1kW=150 eur according to flat rate study prepared by ESFA).  Then with the allocated investment 7.134.216 EUR /3.000=~2.378 efficient biomass boilers would be installed whose total capacity will be 2.378x19 kW/1.000=~45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45*x0,1=~5 MW.</t>
  </si>
  <si>
    <r>
      <rPr>
        <b/>
        <sz val="11"/>
        <color theme="1"/>
        <rFont val="Calibri"/>
        <family val="2"/>
        <charset val="186"/>
        <scheme val="minor"/>
      </rPr>
      <t>052</t>
    </r>
    <r>
      <rPr>
        <sz val="11"/>
        <color theme="1"/>
        <rFont val="Calibri"/>
        <family val="2"/>
        <charset val="186"/>
        <scheme val="minor"/>
      </rPr>
      <t xml:space="preserve"> - Other renewable energy (including geothermal energy) (Kita atsinaujinančioji energija (įskaitant geoterminę energiją)</t>
    </r>
  </si>
  <si>
    <r>
      <t xml:space="preserve">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(4,11 percent) will be  similar as for boilers' replacement projects administration  in 2014-2020 OP and those costs are not included in the calculation of indicators (29.760.000- 4.11 percent= 28.536.864 Eur).  According to 2014-2020 OP implementation results, an average installed capacity of heat pump  for one household  reaches 9 kW with the price of 6000 eur (1kW=670 eur according to flat rate study prepared by ESFA). </t>
    </r>
    <r>
      <rPr>
        <strike/>
        <sz val="11"/>
        <rFont val="Calibri"/>
        <family val="2"/>
        <charset val="186"/>
        <scheme val="minor"/>
      </rPr>
      <t xml:space="preserve"> </t>
    </r>
    <r>
      <rPr>
        <sz val="11"/>
        <rFont val="Calibri"/>
        <family val="2"/>
        <charset val="186"/>
        <scheme val="minor"/>
      </rPr>
      <t>Then with the allocated investment 28.536.864 /6.000=~4.756 heat pumps would be installed whose capacity will be 4.756x9 kW/1.000=~43 MW.  Action's implementation will be based on the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43*x0,1=~4 MW.</t>
    </r>
  </si>
  <si>
    <r>
      <rPr>
        <u/>
        <sz val="11"/>
        <color theme="1"/>
        <rFont val="Calibri"/>
        <family val="2"/>
        <charset val="186"/>
        <scheme val="minor"/>
      </rPr>
      <t>Baseline</t>
    </r>
    <r>
      <rPr>
        <sz val="11"/>
        <color theme="1"/>
        <rFont val="Calibri"/>
        <family val="2"/>
        <charset val="186"/>
        <scheme val="minor"/>
      </rPr>
      <t xml:space="preserve">: According to Lithuania's Climate Change Program data fossil fuel boiler consumes an average 5,7 toe of primary energy or 66,28 MWh (5,7x11,628=66,28 MWh, where 1 toe = 11,628 MWh  (conversion factor). 4756 fossil fuel boilers consume 4756x66,28 =~ 315824 MWh/year  of primary energy and CO2 will be 315824 MWh/year x 0,36 tCO2/MWh = </t>
    </r>
    <r>
      <rPr>
        <b/>
        <sz val="11"/>
        <color theme="1"/>
        <rFont val="Calibri"/>
        <family val="2"/>
        <charset val="186"/>
        <scheme val="minor"/>
      </rPr>
      <t>113697 tCO2 ekv./year</t>
    </r>
    <r>
      <rPr>
        <sz val="11"/>
        <color theme="1"/>
        <rFont val="Calibri"/>
        <family val="2"/>
        <charset val="186"/>
        <scheme val="minor"/>
      </rPr>
      <t xml:space="preserve"> (where 0,36tCO2/MWh - pollution factor for fossil fuel, Technical Regulation of Construction (Ministry of Environment)). </t>
    </r>
    <r>
      <rPr>
        <u/>
        <sz val="11"/>
        <color theme="1"/>
        <rFont val="Calibri"/>
        <family val="2"/>
        <charset val="186"/>
        <scheme val="minor"/>
      </rPr>
      <t>Target 2029 calculation</t>
    </r>
    <r>
      <rPr>
        <sz val="11"/>
        <color theme="1"/>
        <rFont val="Calibri"/>
        <family val="2"/>
        <charset val="186"/>
        <scheme val="minor"/>
      </rPr>
      <t xml:space="preserve">: efficient heat pump consumes 0,7 toe or  8,13  MWh (data from 2014-2020 OP).  4756 heat pumps consume  4756x8,13=38666 MWh/year. CO2 will be 38666x 0,42 tCO2/MWh (pollution factor for electricity according to TRC, MInistry of Environment)  = </t>
    </r>
    <r>
      <rPr>
        <b/>
        <sz val="11"/>
        <color theme="1"/>
        <rFont val="Calibri"/>
        <family val="2"/>
        <charset val="186"/>
        <scheme val="minor"/>
      </rPr>
      <t>16240 tCO2 ekv./year.</t>
    </r>
  </si>
  <si>
    <r>
      <t xml:space="preserve">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(4,11 percent)  will be  similar as for boilers' replacement projects administration  in 2014-2020 OP and those costs are not included in the calculation of indicators (29.760.000- 4.11 percent= 28.536.864 Eur).  According to 2014-2020 OP implementation results, an average installed capacity of heat pump  for one household  reaches 9 kW with the price of 6000 eur (1kW=670 eur according to flat rate study prepared by ESFA). </t>
    </r>
    <r>
      <rPr>
        <strike/>
        <sz val="11"/>
        <rFont val="Calibri"/>
        <family val="2"/>
        <charset val="186"/>
        <scheme val="minor"/>
      </rPr>
      <t xml:space="preserve"> </t>
    </r>
    <r>
      <rPr>
        <sz val="11"/>
        <rFont val="Calibri"/>
        <family val="2"/>
        <charset val="186"/>
        <scheme val="minor"/>
      </rPr>
      <t>Then with the allocated investment 28.536.864 /6.000=~4.756 heat pumps would be installed whose capacity will be 4.756x9 kW/1.000=~43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43*x0,1=~4 MW.</t>
    </r>
  </si>
  <si>
    <t>2.2.3. Increase RES usage for heat and cool generation in district heating sector (Didinti AEI panaudojimą šilumos ir vėsumos gamybai CŠVT sektoriuje)</t>
  </si>
  <si>
    <r>
      <rPr>
        <b/>
        <sz val="11"/>
        <rFont val="Calibri"/>
        <family val="2"/>
        <charset val="186"/>
        <scheme val="minor"/>
      </rPr>
      <t>048</t>
    </r>
    <r>
      <rPr>
        <sz val="11"/>
        <rFont val="Calibri"/>
        <family val="2"/>
        <charset val="186"/>
        <scheme val="minor"/>
      </rPr>
      <t xml:space="preserve"> - Renewable energy: solar (Atsinaujinanti energija - saulė)</t>
    </r>
  </si>
  <si>
    <t>solutions for thermal energy storage (šiluminės energijos kaupimo sprendimai)</t>
  </si>
  <si>
    <t>Calculation of indicators  is based on the assumption that intensity of funding will be up to 70 percent (out of which ~ 50 percent would be subsidies, 50 percent - loan) (EU amount - 7.913.431,50  +  co-financing rate (Eur.) - 3.391.470,64. Total - 11.304.902,14 Eur.).  
It is planning that loan will be longterm, therefore an effect of repays to indicator  will be seen only after 2029), and 30 percent - private funds (according to the ex ante assessment which is in the finalisation process). 
10 percent (~1,13 MEUR) funds are invested in solar power plants, 70 percent. (~7,9 MEUR) - to solar collectors and 20 percent. - (~2,26 MEUR) for heat storage solutions (heat tanks) in the DH network. The price of a 1 kW solar power plant in the market is ~ 800 euros, the price of 1 m2 of solar collectors in the market is ~ 200 euros, the average price of 1 m3 of heat tanks in the market is ~ 200 euros.
With the planned funds, solar power plants would be installed: 1,13 MEUR/800 EUR/kW = 1413 kW (~ 1,4 MW) power plants. For the planned funds 7,9 MEUR/200 euros/m2 = ~39567 m2 of solar collectors would be installed , which provide for 28 MW capacity (it is estimated that 1000m2 will generate 0,7 MW capacity of power, then ~39567 m2 will generate 91,8 MWe). For the planned funds 2,26 MEUR/200 eur/m3 = 11305 m3, i.e. ~ 8 MWh capacity of heat storage would be installed. Total RES capacity until 2029: 1,4+28=~29,4 MW and heat storage - 8 MWh.The intermediate value (solution for  thermal energy storage) for 2024 is set to 0, as it is assumed that  projects will start in 2023 and will not be completed in 2024 ( projects duration could be longer as it is new projects for the heat sector, therefore it could take time (around 1-1,5 years) to prepare them and to implement ).  The intermediate value ( solar power plants, solar collectors) for 2024 is calculated assuming that projects will start in II half  of 2023 and  about 10 % allocation would be used to fund them. Accordingly about 10%  of indicator would be reached: 29,4MWe x 0,1=~3 MW.</t>
  </si>
  <si>
    <r>
      <rPr>
        <u/>
        <sz val="11"/>
        <color theme="1"/>
        <rFont val="Calibri"/>
        <family val="2"/>
        <charset val="186"/>
        <scheme val="minor"/>
      </rPr>
      <t xml:space="preserve">Baseline: </t>
    </r>
    <r>
      <rPr>
        <sz val="11"/>
        <color theme="1"/>
        <rFont val="Calibri"/>
        <family val="2"/>
        <charset val="186"/>
        <scheme val="minor"/>
      </rPr>
      <t>1 kW solar power plants produce about 1000 kWh (1 MW - 1000 MWh), so 1,4 MW will produce 1400 MWh of energy polluting 1400MWh x0,42 tCO2/MWh=588 tCO2 eq./year (where 0,42 - electricity pollution factor). 1 m2 of solar collectors produce 400 kWh, then 39567 m2 would produce 39567x400/1000=15827MWh polluting  15827MWh x 0,1 = 1583  tCO2eq /year ((where 0,1 - pollution factor for heat from DH). Total CO2 would be 588+ 1583=</t>
    </r>
    <r>
      <rPr>
        <b/>
        <sz val="11"/>
        <color theme="1"/>
        <rFont val="Calibri"/>
        <family val="2"/>
        <charset val="186"/>
        <scheme val="minor"/>
      </rPr>
      <t>2171 tCO2eq./year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since polution factor of solar energy is 0, then target value is </t>
    </r>
    <r>
      <rPr>
        <b/>
        <sz val="11"/>
        <color theme="1"/>
        <rFont val="Calibri"/>
        <family val="2"/>
        <charset val="186"/>
        <scheme val="minor"/>
      </rPr>
      <t>0.</t>
    </r>
  </si>
  <si>
    <t>Enterprises supported (of which: micro, small, medium, large)(Paramą gavusios įmonės (iš kurių: labai mažos, mažosios, vidutinės ir didelės)</t>
  </si>
  <si>
    <t>MA monitoring system</t>
  </si>
  <si>
    <t>The milestone 2024 and 2029 target for RCO01 equal the milestone 2024 and 2029 target for RCO03.</t>
  </si>
  <si>
    <t>fiches are the same as RCO01</t>
  </si>
  <si>
    <t>Enterprises supported by financial instruments (Paramą finansiniais instrumentais gavusios įmonės)</t>
  </si>
  <si>
    <t>Target 2029: in Lithuania there are about 50 heat supply companies. According to very preliminary Lithuanian District Heating Association information around 30 enterprises are interested in using solar technology (solar plants, solar collectors), therefore we assume that 30 enterprises would apply and be supported by 2029. Since  the project's duration seeks 1-1,5 years, we assume that about 30 percent of enterprises could be supported by FI by  2024: 30*0,3=9</t>
  </si>
  <si>
    <t>fiches are the same as RCO03</t>
  </si>
  <si>
    <r>
      <rPr>
        <b/>
        <sz val="11"/>
        <rFont val="Calibri"/>
        <family val="2"/>
        <charset val="186"/>
        <scheme val="minor"/>
      </rPr>
      <t xml:space="preserve">048 </t>
    </r>
    <r>
      <rPr>
        <sz val="11"/>
        <rFont val="Calibri"/>
        <family val="2"/>
        <charset val="186"/>
        <scheme val="minor"/>
      </rPr>
      <t>- Renewable energy: solar (Atsinaujinanti energija - saulė)</t>
    </r>
  </si>
  <si>
    <t>Calculation of indicators  is based on the assumption that intensity of funding will be up to 70 percent (out of which ~ 50 percent would be subsidies, 50 percent - loan (EU amount - 10.836.568,50  +  co-financing rate (Eur.) -4.644.243,64. Total - 15.480.812,14 Eur.). 
 It is planning that loan will be longterm, therefore an effect of repays to indicator  will be seen only after 2029), and 30 percent - private funds (according to the ex ante assessment which is in the finalisation process).
 10 percent (~1,548 MEUR) funds are invested in solar power plants, 70 percent. (~10,836 MEUR) - to solar collectors and 20 percent. - (~3,096 MEUR) for heat storage solutions (heat tanks) in the DH network. The price of a 1 kW solar power plant in the market is ~ 800 euros, the price of 1 m2 of solar collectors in the market is ~ 200 euros, the average price of 1 m3 of heat tanks in the market is ~ 200 euros.
With the planned funds, solar power plants would be installed: 1,548 MEUR/800 EUR/kW = 1935 kW (~2 MW) power plants. For the planned funds 10,836 MEUR/200 euros/m2 = ~54183 m2 of solar collectors would be installed , which provide for 38 MW capacity (it is estimated that 1000m2 will generate 0,7 MW capacity of power, then ~54183 m2 will generate 38 MWe). For the planned funds 3,096 MEUR/200 eur/m3 = 15481 m3, i.e. ~ 11 MWh capacity of heat storage would be installed. Total RES capacity until 2029: 2+38=~40 MW and heat storage -11 MWh.The intermediate value (solution for  thermal energy storage) for 2024 is set to 0, as it is assumed that  projects will start in 2023 and will not be completed in 2024 ( projects duration could be longer as it is new projects for the heat sector, therefore it could take time to prepare them and to implement ).  The intermediate value ( solar power plants, solar collectors) for 2024 is calculated assuming that projects will start in II half  of 2023 and  about 10 %.allocation would be used to fund them. Accordingly about 10%  of indicator would be reached: 40MWe x 0,1=~4 MW.</t>
  </si>
  <si>
    <r>
      <rPr>
        <u/>
        <sz val="11"/>
        <color theme="1"/>
        <rFont val="Calibri"/>
        <family val="2"/>
        <charset val="186"/>
        <scheme val="minor"/>
      </rPr>
      <t xml:space="preserve">Baseline: </t>
    </r>
    <r>
      <rPr>
        <sz val="11"/>
        <color theme="1"/>
        <rFont val="Calibri"/>
        <family val="2"/>
        <charset val="186"/>
        <scheme val="minor"/>
      </rPr>
      <t xml:space="preserve">1 kW solar power plants produce about 1000 kWh (1 MW - 1000 MWh), so 2MW will produce 2000 MWh of energy polluting 2000 MWh x0,42 tCO2/MWh=840 tCO2 eq./year (where 0,42 - electricity pollution factor). 1 m2 of solar collectors produce 400 kWh, then 54183 m2 would produce  54183x400/1000=21673MWh polluting  21673MWh x 0,1  = 2167  tCO2eq /year ((where 0,1 - pollution factor for heat from DH). Total CO2 would be </t>
    </r>
    <r>
      <rPr>
        <b/>
        <sz val="11"/>
        <color theme="1"/>
        <rFont val="Calibri"/>
        <family val="2"/>
        <charset val="186"/>
        <scheme val="minor"/>
      </rPr>
      <t>840+ 2167=3007 tCO2eq./year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since polution factor of solar energy is 0, then target value is </t>
    </r>
    <r>
      <rPr>
        <b/>
        <sz val="11"/>
        <color theme="1"/>
        <rFont val="Calibri"/>
        <family val="2"/>
        <charset val="186"/>
        <scheme val="minor"/>
      </rPr>
      <t>0.</t>
    </r>
  </si>
  <si>
    <t>RCO01</t>
  </si>
  <si>
    <t>RCO03</t>
  </si>
  <si>
    <t>Target 2029:  in Lithuania there are about 50 heat supply companies. According to very preliminary Lithuanian District Heating Association information around 30 enterprises are interested in using solar technology (solar plants, solar collectors). Out of them around 2/3 are located in Mid West Lithuania and about 1/3 - in Vinius region. Therefore we assume that 20 enterprises would apply and be supported by 2029. Since  the project's duration seeks 1-1,5 years, we assume that about 30 percent of enterprises could be supported with FI by  2024: 20*0,3=6</t>
  </si>
  <si>
    <r>
      <t xml:space="preserve">050 </t>
    </r>
    <r>
      <rPr>
        <sz val="11"/>
        <color theme="1"/>
        <rFont val="Calibri"/>
        <family val="2"/>
        <charset val="186"/>
        <scheme val="minor"/>
      </rPr>
      <t>Renewable energy: biomass with high GHG savings  (Atsinaujinančioji energija: biomasė, kurią naudojant itin sumažinamas išmetamas šiltnamio efektą sukeliančių dujų kiekis)</t>
    </r>
  </si>
  <si>
    <t xml:space="preserve">Calculation of indicators  is based on the assumption that intensity of funding will be up to 70 percent (out of which ~ 50 percent would be subsidies, 50 percent - loan (EU amount - 6.000.000  +  co-financing rate (Eur.) - 2.571.428,57. Total - 8.571.428,57 Eur.).  
It is planning that loan will be longterm, therefore an effect of repays to indicator  will be seen only after 2029), and 30 percent - private funds  (according to the ex ante assessment which is in the finalisation process). 
70 percent of the funds (5,99 MEUR) will be invested in low-capacity biofuel cogeneration plants; 25 percent (2,143 MEUR) - to high efficiency biofuel boilers; 5 percent (0,429 MEUR) - to thermal energy storage facilities (heat tanks). Target 2029 Installation of  small scale CHP (1 MWe + 5 MWt) costs ~5 MEUR (data from 2014-2020 OP projects), so with 5,99 MEUR  we could develop  5,99/5 = 1 MWe and 6 MWt CHP capacity; 1 MW of a high-efficiency biomass boiler costs 0,5 MEUR. For 2,143 MEUR we would install 2,143/0,5=4 MWt of high efficiency boilers. By 2029 a total RES capacity  1+6+4 =  ~11 MW will be installed.
Target 2029: Average market price of 1 m3 heat tanks suitable for DH would cost 200 Euros. For 0,429 MEUR we would create 0,429 /0,0002 = 2145 m3, which is about 99 MWh capacity (according to  Lithuanian District Heating Association data, 1 MWh corresponds to about 21,6 m3 of heat tank capacity).The intermediate value  for 2024 is set to 0, as it is assumed that  projects will start in 2023 and will not be completed in 2024 ( projects duration is about 2-3 years). </t>
  </si>
  <si>
    <r>
      <rPr>
        <u/>
        <sz val="11"/>
        <color theme="1"/>
        <rFont val="Calibri"/>
        <family val="2"/>
        <charset val="186"/>
        <scheme val="minor"/>
      </rPr>
      <t>Baseline:</t>
    </r>
    <r>
      <rPr>
        <sz val="11"/>
        <color theme="1"/>
        <rFont val="Calibri"/>
        <family val="2"/>
        <charset val="186"/>
        <scheme val="minor"/>
      </rPr>
      <t xml:space="preserve"> CO2 is calculated from CHP and biofuel boilers: 1 MWe x8000 h/year (CHP operation time per year) x 0,42 tCO2/MWh (pollution factor for electricity)=3360 tCO2 eq/ year; 10 MWt x 6000 h/year (boiler operation time per year) x 0,1 (pollution factor for heat from DH)=6000 tCO2 eq/year. Total CO2:  3360+ 6000=</t>
    </r>
    <r>
      <rPr>
        <b/>
        <sz val="11"/>
        <color theme="1"/>
        <rFont val="Calibri"/>
        <family val="2"/>
        <charset val="186"/>
        <scheme val="minor"/>
      </rPr>
      <t>9360</t>
    </r>
    <r>
      <rPr>
        <sz val="11"/>
        <color theme="1"/>
        <rFont val="Calibri"/>
        <family val="2"/>
        <charset val="186"/>
        <scheme val="minor"/>
      </rPr>
      <t xml:space="preserve"> </t>
    </r>
    <r>
      <rPr>
        <b/>
        <sz val="11"/>
        <color theme="1"/>
        <rFont val="Calibri"/>
        <family val="2"/>
        <charset val="186"/>
        <scheme val="minor"/>
      </rPr>
      <t xml:space="preserve"> tCO2 eq/year.</t>
    </r>
    <r>
      <rPr>
        <sz val="11"/>
        <color theme="1"/>
        <rFont val="Calibri"/>
        <family val="2"/>
        <charset val="186"/>
        <scheme val="minor"/>
      </rPr>
      <t xml:space="preserve"> </t>
    </r>
    <r>
      <rPr>
        <u/>
        <sz val="11"/>
        <color theme="1"/>
        <rFont val="Calibri"/>
        <family val="2"/>
        <charset val="186"/>
        <scheme val="minor"/>
      </rPr>
      <t>Target 2029:</t>
    </r>
    <r>
      <rPr>
        <sz val="11"/>
        <color theme="1"/>
        <rFont val="Calibri"/>
        <family val="2"/>
        <charset val="186"/>
        <scheme val="minor"/>
      </rPr>
      <t xml:space="preserve"> 1MWex8000 h/year x 0,04 tCO2/MWh (pollution factor for biofuel) =320 tCO2 eq/year; 10 MWšx6000 h/year x 0,04 =2400 tCO2 eq/year. Total CO2 value: 320+ 2400=</t>
    </r>
    <r>
      <rPr>
        <b/>
        <sz val="11"/>
        <color theme="1"/>
        <rFont val="Calibri"/>
        <family val="2"/>
        <charset val="186"/>
        <scheme val="minor"/>
      </rPr>
      <t>2720 tCO2 eq/yea</t>
    </r>
    <r>
      <rPr>
        <sz val="11"/>
        <color theme="1"/>
        <rFont val="Calibri"/>
        <family val="2"/>
        <charset val="186"/>
        <scheme val="minor"/>
      </rPr>
      <t>r.</t>
    </r>
  </si>
  <si>
    <t>Target 2029:  in Lithuania there are about  50 heat supply companies. According to very preliminary Lithuanian District Heating Association information up to 15 heat supplying enterprises  are interested in installation of biofuel boilers or biofuel cogeneration plants in order to switch to RES . Out of them around 2/3 are located in Mid West Lithuania and about 1/3 - in Vinius region. Therefore we assume that  max 15 enterprises would apply and be supported by 2029. Since  the project's duration seeks 2-3 years, we assume that about 20 percent of allocation could be invested  by 2024 and accordingly similar percent of enterprises could be supported with FI:  2024: 15*0,2=3</t>
  </si>
  <si>
    <r>
      <t xml:space="preserve">050 </t>
    </r>
    <r>
      <rPr>
        <sz val="11"/>
        <color theme="1"/>
        <rFont val="Calibri"/>
        <family val="2"/>
        <charset val="186"/>
        <scheme val="minor"/>
      </rPr>
      <t>Renewable energy: biomass with high GHG savings (Atsinaujinančioji energija: biomasė, kurią naudojant itin sumažinamas išmetamas šiltnamio efektą sukeliančių dujų kiekis)</t>
    </r>
  </si>
  <si>
    <r>
      <t xml:space="preserve">Calculation of indicators is based on the assumption that intensity of funding will be up to 70 percent (out of which ~ 50 percent would be subsidies, 50 percent - loan (EU amount - 31.500.000  +  co-financing rate (Eur.) - 13.500.000. Total -45.000.000 Eur.). 
 It is planning that loan will be longterm, therefore an effect of repays to indicator  will be seen only after 2029), and 30 percent - private funds (according to the ex ante assessment which is in the finalisation process). 
70 percent of the funds (31,5 MEUR) will be invested in small scale biofuel cogeneration plants; 
25 percent (11,25 MEUR) -  high efficiency biofuel boilers; 
5 percent (2,25 MEUR) - thermal energy storage facilities (heat tanks). 
Target 2029: Installation of small scale biomass CHP (1 MWe + 5 MWt ) costs 5 MEUR, so we would create 31,5 MEUR/5 MEUR=  ~6 MWe and 30MWt  CHP capacity for the planned funds; 1 MW of a high-efficiency biomass boiler costs 0,5 MEUR. For 11,25 MEUR we would install 11,25 /0,5 = 22,5 MWt. Until 2029 a total of 6MWe+30MWt+22,5MWt= 58,5 MW RES capacities will be installed.
Average market prices for 1 m3 heat tanks suitable for DH would cost 200 Euros. For  2,25 MEUR we would create 2,25/0,0002 =  11250 m3, which is about  521 MWh capacity (according to Lithuanian District Heating Association data 1 MWh corresponds to about 21,6 m3 of heat tank capacity).The intermediate value  for 2024 is set to 0, as it is assumed that  projects will start in 2023 and will not be completed in 2024 ( projects duration is about 2-3 years). </t>
    </r>
    <r>
      <rPr>
        <i/>
        <sz val="11"/>
        <rFont val="Calibri"/>
        <family val="2"/>
        <charset val="186"/>
        <scheme val="minor"/>
      </rPr>
      <t>A national product indicator has been introduced to calculate heat energy storage.</t>
    </r>
  </si>
  <si>
    <r>
      <rPr>
        <u/>
        <sz val="11"/>
        <color theme="1"/>
        <rFont val="Calibri"/>
        <family val="2"/>
        <charset val="186"/>
        <scheme val="minor"/>
      </rPr>
      <t>Baseline</t>
    </r>
    <r>
      <rPr>
        <sz val="11"/>
        <color theme="1"/>
        <rFont val="Calibri"/>
        <family val="2"/>
        <charset val="186"/>
        <scheme val="minor"/>
      </rPr>
      <t xml:space="preserve">: CO2 is calculated from CHP and biofuel boilers: 6 MWe x 8000 h/year (CHP operation time per year) x 0,42 tCO2 /MWh (pollution factor for electricity) = </t>
    </r>
    <r>
      <rPr>
        <b/>
        <sz val="11"/>
        <color theme="1"/>
        <rFont val="Calibri"/>
        <family val="2"/>
        <charset val="186"/>
        <scheme val="minor"/>
      </rPr>
      <t>20160 tCO2 eq/ year</t>
    </r>
    <r>
      <rPr>
        <sz val="11"/>
        <color theme="1"/>
        <rFont val="Calibri"/>
        <family val="2"/>
        <charset val="186"/>
        <scheme val="minor"/>
      </rPr>
      <t>; 52,5 MWt x 6000h/year (boiler operation time per year) x 0,1 pollution factor for electricity)= 31500 tCO2 eq/year. Total CO2 value: 20160+ 31500=</t>
    </r>
    <r>
      <rPr>
        <b/>
        <sz val="11"/>
        <color theme="1"/>
        <rFont val="Calibri"/>
        <family val="2"/>
        <charset val="186"/>
        <scheme val="minor"/>
      </rPr>
      <t xml:space="preserve">51660 </t>
    </r>
    <r>
      <rPr>
        <sz val="11"/>
        <color theme="1"/>
        <rFont val="Calibri"/>
        <family val="2"/>
        <charset val="186"/>
        <scheme val="minor"/>
      </rPr>
      <t xml:space="preserve"> </t>
    </r>
    <r>
      <rPr>
        <b/>
        <sz val="11"/>
        <color theme="1"/>
        <rFont val="Calibri"/>
        <family val="2"/>
        <charset val="186"/>
        <scheme val="minor"/>
      </rPr>
      <t>tCO2 eq/year</t>
    </r>
    <r>
      <rPr>
        <sz val="11"/>
        <color theme="1"/>
        <rFont val="Calibri"/>
        <family val="2"/>
        <charset val="186"/>
        <scheme val="minor"/>
      </rPr>
      <t xml:space="preserve">. </t>
    </r>
    <r>
      <rPr>
        <u/>
        <sz val="11"/>
        <color theme="1"/>
        <rFont val="Calibri"/>
        <family val="2"/>
        <charset val="186"/>
        <scheme val="minor"/>
      </rPr>
      <t>Target 2029: 6</t>
    </r>
    <r>
      <rPr>
        <sz val="11"/>
        <color theme="1"/>
        <rFont val="Calibri"/>
        <family val="2"/>
        <charset val="186"/>
        <scheme val="minor"/>
      </rPr>
      <t xml:space="preserve"> MWe x 8000 h/year x 0,04 tCO2/MWh (pollution factor for biofuel) =1920 tCO2 eq/year; 52,5 MWt x 6000 h/year x 0,04 tCO2/MWh (pollution factor for biofuel)=12600 tCO2 eq/year. Total CO2 2029: 1920+ 12600=</t>
    </r>
    <r>
      <rPr>
        <b/>
        <sz val="11"/>
        <color theme="1"/>
        <rFont val="Calibri"/>
        <family val="2"/>
        <charset val="186"/>
        <scheme val="minor"/>
      </rPr>
      <t>14520</t>
    </r>
    <r>
      <rPr>
        <sz val="11"/>
        <color theme="1"/>
        <rFont val="Calibri"/>
        <family val="2"/>
        <charset val="186"/>
        <scheme val="minor"/>
      </rPr>
      <t xml:space="preserve"> </t>
    </r>
    <r>
      <rPr>
        <b/>
        <sz val="11"/>
        <color theme="1"/>
        <rFont val="Calibri"/>
        <family val="2"/>
        <charset val="186"/>
        <scheme val="minor"/>
      </rPr>
      <t>tCO2 eq/year</t>
    </r>
    <r>
      <rPr>
        <sz val="11"/>
        <color theme="1"/>
        <rFont val="Calibri"/>
        <family val="2"/>
        <charset val="186"/>
        <scheme val="minor"/>
      </rPr>
      <t>.</t>
    </r>
  </si>
  <si>
    <t>Target 2029:  in Lithuania there are about  50 heat supply companies. According to very preliminary Lithuanian District Heating Association information up to 15 heat supplying enterprises  are interested in installation of biofuel boilers or biofuel cogeneration plants in order to switch to RES . Out of them around 2/3 are located in Mid West Lithuania and about 1/3 - in Vinius region. Therefore we assume that  max 10 enterprises would apply and be supported by 2029. Since  the project's duration seeks 2-3 years, we assume that about 20 percent of allocation could be invested  by 2024 and accordingly similar percent of enterprises could be supported with FI:  2024: 10*0,2=2</t>
  </si>
  <si>
    <r>
      <rPr>
        <b/>
        <sz val="11"/>
        <color theme="1"/>
        <rFont val="Calibri"/>
        <family val="2"/>
        <charset val="186"/>
        <scheme val="minor"/>
      </rPr>
      <t xml:space="preserve">052 </t>
    </r>
    <r>
      <rPr>
        <sz val="11"/>
        <color theme="1"/>
        <rFont val="Calibri"/>
        <family val="2"/>
        <charset val="186"/>
        <scheme val="minor"/>
      </rPr>
      <t>- Other renewable energy (including geothermal energy) (Kita atsinaujinančioji energija (įskaitant geoterminę energiją)</t>
    </r>
  </si>
  <si>
    <t>Calculation of indicators  is based on the assumption that intensity of funding will be up to 70 percent (out of which ~ 50 percent would be subsidies, 50 percent - loan (EU amount - 9.375.000  +  co-financing rate (Eur.) - 4.017.857  Total - 13.392.857 Eur.).  
It is planning that loan will be longterm, therefore an effect of repays to indicator  will be seen only after 2029), and 30 percent - private funds (according to the ex ante assessment which is in the finalisation process).  Target 2029: 100 percent of Category funds  will be invested in heat pumps. Heat pumps with a total capacity of 13 MW can be installed for 13.392.857 MEUR, where cost of 1 MW are ~ 1 MEUR (according to Danish Technology Data). The intermediate value  for 2024 is set to  2,6, as it is assumed that first projects will start in 2nd half of 2023 and around 20 percent of allocation could be invested and similar percent of projects implemented in 2024 ( projects are new to DH sector, therefore it will take about 9 months - 1 year to implement.).</t>
  </si>
  <si>
    <r>
      <t xml:space="preserve">According to Lithuanian District Heating Association study, 1 MW of heat pump capacity would produce 600 MWh of energy, so 13 MW will generate 13x600=7800 MWh of energy. </t>
    </r>
    <r>
      <rPr>
        <u/>
        <sz val="11"/>
        <color theme="1"/>
        <rFont val="Calibri"/>
        <family val="2"/>
        <charset val="186"/>
        <scheme val="minor"/>
      </rPr>
      <t>Baseline:</t>
    </r>
    <r>
      <rPr>
        <sz val="11"/>
        <color theme="1"/>
        <rFont val="Calibri"/>
        <family val="2"/>
        <charset val="186"/>
        <scheme val="minor"/>
      </rPr>
      <t xml:space="preserve"> 7800x0,1= </t>
    </r>
    <r>
      <rPr>
        <b/>
        <sz val="11"/>
        <color theme="1"/>
        <rFont val="Calibri"/>
        <family val="2"/>
        <charset val="186"/>
        <scheme val="minor"/>
      </rPr>
      <t xml:space="preserve">780  tCO2eq/year </t>
    </r>
    <r>
      <rPr>
        <sz val="11"/>
        <color theme="1"/>
        <rFont val="Calibri"/>
        <family val="2"/>
        <charset val="186"/>
        <scheme val="minor"/>
      </rPr>
      <t xml:space="preserve">(where 0,1 tCO2/MWh - pollution factor for heat from DH according to Technical Regulation of Construction, Ministry of Environment). </t>
    </r>
    <r>
      <rPr>
        <u/>
        <sz val="11"/>
        <color theme="1"/>
        <rFont val="Calibri"/>
        <family val="2"/>
        <charset val="186"/>
        <scheme val="minor"/>
      </rPr>
      <t>Target 2029:</t>
    </r>
    <r>
      <rPr>
        <sz val="11"/>
        <color theme="1"/>
        <rFont val="Calibri"/>
        <family val="2"/>
        <charset val="186"/>
        <scheme val="minor"/>
      </rPr>
      <t xml:space="preserve">  7800x0,04=</t>
    </r>
    <r>
      <rPr>
        <b/>
        <sz val="11"/>
        <color theme="1"/>
        <rFont val="Calibri"/>
        <family val="2"/>
        <charset val="186"/>
        <scheme val="minor"/>
      </rPr>
      <t>312 tCO2eq/year</t>
    </r>
    <r>
      <rPr>
        <sz val="11"/>
        <color theme="1"/>
        <rFont val="Calibri"/>
        <family val="2"/>
        <charset val="186"/>
        <scheme val="minor"/>
      </rPr>
      <t xml:space="preserve"> (where 0,04 tCO2/MWh-  pollution factor for natural gas).</t>
    </r>
  </si>
  <si>
    <t xml:space="preserve">Target 2029: According to information provided by Lithuanian District Heating Association mostly  heat suppliers  acting in small district heating systems would be interested in installation of heat pumps. About 30 DH systems are small and are located in Mid West Lithuania. Out of them preliminary 1/3 could apply for support.   It is assumed that  projects will start in 2nd half of 2023. Since  the project's duration seeks around 9 months-1 year, we assume that about 20 percent of enterprises could be supported with FI by  2024: 10*0,2=2 </t>
  </si>
  <si>
    <r>
      <t xml:space="preserve">According to Lithuanian District Heating Association study, 1 MW of heat pump capacity would produce 600 MWh of energy, so 13 MW will generate 13x600=7800 MWh of energy. </t>
    </r>
    <r>
      <rPr>
        <u/>
        <sz val="11"/>
        <color theme="1"/>
        <rFont val="Calibri"/>
        <family val="2"/>
        <charset val="186"/>
        <scheme val="minor"/>
      </rPr>
      <t>Baseline:</t>
    </r>
    <r>
      <rPr>
        <sz val="11"/>
        <color theme="1"/>
        <rFont val="Calibri"/>
        <family val="2"/>
        <charset val="186"/>
        <scheme val="minor"/>
      </rPr>
      <t xml:space="preserve"> 7800x0,1= </t>
    </r>
    <r>
      <rPr>
        <b/>
        <sz val="11"/>
        <color theme="1"/>
        <rFont val="Calibri"/>
        <family val="2"/>
        <charset val="186"/>
        <scheme val="minor"/>
      </rPr>
      <t>780  tCO2eq/year</t>
    </r>
    <r>
      <rPr>
        <sz val="11"/>
        <color theme="1"/>
        <rFont val="Calibri"/>
        <family val="2"/>
        <charset val="186"/>
        <scheme val="minor"/>
      </rPr>
      <t xml:space="preserve"> (where 0,1 tCO2/MWh - pollution factor for heat from DH according to Technical Regulation of Construction, Ministry of Environment). </t>
    </r>
    <r>
      <rPr>
        <u/>
        <sz val="11"/>
        <color theme="1"/>
        <rFont val="Calibri"/>
        <family val="2"/>
        <charset val="186"/>
        <scheme val="minor"/>
      </rPr>
      <t>Target 2029:</t>
    </r>
    <r>
      <rPr>
        <sz val="11"/>
        <color theme="1"/>
        <rFont val="Calibri"/>
        <family val="2"/>
        <charset val="186"/>
        <scheme val="minor"/>
      </rPr>
      <t xml:space="preserve">  7800x0,04=</t>
    </r>
    <r>
      <rPr>
        <b/>
        <sz val="11"/>
        <color theme="1"/>
        <rFont val="Calibri"/>
        <family val="2"/>
        <charset val="186"/>
        <scheme val="minor"/>
      </rPr>
      <t xml:space="preserve">312 tCO2eq/year </t>
    </r>
    <r>
      <rPr>
        <sz val="11"/>
        <color theme="1"/>
        <rFont val="Calibri"/>
        <family val="2"/>
        <charset val="186"/>
        <scheme val="minor"/>
      </rPr>
      <t>(where 0,04 tCO2/MWh-  pollution factor for natural gas).</t>
    </r>
  </si>
  <si>
    <t>MWR</t>
  </si>
  <si>
    <t>Ministry of economy and innovation</t>
  </si>
  <si>
    <t>Action</t>
  </si>
  <si>
    <t>Total allocation of action level (indicated)</t>
  </si>
  <si>
    <r>
      <t>allocation 2021-</t>
    </r>
    <r>
      <rPr>
        <b/>
        <sz val="11"/>
        <color theme="1"/>
        <rFont val="Calibri"/>
        <family val="2"/>
        <charset val="186"/>
        <scheme val="minor"/>
      </rPr>
      <t xml:space="preserve"> 2027 used for calculation of 2029 target </t>
    </r>
  </si>
  <si>
    <t>Methodology for calculating the values for the indicator</t>
  </si>
  <si>
    <t>co-financing rate (Eur.)</t>
  </si>
  <si>
    <t>Amount (EU+ national)(Eur.)</t>
  </si>
  <si>
    <t>2.2.4. Promoting the deployment of the AEI to industrial enterprises (Skatinti AEI diegimą pramonės įmonėse)</t>
  </si>
  <si>
    <r>
      <rPr>
        <b/>
        <sz val="11"/>
        <rFont val="Calibri"/>
        <family val="2"/>
        <charset val="186"/>
        <scheme val="minor"/>
      </rPr>
      <t>048</t>
    </r>
    <r>
      <rPr>
        <sz val="11"/>
        <rFont val="Calibri"/>
        <family val="2"/>
        <charset val="186"/>
        <scheme val="minor"/>
      </rPr>
      <t xml:space="preserve"> Renewable energy: solar (Atsinaujinančioji energija: saulė)</t>
    </r>
  </si>
  <si>
    <t>RCO02</t>
  </si>
  <si>
    <t>Enterprises supported by grants (Paramą dotacijomis gavusios įmonės)</t>
  </si>
  <si>
    <t>RCR31</t>
  </si>
  <si>
    <t>Production of renewable energy (visas pagamintas atsinaujinančios energijos kiekis (iš kurio: elektros, šiluminės energijos kiekis)</t>
  </si>
  <si>
    <t>Based on the experience of 2014-2020, it is installed an avarage of 0.27-0.23 MW of solar equipment during one project. The avarage capacity of one equipment installed by one company is  (0,27+0,23)/2=0,25 MWh and it is 0,25*24 hours*365 days=2190 MWh/year. The final target of RCO02 is 90 compies, thus the target RCR31 is 90*2190=197.100 MWh/year.</t>
  </si>
  <si>
    <t>Total</t>
  </si>
  <si>
    <t>Indicator code</t>
  </si>
  <si>
    <t>Indicator name</t>
  </si>
  <si>
    <t>Indicator M.U.</t>
  </si>
  <si>
    <t>Indicator baseline value</t>
  </si>
  <si>
    <t>Indicator baseline year</t>
  </si>
  <si>
    <t>counting removed at the level of the specific objective</t>
  </si>
  <si>
    <t>comments</t>
  </si>
  <si>
    <t>Unique will be about 50 percent</t>
  </si>
  <si>
    <t>ERPF</t>
  </si>
  <si>
    <t>Ministry of energy Unique will be about 50 percent. Ministry of economy and innovation all unique will be</t>
  </si>
  <si>
    <t>Ministry of economy and innovation+Ministry of energy</t>
  </si>
  <si>
    <t>All unique will be.</t>
  </si>
  <si>
    <t>Konkretus uždavinys - 2.3. Kurti pažangiąsias elektros energijos sistemas ir tinklus, taip pat energijos kaupimo sprendimus už TEN-E ribų</t>
  </si>
  <si>
    <t>Total allocation of action level (indicated) Bendras veiksmų lygio paskirstymas</t>
  </si>
  <si>
    <t xml:space="preserve">Data source </t>
  </si>
  <si>
    <r>
      <t>co-financing rate (Eur.)</t>
    </r>
    <r>
      <rPr>
        <b/>
        <sz val="10"/>
        <color rgb="FFFF0000"/>
        <rFont val="Calibri"/>
        <family val="2"/>
        <scheme val="minor"/>
      </rPr>
      <t xml:space="preserve"> </t>
    </r>
  </si>
  <si>
    <t xml:space="preserve">Finansinė proporcija (EU+ nacionalinis)(Eur.) </t>
  </si>
  <si>
    <t xml:space="preserve">2.3.1. Smart solutions  for  electricity distribution networks to integrate and manage  decentralised RES  generation and energy storage (25.000.000 eur) </t>
  </si>
  <si>
    <t>033 - Smart Energy Systems (including smart grids and ICT systems) and related storage</t>
  </si>
  <si>
    <t>RCR 33</t>
  </si>
  <si>
    <t>Users connected to smart energy systems</t>
  </si>
  <si>
    <t>end users/year</t>
  </si>
  <si>
    <r>
      <rPr>
        <i/>
        <sz val="10"/>
        <color rgb="FF7030A0"/>
        <rFont val="Calibri"/>
        <family val="2"/>
        <scheme val="minor"/>
      </rPr>
      <t xml:space="preserve">Uždavinio veikloms skaičiavimai atlikti su 50 proc. paramos intensyvumu, siekiant išlaikyti jau pasiteisinusį  finansavimo modelį  esamoje perspektyvoje. </t>
    </r>
    <r>
      <rPr>
        <sz val="10"/>
        <color theme="1"/>
        <rFont val="Calibri"/>
        <family val="2"/>
        <scheme val="minor"/>
      </rPr>
      <t xml:space="preserve">                                                                                                                                                                                                                                  Iki 2029 m. už 17,5 MEUR bus modernizuotos 15 TP, įdiegta 375 TR+ĮR bei įdiegta  1 informacinė sistema. Vidut. prie vienos 35 kV TP prijungta 1275 vartotojų, prie vienos TR  prijungta apie 19 vartotojų. Viso prijungta (15x1275)+(375x19) apie 26250 galutinių naudotojų/metus. </t>
    </r>
  </si>
  <si>
    <t xml:space="preserve">  An average 1275 users are connected to the one 35 kV  primary substation (PS) and 19 users are connected to 10/0,4 kV 10/0,4 kV secondary substation (SS)+voltage controller (VC), then total  amount of users connected to 15 PS and  375 SS+VC will be  (15x1275)+(375x19)=~26250.  Number of users is the same before and after the  intervention because of modernization (not development) of installations.</t>
  </si>
  <si>
    <t>Digital management systems for smart energy systems</t>
  </si>
  <si>
    <t>System components</t>
  </si>
  <si>
    <r>
      <t>Bus investuojama į trijų tipų sistemos komponentus:preliminariai informacinė sistema (įskaitant ir DATA HUB platformą) (vadovaujantis skirstomųjų tinklų operatoriaus atlikta analize, panašių projektų siekia iki 1 MEUR), modernizuojamos 35 kV transformatorinės pastotės (TP), siekiant jas padaryti reguliuojamomis (kaina 0,5 MEUR/vnt +10 proc. infliacijos koef.=0,55 MEUR/vnt) ir diegiami reguliuojami transformatoriai (TR) ir įtampos reguliatoriai (ĮR) 10/0,4 KV tinkle (vidut.kaina  0,02 MEUR /vnt  +10 proc. infliacijos koef.</t>
    </r>
    <r>
      <rPr>
        <sz val="10"/>
        <color theme="1"/>
        <rFont val="Calibri"/>
        <family val="2"/>
      </rPr>
      <t>=0,022 MEUR/vnt.</t>
    </r>
    <r>
      <rPr>
        <sz val="10"/>
        <color theme="1"/>
        <rFont val="Calibri"/>
        <family val="2"/>
        <scheme val="minor"/>
      </rPr>
      <t xml:space="preserve">). Kainos taikomos, vadovaujantis skirstomųjų tinklų operatoriaus  įgyvendintais projektais.  Daroma prielaida, kad IS skiriama 1 MEUR, o likusi lėšų dalis vienodom proporcijom investuojama į  TP, tiek ir TR+ĮR, t.y. po  (17,5-1)/2=8,25 MEUR. Už 8,25 MEUR bus galima modernizuoti 8,25/0,55=15 TP ir įdiegti 8,25/0,022=375 TR ir ĮR. Viso už 17,5 MEUR iki 2029 m. pab.bus įdiegta apie 391 sistemos komponentų (1+15+375). Darom prielaidą, kad iki 2024 m. pab. bus investuota apie 20 proc. lėšų, tad bus įdiegta 391x0,2=78 sistemos komponentai.                                                                                                                                                                     </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</si>
  <si>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According to DSO market analysis , </t>
    </r>
    <r>
      <rPr>
        <sz val="10"/>
        <color theme="1"/>
        <rFont val="Calibri"/>
        <family val="2"/>
        <charset val="186"/>
      </rPr>
      <t>~</t>
    </r>
    <r>
      <rPr>
        <sz val="10"/>
        <color theme="1"/>
        <rFont val="Calibri"/>
        <family val="2"/>
        <scheme val="minor"/>
      </rPr>
      <t>1 MEUR could be needed to develop and install an information system (including Data Hub platform), the rest of funds  will be divided equally  (16,5/2=8,25 MEUR )  betweeen modernisation of primary substations (PS) and 10/0,4 kV secondary substations (SS)+ installations of voltage controllers (VC): 8,25/0,55=15 PS   and  8,25/0,022=375. According to DSO  data, PS modernization cost  0,55 MEUR, SS+VC - 0,022 MEUR.   Total system components:  1+15+375=391. We assume that 20 proc. of funds will be invested by 2024,then 2024 value will be 391x0,2=78 system components.</t>
    </r>
  </si>
  <si>
    <t xml:space="preserve">Iki 2029 m. už 32,5 MEUR bus modernizuotos 29 TP, įdiegta 727 TR+ĮR. Vidut. prie vienos 35 kV TP prijungta 1275 vartotojų, prie vienos TR  prijungta apie 19 vartotojų. Viso prijungta (29x1275)+(727x19)=~ 50800 galutinių naudotojų/metus </t>
  </si>
  <si>
    <t xml:space="preserve"> An average 1275 users are connected to the one 35 kV  primary substation (PS) and 19 users are connected to 10/0,4 kV secondary substation (SS), then total  amount of users connected to 29 PS and  727 SS+VC will be   (29x1275)+(727x19)=~ 50800.  Number of users is the same before and after the  intervention because of modernization (not development) of installations.</t>
  </si>
  <si>
    <r>
      <t>Bus diegiami šie sistemos komponentai: modernizuojamos 35 kV transformatorinės pastotės (TP), siekiant jas padaryti reguliuojamomis (kaina 0,55 MEUR/vnt) ir diegiami reguliuojami transformatoriai (TR) ir įtampos reguliatoriai (ĮR) 10/0,4 KV tinkle (vidut.kaina  0,02 MEUR /vnt ). Daroma prielaida, kad lėšos vienodom proporcijom skiriamos tiek TP, tiek ir TR+ĮR, t.y. po  32,5/2</t>
    </r>
    <r>
      <rPr>
        <sz val="10"/>
        <color theme="1"/>
        <rFont val="Calibri"/>
        <family val="2"/>
      </rPr>
      <t>=</t>
    </r>
    <r>
      <rPr>
        <sz val="10"/>
        <color theme="1"/>
        <rFont val="Calibri"/>
        <family val="2"/>
        <scheme val="minor"/>
      </rPr>
      <t>16,25 MEUR. Už 16,25 MEUR bus galima modernizuoti 16,25/0,55=29 TP ir įdiegti 16,25/0,022=</t>
    </r>
    <r>
      <rPr>
        <sz val="10"/>
        <color theme="1"/>
        <rFont val="Calibri"/>
        <family val="2"/>
      </rPr>
      <t>~</t>
    </r>
    <r>
      <rPr>
        <sz val="10"/>
        <color theme="1"/>
        <rFont val="Calibri"/>
        <family val="2"/>
        <scheme val="minor"/>
      </rPr>
      <t xml:space="preserve">738  TR ir ĮR. Viso už 32,5 MEUR iki 2029 m. pab.bus įdiegta apie 738+29=767 sistemos komponentų. Darom prielaidą, kad iki 2024 m. pab. bus investuota apie 20 proc. lėšų, tad bus įdiegta 767x0,2=~153 sistemos komponentai.  </t>
    </r>
  </si>
  <si>
    <r>
      <rPr>
        <i/>
        <sz val="10"/>
        <color theme="1"/>
        <rFont val="Calibri"/>
        <family val="2"/>
        <charset val="186"/>
        <scheme val="minor"/>
      </rPr>
      <t xml:space="preserve">Calculation of indicators based on the 50 percent of funding intensity to maintain the same financial model as in 2014-2020. </t>
    </r>
    <r>
      <rPr>
        <sz val="10"/>
        <color theme="1"/>
        <rFont val="Calibri"/>
        <family val="2"/>
        <scheme val="minor"/>
      </rPr>
      <t xml:space="preserve">  Funds  will be divided equally  (32,5/2=~16,25 MEUR )  betweeen modernisation of primary substations (PS) and 10/0,4 kV secondary substations (SS)+ installations of voltage controllers (VC): 16,25/0,55=~29 PS   and  16,25/0,022=~738. According to DSO  data, PS modernization cost  0,55 MEUR, SS+VC - 0,022 MEUR.   Total system components: 29+738=767. We assume that 20 proc. of funds will be invested by 2024,then 2024 value will be 767x0,2=~153 system components.</t>
    </r>
  </si>
  <si>
    <t xml:space="preserve">2.3.2.                    Improvement of  reliability and resilience of electricity distribution networks (25.000.000 eur)  </t>
  </si>
  <si>
    <r>
      <t>Iki 2029 m. bus modernizuota 21 SP; vidut. prie vieno SP prijungta yra apie 930 vartotojų, tad prie visų modernizuotų SP bus prijungta 21x930=19530 galutinių naudotojų. IKi 2029 m. bus įdiegta 477 reguliuojamų  transformatorių ir įtampos reguliatorių 10/0,4 kV tinkle, kur vidut. prie vienos transformatorinės prijungta po 19 vartotojų.Viso prie TR ir ĮR  prijungta bus 477x19=9063 galutinių naudotojų per metus. Bendras prijungtas prie pažangių sistemų  galutinių naudotojų kiekis per metus 19530+9063</t>
    </r>
    <r>
      <rPr>
        <sz val="10"/>
        <color theme="1"/>
        <rFont val="Calibri"/>
        <family val="2"/>
      </rPr>
      <t>=</t>
    </r>
    <r>
      <rPr>
        <sz val="10"/>
        <color theme="1"/>
        <rFont val="Calibri"/>
        <family val="2"/>
        <scheme val="minor"/>
      </rPr>
      <t>28600.</t>
    </r>
  </si>
  <si>
    <t xml:space="preserve"> An average 930 users are connected to one SP, then total  amount of users connected to 21 SP will be: 21x930=19530.  19 users  are connected to one 10/0,4 kV secondary substation, then the amount of users connected to 499 will be 499x19=9481.  Total number of users connected to smart energy systems 19530+9063=28600. Number of users is the same before and after  intervention because of modernization (not development) of installations.</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</si>
  <si>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koef.=0,022 MEUR/vnt.  Daroma prielaida, kad apie 40 proc. lėšų (7 MEUR) investuojama bus į SP modernizavimą, o 60 proc. (10,5 MEUR) -  į  TR ir ĮR. IKi 2029 m. bus įdiegta 7/0,33=~21 modernizuotų SP ir reguliuojamų transformatorių ir įtampos reguliatorių - 10,5/0,022=~477. Viso sistemos komponentų 21+477=498. Daroma prielaida, kad iki 2024 m. bus investuota apie 20 proc. lėšų, tad iki 2024 m. pab. bus įdiegta 498x0,2=100 komponentų.</t>
  </si>
  <si>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(7 MEUR) will be invested into modernisation of  10 kV switching stations (1 SP - 0,33 MEUR) ; 60% of funds (10,5MEUR) - into modernization of 10/0,4 kV secondary substation and installation of voltage controllers (an average price   0,022 MEUR). 7/0,33=~21 SP and 10,5/0,022=~477 controllable 10/0,4 kV secondary substation and voltage controllers.  Total system components:  21+477=498. We assume that 20 proc. of funds will be invested by 2024,then 2024 value will be 498x0,2=100 system components.</t>
    </r>
  </si>
  <si>
    <t>RCR33</t>
  </si>
  <si>
    <t>Iki 2029 m. bus modernizuota 39 SP; vidut. prie vieno SP prijungta yra apie 930 vartotojų, tad prie visų modernizuotų SP bus prijungta 39x930=36270 galutinių naudotojų. IKi 2029 m. bus įdiegta 886 reguliuojamų  transformatorių ir įtampos reguliatorių 10/0,4 kV tinkle, kur vidut. prie vienos transformatorinės prijungta po 19 vartotojų.Viso prie TR ir ĮR  prijungta bus 886x19=16834 galutinių naudotojų per metus. Iki 2029 m. bendras galutinių naudotojų kiekis per metus 36270+16834= 53104</t>
  </si>
  <si>
    <t xml:space="preserve"> An average 930 users are connected to one SP, then the amount of users connected to 39 SP will be: 39x930=36270.  19 users  are connected to one secondary substation, then total amount of users connected to 886 will be: 886x19=16834. Total number of all the users connected to smart energy systems 36270+16834= 53104. Number of users is the same before and after  intervention because of modernization (not development) of installations.</t>
  </si>
  <si>
    <t>Bus investuojama į: a) skirstomųjų punktų (SP) modernizavimą, diegiant išmaniąsias technologijas. Vidut. pagal esamus projektus, skirstomojo punkto modernizavimo kaina 0,3 MEUR  +10 proc. infliacijos koef=0,33 MEUR/vnt.; b) reguliuojamų transformatorių ir įtampos reguliatorių diegimą 10/0,4 kV tinkle, kur iš esamų projektų vidut. 1 vnt. kaina apie 0,02 MEUR  +10 proc. infliacijos koef..  Daroma prielaida, kad apie 40 proc. lėšų (13 MEUR) investuojama bus į SP modernizavimą, o 60 proc. (19,5 MEUR) -  į  TR ir ĮR. IKi 2029 m. bus įdiegta 13/0,33=~39 modernizuotų SP ir reguliuojamų transformatorių ir įtampos reguliatorių -19,5/0,022=~886. Viso sistemos komponentų 39+886=925. Daroma prielaida, kad iki 2024 m. bus investuota apie 20 proc. lėšų, tad iki 2024 m. pab. bus įdiegta 925x0,2=185 komponentų.</t>
  </si>
  <si>
    <r>
      <rPr>
        <i/>
        <sz val="10"/>
        <color theme="1"/>
        <rFont val="Calibri"/>
        <family val="2"/>
        <scheme val="minor"/>
      </rPr>
      <t>Calculation of indicators based on the 50 percent of funding intensity to maintain the same financial model as in 2014-2020.</t>
    </r>
    <r>
      <rPr>
        <sz val="10"/>
        <color theme="1"/>
        <rFont val="Calibri"/>
        <family val="2"/>
        <scheme val="minor"/>
      </rPr>
      <t xml:space="preserve"> 40% of funds  (13 MEUR) will be invested into modernisation of  10 kV switching stations (1 SP - 0,33 MEUR; 60% of funds (19,5MEUR) - into modernization of 10/0,4 kV secondary substation and installation of voltage controllers (an average price   0,022 MEUR). 13/0,33=~39 SP and 19,5/0,022=~886 10/0,4 kV secondary substation and voltage controllers.  Total system components: 39+886=925. We assume that 20 proc. of funds will be invested by 2024,then 2024 value  will be  925x0,2=185 system components. </t>
    </r>
  </si>
  <si>
    <t>Whole  Lithuania</t>
  </si>
  <si>
    <t>Row ID</t>
  </si>
  <si>
    <t>Field</t>
  </si>
  <si>
    <t>Indicator metadata</t>
  </si>
  <si>
    <t>P.S.</t>
  </si>
  <si>
    <r>
      <t xml:space="preserve">Solutions for heat storage </t>
    </r>
    <r>
      <rPr>
        <i/>
        <sz val="12"/>
        <rFont val="Calibri"/>
        <family val="2"/>
        <charset val="186"/>
        <scheme val="minor"/>
      </rPr>
      <t>(šiluminės energijos kaupimo sprendimai)</t>
    </r>
  </si>
  <si>
    <t>Type of indicator</t>
  </si>
  <si>
    <t>output</t>
  </si>
  <si>
    <t>&gt;=0</t>
  </si>
  <si>
    <t>&gt;0</t>
  </si>
  <si>
    <t>Policy objective</t>
  </si>
  <si>
    <t>PO2 Greener Europe</t>
  </si>
  <si>
    <t>Specific objective</t>
  </si>
  <si>
    <t>SO2.2 Renewable energy</t>
  </si>
  <si>
    <t>Definition and concepts</t>
  </si>
  <si>
    <r>
      <t xml:space="preserve">Storage capacity for heat  created </t>
    </r>
    <r>
      <rPr>
        <sz val="12"/>
        <color rgb="FF000000"/>
        <rFont val="Calibri"/>
        <family val="2"/>
        <charset val="186"/>
        <scheme val="minor"/>
      </rPr>
      <t>due to the support provided.</t>
    </r>
  </si>
  <si>
    <t>Data collection</t>
  </si>
  <si>
    <t>Time measurement achieved</t>
  </si>
  <si>
    <t>Upon completion of output in the supported project</t>
  </si>
  <si>
    <t>Aggregation issues</t>
  </si>
  <si>
    <t>Reporting</t>
  </si>
  <si>
    <t xml:space="preserve">Rule 1: Reporting by specific objective. Forecast for selected projects and achieved values, both cumulative to date  (CPR Annex VII, Table 3).                                                                                                                       </t>
  </si>
  <si>
    <t>References</t>
  </si>
  <si>
    <t>Corresponding corporate indicator</t>
  </si>
  <si>
    <t>Notes</t>
  </si>
  <si>
    <t>Examples</t>
  </si>
  <si>
    <r>
      <t xml:space="preserve">Solutions for electricity storage </t>
    </r>
    <r>
      <rPr>
        <i/>
        <sz val="12"/>
        <rFont val="Calibri"/>
        <family val="2"/>
        <charset val="186"/>
        <scheme val="minor"/>
      </rPr>
      <t>(elektros energijos kaupimo sprendimai)</t>
    </r>
  </si>
  <si>
    <t>Storage capacity for electricity  created or expanded due to the support provided.</t>
  </si>
  <si>
    <r>
      <t>Calculation of indicators based on 22 percent of  funding intensity to maintain the same funding model as in 2014-2020 OP (04.1.1-LVPA-V-114 measure „Installation of RES production capacities in households“, 04.1.1-LVPA-V-115 measure  „RES for households“)(EU amount- 80.491.772,50 Eur +  co-financing rate (Eur.) - 285.379.920,70. Total - 365.871.693,20 Eur.).We assume that administrative costs will be the same  as in 2014-2020 OP for solar PP projects' administration (4,11 percent (365.871.693,20- 4.11 percent= 350.834.366,59 Eur) and those costs are not included into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t>
    </r>
    <r>
      <rPr>
        <sz val="11"/>
        <rFont val="Calibri"/>
        <family val="2"/>
        <charset val="186"/>
      </rPr>
      <t>~</t>
    </r>
    <r>
      <rPr>
        <sz val="11"/>
        <rFont val="Calibri"/>
        <family val="2"/>
        <charset val="186"/>
        <scheme val="minor"/>
      </rPr>
      <t xml:space="preserve">24 MWe of solar PP. </t>
    </r>
  </si>
  <si>
    <t>Baseline: According to Electricity Distribution Operator's information 1MW small scale solar PP generates 1000MWh/year, then 239 MW would generate 239*1000=239000 MWh/year, CO2 will be  239000 MWh/year x0,42 tCO2/MWh (electricity polution factor according to Technical Regulation of Buildings)  = 100380 tCO2ekv./year. Target 2029: 239000x0=0, because solar energy pollution factor is 0.</t>
  </si>
  <si>
    <r>
      <t xml:space="preserve">Baseline: According to Electricity Distribution System Operator's information 1MW small scale solar PP generates 1000MWh/year, then </t>
    </r>
    <r>
      <rPr>
        <strike/>
        <sz val="11"/>
        <color theme="1"/>
        <rFont val="Calibri"/>
        <family val="2"/>
        <charset val="186"/>
        <scheme val="minor"/>
      </rPr>
      <t>239</t>
    </r>
    <r>
      <rPr>
        <sz val="11"/>
        <color theme="1"/>
        <rFont val="Calibri"/>
        <family val="2"/>
        <charset val="186"/>
        <scheme val="minor"/>
      </rPr>
      <t xml:space="preserve"> </t>
    </r>
    <r>
      <rPr>
        <b/>
        <sz val="11"/>
        <color theme="1"/>
        <rFont val="Calibri"/>
        <family val="2"/>
        <charset val="186"/>
        <scheme val="minor"/>
      </rPr>
      <t>132,4</t>
    </r>
    <r>
      <rPr>
        <sz val="11"/>
        <color theme="1"/>
        <rFont val="Calibri"/>
        <family val="2"/>
        <charset val="186"/>
        <scheme val="minor"/>
      </rPr>
      <t xml:space="preserve"> MW would generate </t>
    </r>
    <r>
      <rPr>
        <strike/>
        <sz val="11"/>
        <color theme="1"/>
        <rFont val="Calibri"/>
        <family val="2"/>
        <charset val="186"/>
        <scheme val="minor"/>
      </rPr>
      <t>239</t>
    </r>
    <r>
      <rPr>
        <sz val="11"/>
        <color theme="1"/>
        <rFont val="Calibri"/>
        <family val="2"/>
        <charset val="186"/>
        <scheme val="minor"/>
      </rPr>
      <t xml:space="preserve"> </t>
    </r>
    <r>
      <rPr>
        <b/>
        <sz val="11"/>
        <color theme="1"/>
        <rFont val="Calibri"/>
        <family val="2"/>
        <charset val="186"/>
        <scheme val="minor"/>
      </rPr>
      <t>132,4</t>
    </r>
    <r>
      <rPr>
        <sz val="11"/>
        <color theme="1"/>
        <rFont val="Calibri"/>
        <family val="2"/>
        <charset val="186"/>
        <scheme val="minor"/>
      </rPr>
      <t>*1000=</t>
    </r>
    <r>
      <rPr>
        <strike/>
        <sz val="11"/>
        <color theme="1"/>
        <rFont val="Calibri"/>
        <family val="2"/>
        <charset val="186"/>
        <scheme val="minor"/>
      </rPr>
      <t>239000</t>
    </r>
    <r>
      <rPr>
        <sz val="11"/>
        <color theme="1"/>
        <rFont val="Calibri"/>
        <family val="2"/>
        <charset val="186"/>
        <scheme val="minor"/>
      </rPr>
      <t xml:space="preserve"> </t>
    </r>
    <r>
      <rPr>
        <b/>
        <sz val="11"/>
        <color theme="1"/>
        <rFont val="Calibri"/>
        <family val="2"/>
        <charset val="186"/>
        <scheme val="minor"/>
      </rPr>
      <t>132400</t>
    </r>
    <r>
      <rPr>
        <sz val="11"/>
        <color theme="1"/>
        <rFont val="Calibri"/>
        <family val="2"/>
        <charset val="186"/>
        <scheme val="minor"/>
      </rPr>
      <t xml:space="preserve"> MWh/year, CO2 will be  </t>
    </r>
    <r>
      <rPr>
        <strike/>
        <sz val="11"/>
        <color theme="1"/>
        <rFont val="Calibri"/>
        <family val="2"/>
        <charset val="186"/>
        <scheme val="minor"/>
      </rPr>
      <t>239000</t>
    </r>
    <r>
      <rPr>
        <sz val="11"/>
        <color theme="1"/>
        <rFont val="Calibri"/>
        <family val="2"/>
        <charset val="186"/>
        <scheme val="minor"/>
      </rPr>
      <t xml:space="preserve"> </t>
    </r>
    <r>
      <rPr>
        <b/>
        <sz val="11"/>
        <color theme="1"/>
        <rFont val="Calibri"/>
        <family val="2"/>
        <charset val="186"/>
        <scheme val="minor"/>
      </rPr>
      <t>132400</t>
    </r>
    <r>
      <rPr>
        <sz val="11"/>
        <color theme="1"/>
        <rFont val="Calibri"/>
        <family val="2"/>
        <charset val="186"/>
        <scheme val="minor"/>
      </rPr>
      <t xml:space="preserve"> MWh/year x0,42 tCO2/MWh (electricity polution factor according to Technical Regulation of Buildings)  = </t>
    </r>
    <r>
      <rPr>
        <strike/>
        <sz val="11"/>
        <color theme="1"/>
        <rFont val="Calibri"/>
        <family val="2"/>
        <charset val="186"/>
        <scheme val="minor"/>
      </rPr>
      <t xml:space="preserve">100380 </t>
    </r>
    <r>
      <rPr>
        <b/>
        <sz val="11"/>
        <color theme="1"/>
        <rFont val="Calibri"/>
        <family val="2"/>
        <charset val="186"/>
        <scheme val="minor"/>
      </rPr>
      <t>55608</t>
    </r>
    <r>
      <rPr>
        <sz val="11"/>
        <color theme="1"/>
        <rFont val="Calibri"/>
        <family val="2"/>
        <charset val="186"/>
        <scheme val="minor"/>
      </rPr>
      <t xml:space="preserve"> tCO2ekv./year. Target 2029: </t>
    </r>
    <r>
      <rPr>
        <strike/>
        <sz val="11"/>
        <color theme="1"/>
        <rFont val="Calibri"/>
        <family val="2"/>
        <charset val="186"/>
        <scheme val="minor"/>
      </rPr>
      <t>239000x0=</t>
    </r>
    <r>
      <rPr>
        <sz val="11"/>
        <color theme="1"/>
        <rFont val="Calibri"/>
        <family val="2"/>
        <charset val="186"/>
        <scheme val="minor"/>
      </rPr>
      <t>0, because solar energy pollution factor is 0.</t>
    </r>
  </si>
  <si>
    <t>Baseline: According to Electricity Distribution System Operator's information 1MW small scale solar PP generates 1000MWh/year, then 239 MW would generate 239*1000=239000 MWh/year, CO2 will be  239000 MWh/year x0,42 tCO2/MWh (electricity polution factor according to Technical Regulation of Buildings)  = 100380 tCO2ekv./year. Target 2029: 239000x0=0, because solar energy pollution factor is 0.</t>
  </si>
  <si>
    <t>Justification for the proposed change 2025-12</t>
  </si>
  <si>
    <r>
      <rPr>
        <b/>
        <strike/>
        <sz val="11"/>
        <color theme="1"/>
        <rFont val="Calibri"/>
        <family val="2"/>
        <charset val="186"/>
        <scheme val="minor"/>
      </rPr>
      <t xml:space="preserve">047 </t>
    </r>
    <r>
      <rPr>
        <strike/>
        <sz val="11"/>
        <color theme="1"/>
        <rFont val="Calibri"/>
        <family val="2"/>
        <charset val="186"/>
        <scheme val="minor"/>
      </rPr>
      <t>- Renewable energy: wind (Atsinaujinanti energija - vėjas)</t>
    </r>
  </si>
  <si>
    <r>
      <rPr>
        <strike/>
        <u/>
        <sz val="11"/>
        <color theme="1"/>
        <rFont val="Calibri"/>
        <family val="2"/>
        <charset val="186"/>
        <scheme val="minor"/>
      </rPr>
      <t>Baseline:</t>
    </r>
    <r>
      <rPr>
        <strike/>
        <sz val="11"/>
        <color theme="1"/>
        <rFont val="Calibri"/>
        <family val="2"/>
        <charset val="186"/>
        <scheme val="minor"/>
      </rPr>
      <t xml:space="preserve"> According to publicly available information on internet 1MW small scale wind power plant generates 1280MWh/year, then 0,3 MW wind PP would generate 0,3 MW x 1280 MWh/per metus =~384 MWh/year.  CO2 will be 384 x0,42 tCO2/MWh (</t>
    </r>
    <r>
      <rPr>
        <i/>
        <strike/>
        <sz val="11"/>
        <color theme="1"/>
        <rFont val="Calibri"/>
        <family val="2"/>
        <charset val="186"/>
        <scheme val="minor"/>
      </rPr>
      <t>electricity pollution factor according to Technical Regulation of Construction, MInistry of Environment)</t>
    </r>
    <r>
      <rPr>
        <strike/>
        <sz val="11"/>
        <color theme="1"/>
        <rFont val="Calibri"/>
        <family val="2"/>
        <charset val="186"/>
        <scheme val="minor"/>
      </rPr>
      <t xml:space="preserve">  = </t>
    </r>
    <r>
      <rPr>
        <b/>
        <strike/>
        <sz val="11"/>
        <color theme="1"/>
        <rFont val="Calibri"/>
        <family val="2"/>
        <charset val="186"/>
        <scheme val="minor"/>
      </rPr>
      <t>~161 tCO2 eq/year</t>
    </r>
    <r>
      <rPr>
        <strike/>
        <sz val="11"/>
        <color theme="1"/>
        <rFont val="Calibri"/>
        <family val="2"/>
        <charset val="186"/>
        <scheme val="minor"/>
      </rPr>
      <t xml:space="preserve">. </t>
    </r>
    <r>
      <rPr>
        <strike/>
        <u/>
        <sz val="11"/>
        <color theme="1"/>
        <rFont val="Calibri"/>
        <family val="2"/>
        <charset val="186"/>
        <scheme val="minor"/>
      </rPr>
      <t>Target 2029:</t>
    </r>
    <r>
      <rPr>
        <strike/>
        <sz val="11"/>
        <color theme="1"/>
        <rFont val="Calibri"/>
        <family val="2"/>
        <charset val="186"/>
        <scheme val="minor"/>
      </rPr>
      <t xml:space="preserve"> 384 x 0 tCO2/MWh ( wind energy  pollution factor according to Technical Regulation of Construction, MInistry of Environment)  = 0.</t>
    </r>
  </si>
  <si>
    <r>
      <rPr>
        <b/>
        <strike/>
        <sz val="11"/>
        <color theme="1"/>
        <rFont val="Calibri"/>
        <family val="2"/>
        <charset val="186"/>
        <scheme val="minor"/>
      </rPr>
      <t>047</t>
    </r>
    <r>
      <rPr>
        <strike/>
        <sz val="11"/>
        <color theme="1"/>
        <rFont val="Calibri"/>
        <family val="2"/>
        <charset val="186"/>
        <scheme val="minor"/>
      </rPr>
      <t xml:space="preserve"> - Renewable energy: wind (Atsinaujinanti energija - vėjas)</t>
    </r>
  </si>
  <si>
    <r>
      <t>Calculation of indicators based on the 22 percent of funding intensity to maintain the same financial model as in 2014-2020 (EU amount- 139.871,20 Eur +  co-financing rate (Eur.) - 495.907. Total - 635.778,2. We assume that administrative costs will be 4,11 percent similar as for solar energy in 2014-2020 OP (04.1.1-LVPA-V-114 measure „Installation of RES production capacities in households“, 04.1.1-LVPA-V-115 measure  „RES for households“) and those costs are eliminated from the calculation of indicator (635.778,2 - 4.11 percent = 609.647,70 Eur.).  Installation of 1 kW small scale wind power plant (wind PP)  costs an average about 2000 eur (publicly available information on internet). alculation of indicators based on the 78 percent of funding intensity. Then with 609647,7 eur  would be possible to install 609647,7 eur /2000/1000 =~</t>
    </r>
    <r>
      <rPr>
        <b/>
        <strike/>
        <sz val="11"/>
        <rFont val="Calibri"/>
        <family val="2"/>
        <charset val="186"/>
        <scheme val="minor"/>
      </rPr>
      <t>0,3 MW</t>
    </r>
    <r>
      <rPr>
        <strike/>
        <sz val="11"/>
        <rFont val="Calibri"/>
        <family val="2"/>
        <charset val="186"/>
        <scheme val="minor"/>
      </rPr>
      <t>e of wind PP. Action's implementation will be based on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0,3*0,1=0,03 MW.</t>
    </r>
  </si>
  <si>
    <r>
      <t xml:space="preserve">Baseline: According to Electricity Distribution Operator's information 1MW small scale solar PP generates 1000MWh/year, then </t>
    </r>
    <r>
      <rPr>
        <strike/>
        <sz val="11"/>
        <color theme="1"/>
        <rFont val="Calibri"/>
        <family val="2"/>
        <charset val="186"/>
        <scheme val="minor"/>
      </rPr>
      <t>239</t>
    </r>
    <r>
      <rPr>
        <sz val="11"/>
        <color theme="1"/>
        <rFont val="Calibri"/>
        <family val="2"/>
        <charset val="186"/>
        <scheme val="minor"/>
      </rPr>
      <t xml:space="preserve"> </t>
    </r>
    <r>
      <rPr>
        <b/>
        <sz val="11"/>
        <color theme="1"/>
        <rFont val="Calibri"/>
        <family val="2"/>
        <charset val="186"/>
        <scheme val="minor"/>
      </rPr>
      <t xml:space="preserve">220,8 </t>
    </r>
    <r>
      <rPr>
        <sz val="11"/>
        <color theme="1"/>
        <rFont val="Calibri"/>
        <family val="2"/>
        <charset val="186"/>
        <scheme val="minor"/>
      </rPr>
      <t>MW would generate</t>
    </r>
    <r>
      <rPr>
        <strike/>
        <sz val="11"/>
        <color theme="1"/>
        <rFont val="Calibri"/>
        <family val="2"/>
        <charset val="186"/>
        <scheme val="minor"/>
      </rPr>
      <t xml:space="preserve"> 239</t>
    </r>
    <r>
      <rPr>
        <sz val="11"/>
        <color theme="1"/>
        <rFont val="Calibri"/>
        <family val="2"/>
        <charset val="186"/>
        <scheme val="minor"/>
      </rPr>
      <t xml:space="preserve"> </t>
    </r>
    <r>
      <rPr>
        <b/>
        <sz val="11"/>
        <color theme="1"/>
        <rFont val="Calibri"/>
        <family val="2"/>
        <charset val="186"/>
        <scheme val="minor"/>
      </rPr>
      <t>220,8</t>
    </r>
    <r>
      <rPr>
        <sz val="11"/>
        <color theme="1"/>
        <rFont val="Calibri"/>
        <family val="2"/>
        <charset val="186"/>
        <scheme val="minor"/>
      </rPr>
      <t>*1000=</t>
    </r>
    <r>
      <rPr>
        <strike/>
        <sz val="11"/>
        <color theme="1"/>
        <rFont val="Calibri"/>
        <family val="2"/>
        <charset val="186"/>
        <scheme val="minor"/>
      </rPr>
      <t>239000</t>
    </r>
    <r>
      <rPr>
        <sz val="11"/>
        <color theme="1"/>
        <rFont val="Calibri"/>
        <family val="2"/>
        <charset val="186"/>
        <scheme val="minor"/>
      </rPr>
      <t xml:space="preserve"> </t>
    </r>
    <r>
      <rPr>
        <b/>
        <sz val="11"/>
        <color theme="1"/>
        <rFont val="Calibri"/>
        <family val="2"/>
        <charset val="186"/>
        <scheme val="minor"/>
      </rPr>
      <t>220800</t>
    </r>
    <r>
      <rPr>
        <sz val="11"/>
        <color theme="1"/>
        <rFont val="Calibri"/>
        <family val="2"/>
        <charset val="186"/>
        <scheme val="minor"/>
      </rPr>
      <t xml:space="preserve"> MWh/year, CO2 will be  </t>
    </r>
    <r>
      <rPr>
        <strike/>
        <sz val="11"/>
        <color theme="1"/>
        <rFont val="Calibri"/>
        <family val="2"/>
        <charset val="186"/>
        <scheme val="minor"/>
      </rPr>
      <t>239000</t>
    </r>
    <r>
      <rPr>
        <sz val="11"/>
        <color theme="1"/>
        <rFont val="Calibri"/>
        <family val="2"/>
        <charset val="186"/>
        <scheme val="minor"/>
      </rPr>
      <t xml:space="preserve"> 220800 MWh/year x0,42 tCO2/MWh (electricity polution factor according to Technical Regulation of Buildings)  = </t>
    </r>
    <r>
      <rPr>
        <strike/>
        <sz val="11"/>
        <color theme="1"/>
        <rFont val="Calibri"/>
        <family val="2"/>
        <charset val="186"/>
        <scheme val="minor"/>
      </rPr>
      <t>100380</t>
    </r>
    <r>
      <rPr>
        <sz val="11"/>
        <color theme="1"/>
        <rFont val="Calibri"/>
        <family val="2"/>
        <charset val="186"/>
        <scheme val="minor"/>
      </rPr>
      <t xml:space="preserve"> </t>
    </r>
    <r>
      <rPr>
        <b/>
        <sz val="11"/>
        <color theme="1"/>
        <rFont val="Calibri"/>
        <family val="2"/>
        <charset val="186"/>
        <scheme val="minor"/>
      </rPr>
      <t>92736</t>
    </r>
    <r>
      <rPr>
        <sz val="11"/>
        <color theme="1"/>
        <rFont val="Calibri"/>
        <family val="2"/>
        <charset val="186"/>
        <scheme val="minor"/>
      </rPr>
      <t xml:space="preserve"> tCO2ekv./year. Target 2029: </t>
    </r>
    <r>
      <rPr>
        <strike/>
        <sz val="11"/>
        <color theme="1"/>
        <rFont val="Calibri"/>
        <family val="2"/>
        <charset val="186"/>
        <scheme val="minor"/>
      </rPr>
      <t>239000x0=</t>
    </r>
    <r>
      <rPr>
        <sz val="11"/>
        <color theme="1"/>
        <rFont val="Calibri"/>
        <family val="2"/>
        <charset val="186"/>
        <scheme val="minor"/>
      </rPr>
      <t>0, because solar energy pollution factor is 0.</t>
    </r>
  </si>
  <si>
    <t>Lithuania opted not to fund wind power plants for households and to use the funds for solar power plants. It is proposed to transfer funds to a new priority.</t>
  </si>
  <si>
    <t xml:space="preserve">Lithuania opted not to fund wind power plants for households and to use the funds for solar power plants. It is proposed to transfer funds to priority code 053. Reasons for not funding wind power plants: i) in case of remote power plants, there are legal difficulties for households to acquire a share because wind power plant is defined as real estate; as a result, notarized contracts would be necessary to acquire a share which would constitute a disproportionate legal burden; ii) in case of installing households' own wind power plants, in Ministry of Energy assessment, there would be no demand by the households. </t>
  </si>
  <si>
    <t>Justification for the proposed change 2024-04</t>
  </si>
  <si>
    <r>
      <t xml:space="preserve">Calculation of indicators based on the 50 percent of funding intensity to maintain the same financial model as in 2014-2020 OP  measure 04.3.2-LVPA-V-111  „Replacement of boilers in households“ (EU amount- 3.720.000 Eur +  co-financing rate (Eur.) - 3.720.000. Total - 7.440.000 Eur.).   We assume that administrative costs  </t>
    </r>
    <r>
      <rPr>
        <strike/>
        <sz val="11"/>
        <rFont val="Calibri"/>
        <family val="2"/>
        <charset val="186"/>
        <scheme val="minor"/>
      </rPr>
      <t>(4,11</t>
    </r>
    <r>
      <rPr>
        <sz val="11"/>
        <rFont val="Calibri"/>
        <family val="2"/>
        <charset val="186"/>
        <scheme val="minor"/>
      </rPr>
      <t xml:space="preserve"> </t>
    </r>
    <r>
      <rPr>
        <b/>
        <sz val="11"/>
        <rFont val="Calibri"/>
        <family val="2"/>
        <charset val="186"/>
        <scheme val="minor"/>
      </rPr>
      <t>5,11</t>
    </r>
    <r>
      <rPr>
        <sz val="11"/>
        <rFont val="Calibri"/>
        <family val="2"/>
        <charset val="186"/>
        <scheme val="minor"/>
      </rPr>
      <t xml:space="preserve"> percent) will be similar as for boilers' replacement projects administration  in 2014-2020 </t>
    </r>
    <r>
      <rPr>
        <b/>
        <sz val="11"/>
        <rFont val="Calibri"/>
        <family val="2"/>
        <charset val="186"/>
        <scheme val="minor"/>
      </rPr>
      <t>period</t>
    </r>
    <r>
      <rPr>
        <sz val="11"/>
        <rFont val="Calibri"/>
        <family val="2"/>
        <charset val="186"/>
        <scheme val="minor"/>
      </rPr>
      <t xml:space="preserve"> OP and those costs are not included in the calculation of indicators  (7.440.000-</t>
    </r>
    <r>
      <rPr>
        <b/>
        <sz val="11"/>
        <rFont val="Calibri"/>
        <family val="2"/>
        <charset val="186"/>
        <scheme val="minor"/>
      </rPr>
      <t>3.720.000) *</t>
    </r>
    <r>
      <rPr>
        <sz val="11"/>
        <rFont val="Calibri"/>
        <family val="2"/>
        <charset val="186"/>
        <scheme val="minor"/>
      </rPr>
      <t xml:space="preserve"> </t>
    </r>
    <r>
      <rPr>
        <strike/>
        <sz val="11"/>
        <rFont val="Calibri"/>
        <family val="2"/>
        <charset val="186"/>
        <scheme val="minor"/>
      </rPr>
      <t>4.11</t>
    </r>
    <r>
      <rPr>
        <sz val="11"/>
        <rFont val="Calibri"/>
        <family val="2"/>
        <charset val="186"/>
        <scheme val="minor"/>
      </rPr>
      <t xml:space="preserve"> </t>
    </r>
    <r>
      <rPr>
        <b/>
        <sz val="11"/>
        <rFont val="Calibri"/>
        <family val="2"/>
        <charset val="186"/>
        <scheme val="minor"/>
      </rPr>
      <t>5,11</t>
    </r>
    <r>
      <rPr>
        <sz val="11"/>
        <rFont val="Calibri"/>
        <family val="2"/>
        <charset val="186"/>
        <scheme val="minor"/>
      </rPr>
      <t xml:space="preserve"> percent= </t>
    </r>
    <r>
      <rPr>
        <strike/>
        <sz val="11"/>
        <rFont val="Calibri"/>
        <family val="2"/>
        <charset val="186"/>
        <scheme val="minor"/>
      </rPr>
      <t>7.134.216</t>
    </r>
    <r>
      <rPr>
        <sz val="11"/>
        <rFont val="Calibri"/>
        <family val="2"/>
        <charset val="186"/>
        <scheme val="minor"/>
      </rPr>
      <t xml:space="preserve"> </t>
    </r>
    <r>
      <rPr>
        <b/>
        <sz val="11"/>
        <rFont val="Calibri"/>
        <family val="2"/>
        <charset val="186"/>
        <scheme val="minor"/>
      </rPr>
      <t>190.092</t>
    </r>
    <r>
      <rPr>
        <sz val="11"/>
        <rFont val="Calibri"/>
        <family val="2"/>
        <charset val="186"/>
        <scheme val="minor"/>
      </rPr>
      <t xml:space="preserve"> Eur).  According to 2014-2020 OP implementation results, an average installed capacity of biomass boiler  for one household  reaches 19 kW with the price of </t>
    </r>
    <r>
      <rPr>
        <b/>
        <sz val="11"/>
        <rFont val="Calibri"/>
        <family val="2"/>
        <charset val="186"/>
        <scheme val="minor"/>
      </rPr>
      <t>3157,8</t>
    </r>
    <r>
      <rPr>
        <sz val="11"/>
        <rFont val="Calibri"/>
        <family val="2"/>
        <charset val="186"/>
        <scheme val="minor"/>
      </rPr>
      <t xml:space="preserve"> </t>
    </r>
    <r>
      <rPr>
        <strike/>
        <sz val="11"/>
        <rFont val="Calibri"/>
        <family val="2"/>
        <charset val="186"/>
        <scheme val="minor"/>
      </rPr>
      <t xml:space="preserve">3000 </t>
    </r>
    <r>
      <rPr>
        <sz val="11"/>
        <rFont val="Calibri"/>
        <family val="2"/>
        <charset val="186"/>
        <scheme val="minor"/>
      </rPr>
      <t xml:space="preserve"> eur (1kW=</t>
    </r>
    <r>
      <rPr>
        <strike/>
        <sz val="11"/>
        <rFont val="Calibri"/>
        <family val="2"/>
        <charset val="186"/>
        <scheme val="minor"/>
      </rPr>
      <t>150</t>
    </r>
    <r>
      <rPr>
        <sz val="11"/>
        <rFont val="Calibri"/>
        <family val="2"/>
        <charset val="186"/>
        <scheme val="minor"/>
      </rPr>
      <t xml:space="preserve"> </t>
    </r>
    <r>
      <rPr>
        <b/>
        <sz val="11"/>
        <rFont val="Calibri"/>
        <family val="2"/>
        <charset val="186"/>
        <scheme val="minor"/>
      </rPr>
      <t>166,2</t>
    </r>
    <r>
      <rPr>
        <sz val="11"/>
        <rFont val="Calibri"/>
        <family val="2"/>
        <charset val="186"/>
        <scheme val="minor"/>
      </rPr>
      <t xml:space="preserve"> eur according to flat rate study prepared by ESFA).  Then with the allocated investment </t>
    </r>
    <r>
      <rPr>
        <strike/>
        <sz val="11"/>
        <rFont val="Calibri"/>
        <family val="2"/>
        <charset val="186"/>
        <scheme val="minor"/>
      </rPr>
      <t>7.134.216 EUR /3.000=~2.378</t>
    </r>
    <r>
      <rPr>
        <b/>
        <sz val="11"/>
        <rFont val="Calibri"/>
        <family val="2"/>
        <charset val="186"/>
        <scheme val="minor"/>
      </rPr>
      <t xml:space="preserve"> (7.440.000-190.092)/3157=</t>
    </r>
    <r>
      <rPr>
        <sz val="11"/>
        <rFont val="Calibri"/>
        <family val="2"/>
        <charset val="186"/>
        <scheme val="minor"/>
      </rPr>
      <t xml:space="preserve"> </t>
    </r>
    <r>
      <rPr>
        <b/>
        <sz val="11"/>
        <rFont val="Calibri"/>
        <family val="2"/>
        <charset val="186"/>
        <scheme val="minor"/>
      </rPr>
      <t>2296</t>
    </r>
    <r>
      <rPr>
        <sz val="11"/>
        <rFont val="Calibri"/>
        <family val="2"/>
        <charset val="186"/>
        <scheme val="minor"/>
      </rPr>
      <t xml:space="preserve"> efficient biomass boilers would be installed whose total capacity will be (</t>
    </r>
    <r>
      <rPr>
        <b/>
        <sz val="11"/>
        <rFont val="Calibri"/>
        <family val="2"/>
        <charset val="186"/>
        <scheme val="minor"/>
      </rPr>
      <t>2296</t>
    </r>
    <r>
      <rPr>
        <sz val="11"/>
        <rFont val="Calibri"/>
        <family val="2"/>
        <charset val="186"/>
        <scheme val="minor"/>
      </rPr>
      <t xml:space="preserve"> </t>
    </r>
    <r>
      <rPr>
        <strike/>
        <sz val="11"/>
        <rFont val="Calibri"/>
        <family val="2"/>
        <charset val="186"/>
        <scheme val="minor"/>
      </rPr>
      <t>2378</t>
    </r>
    <r>
      <rPr>
        <sz val="11"/>
        <rFont val="Calibri"/>
        <family val="2"/>
        <charset val="186"/>
        <scheme val="minor"/>
      </rPr>
      <t>x19) kW/1000=~</t>
    </r>
    <r>
      <rPr>
        <strike/>
        <sz val="11"/>
        <rFont val="Calibri"/>
        <family val="2"/>
        <charset val="186"/>
        <scheme val="minor"/>
      </rPr>
      <t>45</t>
    </r>
    <r>
      <rPr>
        <sz val="11"/>
        <rFont val="Calibri"/>
        <family val="2"/>
        <charset val="186"/>
        <scheme val="minor"/>
      </rPr>
      <t xml:space="preserve"> </t>
    </r>
    <r>
      <rPr>
        <b/>
        <sz val="11"/>
        <rFont val="Calibri"/>
        <family val="2"/>
        <charset val="186"/>
        <scheme val="minor"/>
      </rPr>
      <t>43,6</t>
    </r>
    <r>
      <rPr>
        <sz val="11"/>
        <rFont val="Calibri"/>
        <family val="2"/>
        <charset val="186"/>
        <scheme val="minor"/>
      </rPr>
      <t xml:space="preserve"> MW.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
    </r>
    <r>
      <rPr>
        <strike/>
        <sz val="11"/>
        <rFont val="Calibri"/>
        <family val="2"/>
        <charset val="186"/>
        <scheme val="minor"/>
      </rPr>
      <t>the mid of</t>
    </r>
    <r>
      <rPr>
        <sz val="11"/>
        <rFont val="Calibri"/>
        <family val="2"/>
        <charset val="186"/>
        <scheme val="minor"/>
      </rPr>
      <t xml:space="preserve"> 2023. Therefore we assume that about 10 percent of funds will be invested by 2024, then milestone will be </t>
    </r>
    <r>
      <rPr>
        <b/>
        <sz val="11"/>
        <rFont val="Calibri"/>
        <family val="2"/>
        <charset val="186"/>
        <scheme val="minor"/>
      </rPr>
      <t>43,6</t>
    </r>
    <r>
      <rPr>
        <sz val="11"/>
        <rFont val="Calibri"/>
        <family val="2"/>
        <charset val="186"/>
        <scheme val="minor"/>
      </rPr>
      <t xml:space="preserve"> </t>
    </r>
    <r>
      <rPr>
        <strike/>
        <sz val="11"/>
        <rFont val="Calibri"/>
        <family val="2"/>
        <charset val="186"/>
        <scheme val="minor"/>
      </rPr>
      <t>45</t>
    </r>
    <r>
      <rPr>
        <sz val="11"/>
        <rFont val="Calibri"/>
        <family val="2"/>
        <charset val="186"/>
        <scheme val="minor"/>
      </rPr>
      <t>*x0,1=</t>
    </r>
    <r>
      <rPr>
        <sz val="11"/>
        <rFont val="Calibri"/>
        <family val="2"/>
        <charset val="186"/>
      </rPr>
      <t>~</t>
    </r>
    <r>
      <rPr>
        <strike/>
        <sz val="11"/>
        <rFont val="Calibri"/>
        <family val="2"/>
        <charset val="186"/>
        <scheme val="minor"/>
      </rPr>
      <t>5</t>
    </r>
    <r>
      <rPr>
        <sz val="11"/>
        <rFont val="Calibri"/>
        <family val="2"/>
        <charset val="186"/>
        <scheme val="minor"/>
      </rPr>
      <t xml:space="preserve"> </t>
    </r>
    <r>
      <rPr>
        <b/>
        <sz val="11"/>
        <rFont val="Calibri"/>
        <family val="2"/>
        <charset val="186"/>
        <scheme val="minor"/>
      </rPr>
      <t>4,36</t>
    </r>
    <r>
      <rPr>
        <sz val="11"/>
        <rFont val="Calibri"/>
        <family val="2"/>
        <charset val="186"/>
        <scheme val="minor"/>
      </rPr>
      <t xml:space="preserve"> MW.</t>
    </r>
  </si>
  <si>
    <r>
      <rPr>
        <u/>
        <sz val="11"/>
        <rFont val="Calibri"/>
        <family val="2"/>
        <charset val="186"/>
        <scheme val="minor"/>
      </rPr>
      <t>Baseline</t>
    </r>
    <r>
      <rPr>
        <sz val="11"/>
        <rFont val="Calibri"/>
        <family val="2"/>
        <charset val="186"/>
        <scheme val="minor"/>
      </rPr>
      <t xml:space="preserve">: According to data of </t>
    </r>
    <r>
      <rPr>
        <strike/>
        <sz val="11"/>
        <rFont val="Calibri"/>
        <family val="2"/>
        <charset val="186"/>
        <scheme val="minor"/>
      </rPr>
      <t>Lithuania's Climate Change Program</t>
    </r>
    <r>
      <rPr>
        <sz val="11"/>
        <rFont val="Calibri"/>
        <family val="2"/>
        <charset val="186"/>
        <scheme val="minor"/>
      </rPr>
      <t xml:space="preserve"> </t>
    </r>
    <r>
      <rPr>
        <b/>
        <sz val="11"/>
        <rFont val="Calibri"/>
        <family val="2"/>
        <charset val="186"/>
        <scheme val="minor"/>
      </rPr>
      <t xml:space="preserve">National heating and cooling study 2022,  2014-2020 OP implementation results, national methodologies and Commission decision (2013/114/EU) calculation recommendartions, </t>
    </r>
    <r>
      <rPr>
        <sz val="11"/>
        <rFont val="Calibri"/>
        <family val="2"/>
        <charset val="186"/>
        <scheme val="minor"/>
      </rPr>
      <t xml:space="preserve"> fossil fuel boiler consumes an average </t>
    </r>
    <r>
      <rPr>
        <strike/>
        <sz val="11"/>
        <rFont val="Calibri"/>
        <family val="2"/>
        <charset val="186"/>
        <scheme val="minor"/>
      </rPr>
      <t>5,7</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toe of </t>
    </r>
    <r>
      <rPr>
        <strike/>
        <sz val="11"/>
        <rFont val="Calibri"/>
        <family val="2"/>
        <charset val="186"/>
        <scheme val="minor"/>
      </rPr>
      <t>primary</t>
    </r>
    <r>
      <rPr>
        <sz val="11"/>
        <rFont val="Calibri"/>
        <family val="2"/>
        <charset val="186"/>
        <scheme val="minor"/>
      </rPr>
      <t xml:space="preserve"> </t>
    </r>
    <r>
      <rPr>
        <b/>
        <sz val="11"/>
        <rFont val="Calibri"/>
        <family val="2"/>
        <charset val="186"/>
        <scheme val="minor"/>
      </rPr>
      <t>final</t>
    </r>
    <r>
      <rPr>
        <sz val="11"/>
        <rFont val="Calibri"/>
        <family val="2"/>
        <charset val="186"/>
        <scheme val="minor"/>
      </rPr>
      <t xml:space="preserve"> energy or </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t>
    </r>
    <r>
      <rPr>
        <strike/>
        <sz val="11"/>
        <rFont val="Calibri"/>
        <family val="2"/>
        <charset val="186"/>
        <scheme val="minor"/>
      </rPr>
      <t xml:space="preserve">5,7 </t>
    </r>
    <r>
      <rPr>
        <b/>
        <sz val="11"/>
        <rFont val="Calibri"/>
        <family val="2"/>
        <charset val="186"/>
        <scheme val="minor"/>
      </rPr>
      <t>2,5</t>
    </r>
    <r>
      <rPr>
        <sz val="11"/>
        <rFont val="Calibri"/>
        <family val="2"/>
        <charset val="186"/>
        <scheme val="minor"/>
      </rPr>
      <t>x11,628=</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where 1 toe = 11,628 MWh  (conversion factor). </t>
    </r>
    <r>
      <rPr>
        <strike/>
        <sz val="11"/>
        <rFont val="Calibri"/>
        <family val="2"/>
        <charset val="186"/>
        <scheme val="minor"/>
      </rPr>
      <t>2378</t>
    </r>
    <r>
      <rPr>
        <sz val="11"/>
        <rFont val="Calibri"/>
        <family val="2"/>
        <charset val="186"/>
        <scheme val="minor"/>
      </rPr>
      <t xml:space="preserve">   </t>
    </r>
    <r>
      <rPr>
        <b/>
        <sz val="11"/>
        <rFont val="Calibri"/>
        <family val="2"/>
        <charset val="186"/>
        <scheme val="minor"/>
      </rPr>
      <t xml:space="preserve">2296 </t>
    </r>
    <r>
      <rPr>
        <sz val="11"/>
        <rFont val="Calibri"/>
        <family val="2"/>
        <charset val="186"/>
        <scheme val="minor"/>
      </rPr>
      <t xml:space="preserve">boilers consume </t>
    </r>
    <r>
      <rPr>
        <b/>
        <sz val="11"/>
        <rFont val="Calibri"/>
        <family val="2"/>
        <charset val="186"/>
        <scheme val="minor"/>
      </rPr>
      <t>2296</t>
    </r>
    <r>
      <rPr>
        <sz val="11"/>
        <rFont val="Calibri"/>
        <family val="2"/>
        <charset val="186"/>
        <scheme val="minor"/>
      </rPr>
      <t xml:space="preserve"> </t>
    </r>
    <r>
      <rPr>
        <strike/>
        <sz val="11"/>
        <rFont val="Calibri"/>
        <family val="2"/>
        <charset val="186"/>
        <scheme val="minor"/>
      </rPr>
      <t>2378</t>
    </r>
    <r>
      <rPr>
        <sz val="11"/>
        <rFont val="Calibri"/>
        <family val="2"/>
        <charset val="186"/>
        <scheme val="minor"/>
      </rPr>
      <t>x</t>
    </r>
    <r>
      <rPr>
        <b/>
        <sz val="11"/>
        <rFont val="Calibri"/>
        <family val="2"/>
        <charset val="186"/>
        <scheme val="minor"/>
      </rPr>
      <t>29,07</t>
    </r>
    <r>
      <rPr>
        <sz val="11"/>
        <rFont val="Calibri"/>
        <family val="2"/>
        <charset val="186"/>
        <scheme val="minor"/>
      </rPr>
      <t xml:space="preserve"> </t>
    </r>
    <r>
      <rPr>
        <strike/>
        <sz val="11"/>
        <rFont val="Calibri"/>
        <family val="2"/>
        <charset val="186"/>
        <scheme val="minor"/>
      </rPr>
      <t>66,28</t>
    </r>
    <r>
      <rPr>
        <sz val="11"/>
        <rFont val="Calibri"/>
        <family val="2"/>
        <charset val="186"/>
        <scheme val="minor"/>
      </rPr>
      <t xml:space="preserve"> =~ </t>
    </r>
    <r>
      <rPr>
        <strike/>
        <sz val="11"/>
        <rFont val="Calibri"/>
        <family val="2"/>
        <charset val="186"/>
        <scheme val="minor"/>
      </rPr>
      <t>157614</t>
    </r>
    <r>
      <rPr>
        <sz val="11"/>
        <rFont val="Calibri"/>
        <family val="2"/>
        <charset val="186"/>
        <scheme val="minor"/>
      </rPr>
      <t xml:space="preserve"> </t>
    </r>
    <r>
      <rPr>
        <b/>
        <sz val="11"/>
        <rFont val="Calibri"/>
        <family val="2"/>
        <charset val="186"/>
        <scheme val="minor"/>
      </rPr>
      <t xml:space="preserve">66745 </t>
    </r>
    <r>
      <rPr>
        <sz val="11"/>
        <rFont val="Calibri"/>
        <family val="2"/>
        <charset val="186"/>
        <scheme val="minor"/>
      </rPr>
      <t xml:space="preserve">MWh/year </t>
    </r>
    <r>
      <rPr>
        <strike/>
        <sz val="11"/>
        <rFont val="Calibri"/>
        <family val="2"/>
        <charset val="186"/>
        <scheme val="minor"/>
      </rPr>
      <t>primary</t>
    </r>
    <r>
      <rPr>
        <sz val="11"/>
        <rFont val="Calibri"/>
        <family val="2"/>
        <charset val="186"/>
        <scheme val="minor"/>
      </rPr>
      <t xml:space="preserve"> </t>
    </r>
    <r>
      <rPr>
        <b/>
        <sz val="11"/>
        <rFont val="Calibri"/>
        <family val="2"/>
        <charset val="186"/>
        <scheme val="minor"/>
      </rPr>
      <t xml:space="preserve">final </t>
    </r>
    <r>
      <rPr>
        <sz val="11"/>
        <rFont val="Calibri"/>
        <family val="2"/>
        <charset val="186"/>
        <scheme val="minor"/>
      </rPr>
      <t xml:space="preserve">energy and CO2 will be </t>
    </r>
    <r>
      <rPr>
        <strike/>
        <sz val="11"/>
        <rFont val="Calibri"/>
        <family val="2"/>
        <charset val="186"/>
        <scheme val="minor"/>
      </rPr>
      <t xml:space="preserve">157614MWh/metus x 0,36 tCO2/MWht= </t>
    </r>
    <r>
      <rPr>
        <b/>
        <strike/>
        <sz val="11"/>
        <rFont val="Calibri"/>
        <family val="2"/>
        <charset val="186"/>
        <scheme val="minor"/>
      </rPr>
      <t>56741</t>
    </r>
    <r>
      <rPr>
        <b/>
        <sz val="11"/>
        <rFont val="Calibri"/>
        <family val="2"/>
        <charset val="186"/>
        <scheme val="minor"/>
      </rPr>
      <t xml:space="preserve"> 20891 tCO2 ekv. /year</t>
    </r>
    <r>
      <rPr>
        <sz val="11"/>
        <rFont val="Calibri"/>
        <family val="2"/>
        <charset val="186"/>
        <scheme val="minor"/>
      </rPr>
      <t xml:space="preserve"> (where  </t>
    </r>
    <r>
      <rPr>
        <b/>
        <sz val="11"/>
        <rFont val="Calibri"/>
        <family val="2"/>
        <charset val="186"/>
        <scheme val="minor"/>
      </rPr>
      <t>66745*0,313=20891, and</t>
    </r>
    <r>
      <rPr>
        <sz val="11"/>
        <rFont val="Calibri"/>
        <family val="2"/>
        <charset val="186"/>
        <scheme val="minor"/>
      </rPr>
      <t xml:space="preserve"> </t>
    </r>
    <r>
      <rPr>
        <strike/>
        <sz val="11"/>
        <rFont val="Calibri"/>
        <family val="2"/>
        <charset val="186"/>
        <scheme val="minor"/>
      </rPr>
      <t xml:space="preserve">0,36 </t>
    </r>
    <r>
      <rPr>
        <sz val="11"/>
        <rFont val="Calibri"/>
        <family val="2"/>
        <charset val="186"/>
        <scheme val="minor"/>
      </rPr>
      <t xml:space="preserve"> </t>
    </r>
    <r>
      <rPr>
        <b/>
        <sz val="11"/>
        <rFont val="Calibri"/>
        <family val="2"/>
        <charset val="186"/>
        <scheme val="minor"/>
      </rPr>
      <t>0,313</t>
    </r>
    <r>
      <rPr>
        <sz val="11"/>
        <rFont val="Calibri"/>
        <family val="2"/>
        <charset val="186"/>
        <scheme val="minor"/>
      </rPr>
      <t xml:space="preserve"> tCO2/MWh - </t>
    </r>
    <r>
      <rPr>
        <b/>
        <sz val="11"/>
        <rFont val="Calibri"/>
        <family val="2"/>
        <charset val="186"/>
        <scheme val="minor"/>
      </rPr>
      <t>average</t>
    </r>
    <r>
      <rPr>
        <sz val="11"/>
        <rFont val="Calibri"/>
        <family val="2"/>
        <charset val="186"/>
        <scheme val="minor"/>
      </rPr>
      <t xml:space="preserve"> pollution factor for fossil fuel,</t>
    </r>
    <r>
      <rPr>
        <b/>
        <sz val="11"/>
        <rFont val="Calibri"/>
        <family val="2"/>
        <charset val="186"/>
        <scheme val="minor"/>
      </rPr>
      <t>according to</t>
    </r>
    <r>
      <rPr>
        <sz val="11"/>
        <rFont val="Calibri"/>
        <family val="2"/>
        <charset val="186"/>
        <scheme val="minor"/>
      </rPr>
      <t xml:space="preserve"> Technical Regulation of Construction (Ministry of Environment)). </t>
    </r>
    <r>
      <rPr>
        <u/>
        <sz val="11"/>
        <rFont val="Calibri"/>
        <family val="2"/>
        <charset val="186"/>
        <scheme val="minor"/>
      </rPr>
      <t>Target 2029 calculation</t>
    </r>
    <r>
      <rPr>
        <sz val="11"/>
        <rFont val="Calibri"/>
        <family val="2"/>
        <charset val="186"/>
        <scheme val="minor"/>
      </rPr>
      <t xml:space="preserve">: efficient biomass boiler consumes until 2 times less energy </t>
    </r>
    <r>
      <rPr>
        <b/>
        <sz val="11"/>
        <rFont val="Calibri"/>
        <family val="2"/>
        <charset val="186"/>
        <scheme val="minor"/>
      </rPr>
      <t xml:space="preserve">(average 30 % less) </t>
    </r>
    <r>
      <rPr>
        <sz val="11"/>
        <rFont val="Calibri"/>
        <family val="2"/>
        <charset val="186"/>
        <scheme val="minor"/>
      </rPr>
      <t xml:space="preserve"> </t>
    </r>
    <r>
      <rPr>
        <b/>
        <sz val="11"/>
        <rFont val="Calibri"/>
        <family val="2"/>
        <charset val="186"/>
        <scheme val="minor"/>
      </rPr>
      <t>1,75</t>
    </r>
    <r>
      <rPr>
        <sz val="11"/>
        <rFont val="Calibri"/>
        <family val="2"/>
        <charset val="186"/>
        <scheme val="minor"/>
      </rPr>
      <t xml:space="preserve"> </t>
    </r>
    <r>
      <rPr>
        <strike/>
        <sz val="11"/>
        <rFont val="Calibri"/>
        <family val="2"/>
        <charset val="186"/>
        <scheme val="minor"/>
      </rPr>
      <t>2,8</t>
    </r>
    <r>
      <rPr>
        <sz val="11"/>
        <rFont val="Calibri"/>
        <family val="2"/>
        <charset val="186"/>
        <scheme val="minor"/>
      </rPr>
      <t xml:space="preserve">toe or </t>
    </r>
    <r>
      <rPr>
        <b/>
        <sz val="11"/>
        <rFont val="Calibri"/>
        <family val="2"/>
        <charset val="186"/>
        <scheme val="minor"/>
      </rPr>
      <t>1,75</t>
    </r>
    <r>
      <rPr>
        <sz val="11"/>
        <rFont val="Calibri"/>
        <family val="2"/>
        <charset val="186"/>
        <scheme val="minor"/>
      </rPr>
      <t xml:space="preserve"> </t>
    </r>
    <r>
      <rPr>
        <strike/>
        <sz val="11"/>
        <rFont val="Calibri"/>
        <family val="2"/>
        <charset val="186"/>
        <scheme val="minor"/>
      </rPr>
      <t>2,85</t>
    </r>
    <r>
      <rPr>
        <sz val="11"/>
        <rFont val="Calibri"/>
        <family val="2"/>
        <charset val="186"/>
        <scheme val="minor"/>
      </rPr>
      <t>x11,628=</t>
    </r>
    <r>
      <rPr>
        <strike/>
        <sz val="11"/>
        <rFont val="Calibri"/>
        <family val="2"/>
        <charset val="186"/>
        <scheme val="minor"/>
      </rPr>
      <t>33,14</t>
    </r>
    <r>
      <rPr>
        <sz val="11"/>
        <rFont val="Calibri"/>
        <family val="2"/>
        <charset val="186"/>
        <scheme val="minor"/>
      </rPr>
      <t xml:space="preserve">  </t>
    </r>
    <r>
      <rPr>
        <b/>
        <sz val="11"/>
        <rFont val="Calibri"/>
        <family val="2"/>
        <charset val="186"/>
        <scheme val="minor"/>
      </rPr>
      <t>20,349</t>
    </r>
    <r>
      <rPr>
        <sz val="11"/>
        <rFont val="Calibri"/>
        <family val="2"/>
        <charset val="186"/>
        <scheme val="minor"/>
      </rPr>
      <t xml:space="preserve"> MWh.  </t>
    </r>
    <r>
      <rPr>
        <strike/>
        <sz val="11"/>
        <rFont val="Calibri"/>
        <family val="2"/>
        <charset val="186"/>
        <scheme val="minor"/>
      </rPr>
      <t>2378</t>
    </r>
    <r>
      <rPr>
        <sz val="11"/>
        <rFont val="Calibri"/>
        <family val="2"/>
        <charset val="186"/>
        <scheme val="minor"/>
      </rPr>
      <t xml:space="preserve"> </t>
    </r>
    <r>
      <rPr>
        <b/>
        <sz val="11"/>
        <rFont val="Calibri"/>
        <family val="2"/>
        <charset val="186"/>
        <scheme val="minor"/>
      </rPr>
      <t>2296</t>
    </r>
    <r>
      <rPr>
        <sz val="11"/>
        <rFont val="Calibri"/>
        <family val="2"/>
        <charset val="186"/>
        <scheme val="minor"/>
      </rPr>
      <t xml:space="preserve"> biomass boilers consume </t>
    </r>
    <r>
      <rPr>
        <b/>
        <sz val="11"/>
        <rFont val="Calibri"/>
        <family val="2"/>
        <charset val="186"/>
        <scheme val="minor"/>
      </rPr>
      <t>46 721</t>
    </r>
    <r>
      <rPr>
        <sz val="11"/>
        <rFont val="Calibri"/>
        <family val="2"/>
        <charset val="186"/>
        <scheme val="minor"/>
      </rPr>
      <t xml:space="preserve">  </t>
    </r>
    <r>
      <rPr>
        <strike/>
        <sz val="11"/>
        <rFont val="Calibri"/>
        <family val="2"/>
        <charset val="186"/>
        <scheme val="minor"/>
      </rPr>
      <t>2378x33,14=~ 78807</t>
    </r>
    <r>
      <rPr>
        <sz val="11"/>
        <rFont val="Calibri"/>
        <family val="2"/>
        <charset val="186"/>
        <scheme val="minor"/>
      </rPr>
      <t>MWh/year</t>
    </r>
    <r>
      <rPr>
        <b/>
        <sz val="11"/>
        <rFont val="Calibri"/>
        <family val="2"/>
        <charset val="186"/>
        <scheme val="minor"/>
      </rPr>
      <t xml:space="preserve"> (20,349 MWh*2296=46721 MWh)</t>
    </r>
    <r>
      <rPr>
        <sz val="11"/>
        <rFont val="Calibri"/>
        <family val="2"/>
        <charset val="186"/>
        <scheme val="minor"/>
      </rPr>
      <t xml:space="preserve">. CO2 will be ~ </t>
    </r>
    <r>
      <rPr>
        <strike/>
        <sz val="11"/>
        <rFont val="Calibri"/>
        <family val="2"/>
        <charset val="186"/>
        <scheme val="minor"/>
      </rPr>
      <t>78807</t>
    </r>
    <r>
      <rPr>
        <sz val="11"/>
        <rFont val="Calibri"/>
        <family val="2"/>
        <charset val="186"/>
        <scheme val="minor"/>
      </rPr>
      <t xml:space="preserve"> </t>
    </r>
    <r>
      <rPr>
        <b/>
        <sz val="11"/>
        <rFont val="Calibri"/>
        <family val="2"/>
        <charset val="186"/>
        <scheme val="minor"/>
      </rPr>
      <t>46 721</t>
    </r>
    <r>
      <rPr>
        <sz val="11"/>
        <rFont val="Calibri"/>
        <family val="2"/>
        <charset val="186"/>
        <scheme val="minor"/>
      </rPr>
      <t xml:space="preserve"> MWh/year x 0,04 tCO2/MWh (pollution factor for biomass according to TRC, MInistry of Environment)  = </t>
    </r>
    <r>
      <rPr>
        <b/>
        <strike/>
        <sz val="11"/>
        <rFont val="Calibri"/>
        <family val="2"/>
        <charset val="186"/>
        <scheme val="minor"/>
      </rPr>
      <t>3152</t>
    </r>
    <r>
      <rPr>
        <b/>
        <sz val="11"/>
        <rFont val="Calibri"/>
        <family val="2"/>
        <charset val="186"/>
        <scheme val="minor"/>
      </rPr>
      <t xml:space="preserve"> 1869 tCO2 ekv. /year.</t>
    </r>
  </si>
  <si>
    <r>
      <t>Calculation of indicators based on the 50 percent of funding intensity to maintain the same financial model as in 2014-2020 OP  measure 04.3.2-LVPA-V-111  „Replacement of boilers in households“ (EU amount- 14.880.000 Eur +  co-financing rate (Eur.) - 14.880.000. Total - 29.760.000 Eur.).  We assume that administrative costs (</t>
    </r>
    <r>
      <rPr>
        <b/>
        <sz val="11"/>
        <rFont val="Calibri"/>
        <family val="2"/>
        <charset val="186"/>
        <scheme val="minor"/>
      </rPr>
      <t>5,11</t>
    </r>
    <r>
      <rPr>
        <sz val="11"/>
        <rFont val="Calibri"/>
        <family val="2"/>
        <charset val="186"/>
        <scheme val="minor"/>
      </rPr>
      <t xml:space="preserve"> </t>
    </r>
    <r>
      <rPr>
        <strike/>
        <sz val="11"/>
        <rFont val="Calibri"/>
        <family val="2"/>
        <charset val="186"/>
        <scheme val="minor"/>
      </rPr>
      <t>4,11 percent</t>
    </r>
    <r>
      <rPr>
        <sz val="11"/>
        <rFont val="Calibri"/>
        <family val="2"/>
        <charset val="186"/>
        <scheme val="minor"/>
      </rPr>
      <t xml:space="preserve">) will be  similar as for boilers' replacement projects administration  in 2014-2020 OP </t>
    </r>
    <r>
      <rPr>
        <b/>
        <sz val="11"/>
        <rFont val="Calibri"/>
        <family val="2"/>
        <charset val="186"/>
        <scheme val="minor"/>
      </rPr>
      <t>period</t>
    </r>
    <r>
      <rPr>
        <sz val="11"/>
        <rFont val="Calibri"/>
        <family val="2"/>
        <charset val="186"/>
        <scheme val="minor"/>
      </rPr>
      <t xml:space="preserve"> and those costs are not included in the calculation of indicators (29.760.000-</t>
    </r>
    <r>
      <rPr>
        <b/>
        <sz val="11"/>
        <rFont val="Calibri"/>
        <family val="2"/>
        <charset val="186"/>
        <scheme val="minor"/>
      </rPr>
      <t>14.880.000)*</t>
    </r>
    <r>
      <rPr>
        <sz val="11"/>
        <rFont val="Calibri"/>
        <family val="2"/>
        <charset val="186"/>
        <scheme val="minor"/>
      </rPr>
      <t xml:space="preserve"> </t>
    </r>
    <r>
      <rPr>
        <strike/>
        <sz val="11"/>
        <rFont val="Calibri"/>
        <family val="2"/>
        <charset val="186"/>
        <scheme val="minor"/>
      </rPr>
      <t>4.11</t>
    </r>
    <r>
      <rPr>
        <sz val="11"/>
        <rFont val="Calibri"/>
        <family val="2"/>
        <charset val="186"/>
        <scheme val="minor"/>
      </rPr>
      <t xml:space="preserve"> </t>
    </r>
    <r>
      <rPr>
        <b/>
        <sz val="11"/>
        <rFont val="Calibri"/>
        <family val="2"/>
        <charset val="186"/>
        <scheme val="minor"/>
      </rPr>
      <t xml:space="preserve">5,11 </t>
    </r>
    <r>
      <rPr>
        <sz val="11"/>
        <rFont val="Calibri"/>
        <family val="2"/>
        <charset val="186"/>
        <scheme val="minor"/>
      </rPr>
      <t xml:space="preserve">percent= </t>
    </r>
    <r>
      <rPr>
        <strike/>
        <sz val="11"/>
        <rFont val="Calibri"/>
        <family val="2"/>
        <charset val="186"/>
        <scheme val="minor"/>
      </rPr>
      <t>28.536.864</t>
    </r>
    <r>
      <rPr>
        <sz val="11"/>
        <rFont val="Calibri"/>
        <family val="2"/>
        <charset val="186"/>
        <scheme val="minor"/>
      </rPr>
      <t xml:space="preserve"> </t>
    </r>
    <r>
      <rPr>
        <b/>
        <sz val="11"/>
        <rFont val="Calibri"/>
        <family val="2"/>
        <charset val="186"/>
        <scheme val="minor"/>
      </rPr>
      <t>760 368</t>
    </r>
    <r>
      <rPr>
        <sz val="11"/>
        <rFont val="Calibri"/>
        <family val="2"/>
        <charset val="186"/>
        <scheme val="minor"/>
      </rPr>
      <t xml:space="preserve"> Eur).  According to 2014-2020 OP implementation results, an average installed capacity of heat pump  for one household  reaches </t>
    </r>
    <r>
      <rPr>
        <strike/>
        <sz val="11"/>
        <rFont val="Calibri"/>
        <family val="2"/>
        <charset val="186"/>
        <scheme val="minor"/>
      </rPr>
      <t>9</t>
    </r>
    <r>
      <rPr>
        <sz val="11"/>
        <rFont val="Calibri"/>
        <family val="2"/>
        <charset val="186"/>
        <scheme val="minor"/>
      </rPr>
      <t xml:space="preserve"> </t>
    </r>
    <r>
      <rPr>
        <b/>
        <sz val="11"/>
        <rFont val="Calibri"/>
        <family val="2"/>
        <charset val="186"/>
        <scheme val="minor"/>
      </rPr>
      <t xml:space="preserve">10 </t>
    </r>
    <r>
      <rPr>
        <sz val="11"/>
        <rFont val="Calibri"/>
        <family val="2"/>
        <charset val="186"/>
        <scheme val="minor"/>
      </rPr>
      <t xml:space="preserve">kW with the price of </t>
    </r>
    <r>
      <rPr>
        <b/>
        <sz val="11"/>
        <rFont val="Calibri"/>
        <family val="2"/>
        <charset val="186"/>
        <scheme val="minor"/>
      </rPr>
      <t xml:space="preserve">7332,8 </t>
    </r>
    <r>
      <rPr>
        <strike/>
        <sz val="11"/>
        <rFont val="Calibri"/>
        <family val="2"/>
        <charset val="186"/>
        <scheme val="minor"/>
      </rPr>
      <t xml:space="preserve"> 6000</t>
    </r>
    <r>
      <rPr>
        <sz val="11"/>
        <rFont val="Calibri"/>
        <family val="2"/>
        <charset val="186"/>
        <scheme val="minor"/>
      </rPr>
      <t xml:space="preserve"> eur (1kW=</t>
    </r>
    <r>
      <rPr>
        <b/>
        <sz val="11"/>
        <rFont val="Calibri"/>
        <family val="2"/>
        <charset val="186"/>
        <scheme val="minor"/>
      </rPr>
      <t>733,28</t>
    </r>
    <r>
      <rPr>
        <sz val="11"/>
        <rFont val="Calibri"/>
        <family val="2"/>
        <charset val="186"/>
        <scheme val="minor"/>
      </rPr>
      <t xml:space="preserve">  </t>
    </r>
    <r>
      <rPr>
        <strike/>
        <sz val="11"/>
        <rFont val="Calibri"/>
        <family val="2"/>
        <charset val="186"/>
        <scheme val="minor"/>
      </rPr>
      <t>6000</t>
    </r>
    <r>
      <rPr>
        <sz val="11"/>
        <rFont val="Calibri"/>
        <family val="2"/>
        <charset val="186"/>
        <scheme val="minor"/>
      </rPr>
      <t xml:space="preserve"> eur according to flat rate study prepared by ESFA). </t>
    </r>
    <r>
      <rPr>
        <strike/>
        <sz val="11"/>
        <rFont val="Calibri"/>
        <family val="2"/>
        <charset val="186"/>
        <scheme val="minor"/>
      </rPr>
      <t xml:space="preserve"> </t>
    </r>
    <r>
      <rPr>
        <sz val="11"/>
        <rFont val="Calibri"/>
        <family val="2"/>
        <charset val="186"/>
        <scheme val="minor"/>
      </rPr>
      <t xml:space="preserve">Then with the allocated investment </t>
    </r>
    <r>
      <rPr>
        <strike/>
        <sz val="11"/>
        <rFont val="Calibri"/>
        <family val="2"/>
        <charset val="186"/>
        <scheme val="minor"/>
      </rPr>
      <t>28.536.864</t>
    </r>
    <r>
      <rPr>
        <sz val="11"/>
        <rFont val="Calibri"/>
        <family val="2"/>
        <charset val="186"/>
        <scheme val="minor"/>
      </rPr>
      <t xml:space="preserve"> </t>
    </r>
    <r>
      <rPr>
        <b/>
        <sz val="11"/>
        <rFont val="Calibri"/>
        <family val="2"/>
        <charset val="186"/>
        <scheme val="minor"/>
      </rPr>
      <t>28.999.632</t>
    </r>
    <r>
      <rPr>
        <sz val="11"/>
        <rFont val="Calibri"/>
        <family val="2"/>
        <charset val="186"/>
        <scheme val="minor"/>
      </rPr>
      <t xml:space="preserve"> /</t>
    </r>
    <r>
      <rPr>
        <b/>
        <sz val="11"/>
        <rFont val="Calibri"/>
        <family val="2"/>
        <charset val="186"/>
        <scheme val="minor"/>
      </rPr>
      <t>7332,8</t>
    </r>
    <r>
      <rPr>
        <sz val="11"/>
        <rFont val="Calibri"/>
        <family val="2"/>
        <charset val="186"/>
        <scheme val="minor"/>
      </rPr>
      <t xml:space="preserve"> </t>
    </r>
    <r>
      <rPr>
        <strike/>
        <sz val="11"/>
        <rFont val="Calibri"/>
        <family val="2"/>
        <charset val="186"/>
        <scheme val="minor"/>
      </rPr>
      <t>6.000</t>
    </r>
    <r>
      <rPr>
        <sz val="11"/>
        <rFont val="Calibri"/>
        <family val="2"/>
        <charset val="186"/>
        <scheme val="minor"/>
      </rPr>
      <t>=~</t>
    </r>
    <r>
      <rPr>
        <strike/>
        <sz val="11"/>
        <rFont val="Calibri"/>
        <family val="2"/>
        <charset val="186"/>
        <scheme val="minor"/>
      </rPr>
      <t>4.756</t>
    </r>
    <r>
      <rPr>
        <b/>
        <sz val="11"/>
        <rFont val="Calibri"/>
        <family val="2"/>
        <charset val="186"/>
        <scheme val="minor"/>
      </rPr>
      <t xml:space="preserve"> 3955</t>
    </r>
    <r>
      <rPr>
        <sz val="11"/>
        <rFont val="Calibri"/>
        <family val="2"/>
        <charset val="186"/>
        <scheme val="minor"/>
      </rPr>
      <t xml:space="preserve"> heat pumps would be installed whose capacity will be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4.756</t>
    </r>
    <r>
      <rPr>
        <sz val="11"/>
        <rFont val="Calibri"/>
        <family val="2"/>
        <charset val="186"/>
        <scheme val="minor"/>
      </rPr>
      <t>x</t>
    </r>
    <r>
      <rPr>
        <strike/>
        <sz val="11"/>
        <rFont val="Calibri"/>
        <family val="2"/>
        <charset val="186"/>
        <scheme val="minor"/>
      </rPr>
      <t>9</t>
    </r>
    <r>
      <rPr>
        <sz val="11"/>
        <rFont val="Calibri"/>
        <family val="2"/>
        <charset val="186"/>
        <scheme val="minor"/>
      </rPr>
      <t xml:space="preserve"> </t>
    </r>
    <r>
      <rPr>
        <b/>
        <sz val="11"/>
        <rFont val="Calibri"/>
        <family val="2"/>
        <charset val="186"/>
        <scheme val="minor"/>
      </rPr>
      <t>10</t>
    </r>
    <r>
      <rPr>
        <sz val="11"/>
        <rFont val="Calibri"/>
        <family val="2"/>
        <charset val="186"/>
        <scheme val="minor"/>
      </rPr>
      <t xml:space="preserve"> kW/1.000=~</t>
    </r>
    <r>
      <rPr>
        <strike/>
        <sz val="11"/>
        <rFont val="Calibri"/>
        <family val="2"/>
        <charset val="186"/>
        <scheme val="minor"/>
      </rPr>
      <t>43</t>
    </r>
    <r>
      <rPr>
        <sz val="11"/>
        <rFont val="Calibri"/>
        <family val="2"/>
        <charset val="186"/>
        <scheme val="minor"/>
      </rPr>
      <t xml:space="preserve"> </t>
    </r>
    <r>
      <rPr>
        <b/>
        <sz val="11"/>
        <rFont val="Calibri"/>
        <family val="2"/>
        <charset val="186"/>
        <scheme val="minor"/>
      </rPr>
      <t xml:space="preserve">39,55 </t>
    </r>
    <r>
      <rPr>
        <sz val="11"/>
        <rFont val="Calibri"/>
        <family val="2"/>
        <charset val="186"/>
        <scheme val="minor"/>
      </rPr>
      <t xml:space="preserve">MW.  Action's implementation will be based on the joint projects' developer model ("umbrella" model): firstly,  the joint projects' developer will be selected and only then calls for households will be organized. Preliminary,  the first call for households could be organized in 2023 and first  investments to the projects will start approx. in </t>
    </r>
    <r>
      <rPr>
        <strike/>
        <sz val="11"/>
        <rFont val="Calibri"/>
        <family val="2"/>
        <charset val="186"/>
        <scheme val="minor"/>
      </rPr>
      <t xml:space="preserve">the mid of </t>
    </r>
    <r>
      <rPr>
        <sz val="11"/>
        <rFont val="Calibri"/>
        <family val="2"/>
        <charset val="186"/>
        <scheme val="minor"/>
      </rPr>
      <t xml:space="preserve">2023. Therefore we assume that about 10 percent of funds will be invested by 2024, then milestone will be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43</t>
    </r>
    <r>
      <rPr>
        <sz val="11"/>
        <rFont val="Calibri"/>
        <family val="2"/>
        <charset val="186"/>
        <scheme val="minor"/>
      </rPr>
      <t>*x0,1=~</t>
    </r>
    <r>
      <rPr>
        <strike/>
        <sz val="11"/>
        <rFont val="Calibri"/>
        <family val="2"/>
        <charset val="186"/>
        <scheme val="minor"/>
      </rPr>
      <t>4</t>
    </r>
    <r>
      <rPr>
        <sz val="11"/>
        <rFont val="Calibri"/>
        <family val="2"/>
        <charset val="186"/>
        <scheme val="minor"/>
      </rPr>
      <t xml:space="preserve"> </t>
    </r>
    <r>
      <rPr>
        <b/>
        <sz val="11"/>
        <rFont val="Calibri"/>
        <family val="2"/>
        <charset val="186"/>
        <scheme val="minor"/>
      </rPr>
      <t>3,9</t>
    </r>
    <r>
      <rPr>
        <sz val="11"/>
        <rFont val="Calibri"/>
        <family val="2"/>
        <charset val="186"/>
        <scheme val="minor"/>
      </rPr>
      <t xml:space="preserve"> MW.</t>
    </r>
  </si>
  <si>
    <r>
      <rPr>
        <u/>
        <sz val="11"/>
        <rFont val="Calibri"/>
        <family val="2"/>
        <charset val="186"/>
        <scheme val="minor"/>
      </rPr>
      <t>Baseline</t>
    </r>
    <r>
      <rPr>
        <sz val="11"/>
        <rFont val="Calibri"/>
        <family val="2"/>
        <charset val="186"/>
        <scheme val="minor"/>
      </rPr>
      <t xml:space="preserve">: According to </t>
    </r>
    <r>
      <rPr>
        <b/>
        <sz val="11"/>
        <rFont val="Calibri"/>
        <family val="2"/>
        <charset val="186"/>
        <scheme val="minor"/>
      </rPr>
      <t>National heating and cooling study 2022,  2014-2020 OP implementation results, national methodologies and Commission decision (2013/114/EU) calculation recommendartions</t>
    </r>
    <r>
      <rPr>
        <sz val="11"/>
        <rFont val="Calibri"/>
        <family val="2"/>
        <charset val="186"/>
        <scheme val="minor"/>
      </rPr>
      <t>,</t>
    </r>
    <r>
      <rPr>
        <strike/>
        <sz val="11"/>
        <rFont val="Calibri"/>
        <family val="2"/>
        <charset val="186"/>
        <scheme val="minor"/>
      </rPr>
      <t xml:space="preserve"> Lithuania's Climate Change Program data</t>
    </r>
    <r>
      <rPr>
        <sz val="11"/>
        <rFont val="Calibri"/>
        <family val="2"/>
        <charset val="186"/>
        <scheme val="minor"/>
      </rPr>
      <t xml:space="preserve"> </t>
    </r>
    <r>
      <rPr>
        <b/>
        <sz val="11"/>
        <rFont val="Calibri"/>
        <family val="2"/>
        <charset val="186"/>
        <scheme val="minor"/>
      </rPr>
      <t>inneficient</t>
    </r>
    <r>
      <rPr>
        <sz val="11"/>
        <rFont val="Calibri"/>
        <family val="2"/>
        <charset val="186"/>
        <scheme val="minor"/>
      </rPr>
      <t xml:space="preserve"> fossil fuel boiler consumes an average </t>
    </r>
    <r>
      <rPr>
        <strike/>
        <sz val="11"/>
        <rFont val="Calibri"/>
        <family val="2"/>
        <charset val="186"/>
        <scheme val="minor"/>
      </rPr>
      <t>5,7</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toe of </t>
    </r>
    <r>
      <rPr>
        <b/>
        <sz val="11"/>
        <rFont val="Calibri"/>
        <family val="2"/>
        <charset val="186"/>
        <scheme val="minor"/>
      </rPr>
      <t>final</t>
    </r>
    <r>
      <rPr>
        <sz val="11"/>
        <rFont val="Calibri"/>
        <family val="2"/>
        <charset val="186"/>
        <scheme val="minor"/>
      </rPr>
      <t xml:space="preserve"> </t>
    </r>
    <r>
      <rPr>
        <strike/>
        <sz val="11"/>
        <rFont val="Calibri"/>
        <family val="2"/>
        <charset val="186"/>
        <scheme val="minor"/>
      </rPr>
      <t xml:space="preserve">primary </t>
    </r>
    <r>
      <rPr>
        <sz val="11"/>
        <rFont val="Calibri"/>
        <family val="2"/>
        <charset val="186"/>
        <scheme val="minor"/>
      </rPr>
      <t xml:space="preserve"> energy or </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 xml:space="preserve">29,07 </t>
    </r>
    <r>
      <rPr>
        <sz val="11"/>
        <rFont val="Calibri"/>
        <family val="2"/>
        <charset val="186"/>
        <scheme val="minor"/>
      </rPr>
      <t>MWh (</t>
    </r>
    <r>
      <rPr>
        <b/>
        <sz val="11"/>
        <rFont val="Calibri"/>
        <family val="2"/>
        <charset val="186"/>
        <scheme val="minor"/>
      </rPr>
      <t>2,5</t>
    </r>
    <r>
      <rPr>
        <sz val="11"/>
        <rFont val="Calibri"/>
        <family val="2"/>
        <charset val="186"/>
        <scheme val="minor"/>
      </rPr>
      <t xml:space="preserve"> </t>
    </r>
    <r>
      <rPr>
        <strike/>
        <sz val="11"/>
        <rFont val="Calibri"/>
        <family val="2"/>
        <charset val="186"/>
        <scheme val="minor"/>
      </rPr>
      <t>5,7</t>
    </r>
    <r>
      <rPr>
        <sz val="11"/>
        <rFont val="Calibri"/>
        <family val="2"/>
        <charset val="186"/>
        <scheme val="minor"/>
      </rPr>
      <t>x11,628=</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where 1 toe = 11,628 MWh  (conversion factor).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 xml:space="preserve">4756 </t>
    </r>
    <r>
      <rPr>
        <sz val="11"/>
        <rFont val="Calibri"/>
        <family val="2"/>
        <charset val="186"/>
        <scheme val="minor"/>
      </rPr>
      <t>fossil fuel boilers consume</t>
    </r>
    <r>
      <rPr>
        <b/>
        <sz val="11"/>
        <rFont val="Calibri"/>
        <family val="2"/>
        <charset val="186"/>
        <scheme val="minor"/>
      </rPr>
      <t xml:space="preserve"> 3955*29,07=114972 </t>
    </r>
    <r>
      <rPr>
        <sz val="11"/>
        <rFont val="Calibri"/>
        <family val="2"/>
        <charset val="186"/>
        <scheme val="minor"/>
      </rPr>
      <t xml:space="preserve"> </t>
    </r>
    <r>
      <rPr>
        <strike/>
        <sz val="11"/>
        <rFont val="Calibri"/>
        <family val="2"/>
        <charset val="186"/>
        <scheme val="minor"/>
      </rPr>
      <t>4756x66,28 =~ 315824</t>
    </r>
    <r>
      <rPr>
        <sz val="11"/>
        <rFont val="Calibri"/>
        <family val="2"/>
        <charset val="186"/>
        <scheme val="minor"/>
      </rPr>
      <t xml:space="preserve"> MWh/year  o</t>
    </r>
    <r>
      <rPr>
        <b/>
        <sz val="11"/>
        <rFont val="Calibri"/>
        <family val="2"/>
        <charset val="186"/>
        <scheme val="minor"/>
      </rPr>
      <t xml:space="preserve"> </t>
    </r>
    <r>
      <rPr>
        <sz val="11"/>
        <rFont val="Calibri"/>
        <family val="2"/>
        <charset val="186"/>
        <scheme val="minor"/>
      </rPr>
      <t xml:space="preserve">energy and CO2 will be </t>
    </r>
    <r>
      <rPr>
        <strike/>
        <sz val="11"/>
        <rFont val="Calibri"/>
        <family val="2"/>
        <charset val="186"/>
        <scheme val="minor"/>
      </rPr>
      <t>315824</t>
    </r>
    <r>
      <rPr>
        <sz val="11"/>
        <rFont val="Calibri"/>
        <family val="2"/>
        <charset val="186"/>
        <scheme val="minor"/>
      </rPr>
      <t xml:space="preserve"> </t>
    </r>
    <r>
      <rPr>
        <b/>
        <sz val="11"/>
        <rFont val="Calibri"/>
        <family val="2"/>
        <charset val="186"/>
        <scheme val="minor"/>
      </rPr>
      <t>114972</t>
    </r>
    <r>
      <rPr>
        <sz val="11"/>
        <rFont val="Calibri"/>
        <family val="2"/>
        <charset val="186"/>
        <scheme val="minor"/>
      </rPr>
      <t xml:space="preserve"> MWh/year x </t>
    </r>
    <r>
      <rPr>
        <b/>
        <sz val="11"/>
        <rFont val="Calibri"/>
        <family val="2"/>
        <charset val="186"/>
        <scheme val="minor"/>
      </rPr>
      <t>0,313</t>
    </r>
    <r>
      <rPr>
        <sz val="11"/>
        <rFont val="Calibri"/>
        <family val="2"/>
        <charset val="186"/>
        <scheme val="minor"/>
      </rPr>
      <t xml:space="preserve">  </t>
    </r>
    <r>
      <rPr>
        <strike/>
        <sz val="11"/>
        <rFont val="Calibri"/>
        <family val="2"/>
        <charset val="186"/>
        <scheme val="minor"/>
      </rPr>
      <t xml:space="preserve">0,36 </t>
    </r>
    <r>
      <rPr>
        <sz val="11"/>
        <rFont val="Calibri"/>
        <family val="2"/>
        <charset val="186"/>
        <scheme val="minor"/>
      </rPr>
      <t xml:space="preserve">tCO2/MWh = </t>
    </r>
    <r>
      <rPr>
        <b/>
        <sz val="11"/>
        <rFont val="Calibri"/>
        <family val="2"/>
        <charset val="186"/>
        <scheme val="minor"/>
      </rPr>
      <t xml:space="preserve">35986 </t>
    </r>
    <r>
      <rPr>
        <b/>
        <strike/>
        <sz val="11"/>
        <rFont val="Calibri"/>
        <family val="2"/>
        <charset val="186"/>
        <scheme val="minor"/>
      </rPr>
      <t xml:space="preserve">113697 </t>
    </r>
    <r>
      <rPr>
        <b/>
        <sz val="11"/>
        <rFont val="Calibri"/>
        <family val="2"/>
        <charset val="186"/>
        <scheme val="minor"/>
      </rPr>
      <t>tCO2 ekv./year</t>
    </r>
    <r>
      <rPr>
        <sz val="11"/>
        <rFont val="Calibri"/>
        <family val="2"/>
        <charset val="186"/>
        <scheme val="minor"/>
      </rPr>
      <t xml:space="preserve"> (where 0,313 </t>
    </r>
    <r>
      <rPr>
        <strike/>
        <sz val="11"/>
        <rFont val="Calibri"/>
        <family val="2"/>
        <charset val="186"/>
        <scheme val="minor"/>
      </rPr>
      <t>0,36</t>
    </r>
    <r>
      <rPr>
        <sz val="11"/>
        <rFont val="Calibri"/>
        <family val="2"/>
        <charset val="186"/>
        <scheme val="minor"/>
      </rPr>
      <t xml:space="preserve">tCO2/MWh - </t>
    </r>
    <r>
      <rPr>
        <b/>
        <sz val="11"/>
        <rFont val="Calibri"/>
        <family val="2"/>
        <charset val="186"/>
        <scheme val="minor"/>
      </rPr>
      <t>average</t>
    </r>
    <r>
      <rPr>
        <sz val="11"/>
        <rFont val="Calibri"/>
        <family val="2"/>
        <charset val="186"/>
        <scheme val="minor"/>
      </rPr>
      <t xml:space="preserve"> pollution factor for fossil fuel, Technical Regulation of Construction (Ministry of Environment)). </t>
    </r>
    <r>
      <rPr>
        <u/>
        <sz val="11"/>
        <rFont val="Calibri"/>
        <family val="2"/>
        <charset val="186"/>
        <scheme val="minor"/>
      </rPr>
      <t>Target 2029 calculation</t>
    </r>
    <r>
      <rPr>
        <sz val="11"/>
        <rFont val="Calibri"/>
        <family val="2"/>
        <charset val="186"/>
        <scheme val="minor"/>
      </rPr>
      <t xml:space="preserve">: efficient heat pump consumes </t>
    </r>
    <r>
      <rPr>
        <strike/>
        <sz val="11"/>
        <rFont val="Calibri"/>
        <family val="2"/>
        <charset val="186"/>
        <scheme val="minor"/>
      </rPr>
      <t>0,7</t>
    </r>
    <r>
      <rPr>
        <sz val="11"/>
        <rFont val="Calibri"/>
        <family val="2"/>
        <charset val="186"/>
        <scheme val="minor"/>
      </rPr>
      <t xml:space="preserve"> </t>
    </r>
    <r>
      <rPr>
        <b/>
        <sz val="11"/>
        <rFont val="Calibri"/>
        <family val="2"/>
        <charset val="186"/>
        <scheme val="minor"/>
      </rPr>
      <t>0,45</t>
    </r>
    <r>
      <rPr>
        <sz val="11"/>
        <rFont val="Calibri"/>
        <family val="2"/>
        <charset val="186"/>
        <scheme val="minor"/>
      </rPr>
      <t xml:space="preserve"> toe or  </t>
    </r>
    <r>
      <rPr>
        <strike/>
        <sz val="11"/>
        <rFont val="Calibri"/>
        <family val="2"/>
        <charset val="186"/>
        <scheme val="minor"/>
      </rPr>
      <t>8,13</t>
    </r>
    <r>
      <rPr>
        <sz val="11"/>
        <rFont val="Calibri"/>
        <family val="2"/>
        <charset val="186"/>
        <scheme val="minor"/>
      </rPr>
      <t xml:space="preserve">  </t>
    </r>
    <r>
      <rPr>
        <b/>
        <sz val="11"/>
        <rFont val="Calibri"/>
        <family val="2"/>
        <charset val="186"/>
        <scheme val="minor"/>
      </rPr>
      <t xml:space="preserve">5,2 </t>
    </r>
    <r>
      <rPr>
        <sz val="11"/>
        <rFont val="Calibri"/>
        <family val="2"/>
        <charset val="186"/>
        <scheme val="minor"/>
      </rPr>
      <t xml:space="preserve">MWh (data from 2014-2020 OP).  </t>
    </r>
    <r>
      <rPr>
        <strike/>
        <sz val="11"/>
        <rFont val="Calibri"/>
        <family val="2"/>
        <charset val="186"/>
        <scheme val="minor"/>
      </rPr>
      <t>4756</t>
    </r>
    <r>
      <rPr>
        <b/>
        <sz val="11"/>
        <rFont val="Calibri"/>
        <family val="2"/>
        <charset val="186"/>
        <scheme val="minor"/>
      </rPr>
      <t xml:space="preserve"> 3955</t>
    </r>
    <r>
      <rPr>
        <sz val="11"/>
        <rFont val="Calibri"/>
        <family val="2"/>
        <charset val="186"/>
        <scheme val="minor"/>
      </rPr>
      <t xml:space="preserve"> heat pumps consume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4756</t>
    </r>
    <r>
      <rPr>
        <sz val="11"/>
        <rFont val="Calibri"/>
        <family val="2"/>
        <charset val="186"/>
        <scheme val="minor"/>
      </rPr>
      <t>x</t>
    </r>
    <r>
      <rPr>
        <b/>
        <sz val="11"/>
        <rFont val="Calibri"/>
        <family val="2"/>
        <charset val="186"/>
        <scheme val="minor"/>
      </rPr>
      <t>5,2</t>
    </r>
    <r>
      <rPr>
        <sz val="11"/>
        <rFont val="Calibri"/>
        <family val="2"/>
        <charset val="186"/>
        <scheme val="minor"/>
      </rPr>
      <t xml:space="preserve"> </t>
    </r>
    <r>
      <rPr>
        <strike/>
        <sz val="11"/>
        <rFont val="Calibri"/>
        <family val="2"/>
        <charset val="186"/>
        <scheme val="minor"/>
      </rPr>
      <t>8,13</t>
    </r>
    <r>
      <rPr>
        <sz val="11"/>
        <rFont val="Calibri"/>
        <family val="2"/>
        <charset val="186"/>
        <scheme val="minor"/>
      </rPr>
      <t>=</t>
    </r>
    <r>
      <rPr>
        <strike/>
        <sz val="11"/>
        <rFont val="Calibri"/>
        <family val="2"/>
        <charset val="186"/>
        <scheme val="minor"/>
      </rPr>
      <t>38666</t>
    </r>
    <r>
      <rPr>
        <sz val="11"/>
        <rFont val="Calibri"/>
        <family val="2"/>
        <charset val="186"/>
        <scheme val="minor"/>
      </rPr>
      <t xml:space="preserve"> </t>
    </r>
    <r>
      <rPr>
        <b/>
        <sz val="11"/>
        <rFont val="Calibri"/>
        <family val="2"/>
        <charset val="186"/>
        <scheme val="minor"/>
      </rPr>
      <t xml:space="preserve">20 566 </t>
    </r>
    <r>
      <rPr>
        <sz val="11"/>
        <rFont val="Calibri"/>
        <family val="2"/>
        <charset val="186"/>
        <scheme val="minor"/>
      </rPr>
      <t xml:space="preserve">MWh/year </t>
    </r>
    <r>
      <rPr>
        <b/>
        <sz val="11"/>
        <rFont val="Calibri"/>
        <family val="2"/>
        <charset val="186"/>
        <scheme val="minor"/>
      </rPr>
      <t>of electricity</t>
    </r>
    <r>
      <rPr>
        <sz val="11"/>
        <rFont val="Calibri"/>
        <family val="2"/>
        <charset val="186"/>
        <scheme val="minor"/>
      </rPr>
      <t xml:space="preserve">. CO2 will </t>
    </r>
    <r>
      <rPr>
        <b/>
        <sz val="11"/>
        <rFont val="Calibri"/>
        <family val="2"/>
        <charset val="186"/>
        <scheme val="minor"/>
      </rPr>
      <t>0</t>
    </r>
    <r>
      <rPr>
        <sz val="11"/>
        <rFont val="Calibri"/>
        <family val="2"/>
        <charset val="186"/>
        <scheme val="minor"/>
      </rPr>
      <t xml:space="preserve"> </t>
    </r>
    <r>
      <rPr>
        <b/>
        <sz val="11"/>
        <rFont val="Calibri"/>
        <family val="2"/>
        <charset val="186"/>
        <scheme val="minor"/>
      </rPr>
      <t xml:space="preserve">as heat energy produced by heat pumps is being considered as energy produced from RES with the 0 pollution factor. </t>
    </r>
    <r>
      <rPr>
        <strike/>
        <sz val="11"/>
        <rFont val="Calibri"/>
        <family val="2"/>
        <charset val="186"/>
        <scheme val="minor"/>
      </rPr>
      <t xml:space="preserve">be 38666x 0,42 tCO2/MWh (pollution factor for electricity according to TRC, MInistry of Environment)  = </t>
    </r>
    <r>
      <rPr>
        <b/>
        <strike/>
        <sz val="11"/>
        <rFont val="Calibri"/>
        <family val="2"/>
        <charset val="186"/>
        <scheme val="minor"/>
      </rPr>
      <t>16240 tCO2 ekv./year.</t>
    </r>
  </si>
  <si>
    <r>
      <rPr>
        <u/>
        <sz val="11"/>
        <rFont val="Calibri"/>
        <family val="2"/>
        <charset val="186"/>
        <scheme val="minor"/>
      </rPr>
      <t>Baseline</t>
    </r>
    <r>
      <rPr>
        <sz val="11"/>
        <rFont val="Calibri"/>
        <family val="2"/>
        <charset val="186"/>
        <scheme val="minor"/>
      </rPr>
      <t xml:space="preserve">: According to </t>
    </r>
    <r>
      <rPr>
        <b/>
        <sz val="11"/>
        <rFont val="Calibri"/>
        <family val="2"/>
        <charset val="186"/>
        <scheme val="minor"/>
      </rPr>
      <t>National heating and cooling study 2022,  2014-2020 OP implementation results, national methodologies and Commission decision (2013/114/EU) calculation recommendartions</t>
    </r>
    <r>
      <rPr>
        <sz val="11"/>
        <rFont val="Calibri"/>
        <family val="2"/>
        <charset val="186"/>
        <scheme val="minor"/>
      </rPr>
      <t>,</t>
    </r>
    <r>
      <rPr>
        <strike/>
        <sz val="11"/>
        <rFont val="Calibri"/>
        <family val="2"/>
        <charset val="186"/>
        <scheme val="minor"/>
      </rPr>
      <t xml:space="preserve"> Lithuania's Climate Change Program data</t>
    </r>
    <r>
      <rPr>
        <sz val="11"/>
        <rFont val="Calibri"/>
        <family val="2"/>
        <charset val="186"/>
        <scheme val="minor"/>
      </rPr>
      <t xml:space="preserve"> </t>
    </r>
    <r>
      <rPr>
        <b/>
        <sz val="11"/>
        <rFont val="Calibri"/>
        <family val="2"/>
        <charset val="186"/>
        <scheme val="minor"/>
      </rPr>
      <t>inneficient</t>
    </r>
    <r>
      <rPr>
        <sz val="11"/>
        <rFont val="Calibri"/>
        <family val="2"/>
        <charset val="186"/>
        <scheme val="minor"/>
      </rPr>
      <t xml:space="preserve"> fossil fuel boiler consumes an average </t>
    </r>
    <r>
      <rPr>
        <strike/>
        <sz val="11"/>
        <rFont val="Calibri"/>
        <family val="2"/>
        <charset val="186"/>
        <scheme val="minor"/>
      </rPr>
      <t>5,7</t>
    </r>
    <r>
      <rPr>
        <sz val="11"/>
        <rFont val="Calibri"/>
        <family val="2"/>
        <charset val="186"/>
        <scheme val="minor"/>
      </rPr>
      <t xml:space="preserve"> </t>
    </r>
    <r>
      <rPr>
        <b/>
        <sz val="11"/>
        <rFont val="Calibri"/>
        <family val="2"/>
        <charset val="186"/>
        <scheme val="minor"/>
      </rPr>
      <t>2,5</t>
    </r>
    <r>
      <rPr>
        <sz val="11"/>
        <rFont val="Calibri"/>
        <family val="2"/>
        <charset val="186"/>
        <scheme val="minor"/>
      </rPr>
      <t xml:space="preserve"> toe of </t>
    </r>
    <r>
      <rPr>
        <b/>
        <sz val="11"/>
        <rFont val="Calibri"/>
        <family val="2"/>
        <charset val="186"/>
        <scheme val="minor"/>
      </rPr>
      <t>final</t>
    </r>
    <r>
      <rPr>
        <sz val="11"/>
        <rFont val="Calibri"/>
        <family val="2"/>
        <charset val="186"/>
        <scheme val="minor"/>
      </rPr>
      <t xml:space="preserve"> </t>
    </r>
    <r>
      <rPr>
        <strike/>
        <sz val="11"/>
        <rFont val="Calibri"/>
        <family val="2"/>
        <charset val="186"/>
        <scheme val="minor"/>
      </rPr>
      <t xml:space="preserve">primary </t>
    </r>
    <r>
      <rPr>
        <sz val="11"/>
        <rFont val="Calibri"/>
        <family val="2"/>
        <charset val="186"/>
        <scheme val="minor"/>
      </rPr>
      <t xml:space="preserve"> energy or </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 xml:space="preserve">29,07 </t>
    </r>
    <r>
      <rPr>
        <sz val="11"/>
        <rFont val="Calibri"/>
        <family val="2"/>
        <charset val="186"/>
        <scheme val="minor"/>
      </rPr>
      <t>MWh (</t>
    </r>
    <r>
      <rPr>
        <b/>
        <sz val="11"/>
        <rFont val="Calibri"/>
        <family val="2"/>
        <charset val="186"/>
        <scheme val="minor"/>
      </rPr>
      <t>2,5</t>
    </r>
    <r>
      <rPr>
        <sz val="11"/>
        <rFont val="Calibri"/>
        <family val="2"/>
        <charset val="186"/>
        <scheme val="minor"/>
      </rPr>
      <t xml:space="preserve"> </t>
    </r>
    <r>
      <rPr>
        <strike/>
        <sz val="11"/>
        <rFont val="Calibri"/>
        <family val="2"/>
        <charset val="186"/>
        <scheme val="minor"/>
      </rPr>
      <t>5,7</t>
    </r>
    <r>
      <rPr>
        <sz val="11"/>
        <rFont val="Calibri"/>
        <family val="2"/>
        <charset val="186"/>
        <scheme val="minor"/>
      </rPr>
      <t>x11,628=</t>
    </r>
    <r>
      <rPr>
        <strike/>
        <sz val="11"/>
        <rFont val="Calibri"/>
        <family val="2"/>
        <charset val="186"/>
        <scheme val="minor"/>
      </rPr>
      <t>66,28</t>
    </r>
    <r>
      <rPr>
        <sz val="11"/>
        <rFont val="Calibri"/>
        <family val="2"/>
        <charset val="186"/>
        <scheme val="minor"/>
      </rPr>
      <t xml:space="preserve"> </t>
    </r>
    <r>
      <rPr>
        <b/>
        <sz val="11"/>
        <rFont val="Calibri"/>
        <family val="2"/>
        <charset val="186"/>
        <scheme val="minor"/>
      </rPr>
      <t>29,07</t>
    </r>
    <r>
      <rPr>
        <sz val="11"/>
        <rFont val="Calibri"/>
        <family val="2"/>
        <charset val="186"/>
        <scheme val="minor"/>
      </rPr>
      <t xml:space="preserve"> MWh, where 1 toe = 11,628 MWh  (conversion factor).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 xml:space="preserve">4756 </t>
    </r>
    <r>
      <rPr>
        <sz val="11"/>
        <rFont val="Calibri"/>
        <family val="2"/>
        <charset val="186"/>
        <scheme val="minor"/>
      </rPr>
      <t>fossil fuel boilers consume</t>
    </r>
    <r>
      <rPr>
        <b/>
        <sz val="11"/>
        <rFont val="Calibri"/>
        <family val="2"/>
        <charset val="186"/>
        <scheme val="minor"/>
      </rPr>
      <t xml:space="preserve"> 3955*29,07=114972 </t>
    </r>
    <r>
      <rPr>
        <sz val="11"/>
        <rFont val="Calibri"/>
        <family val="2"/>
        <charset val="186"/>
        <scheme val="minor"/>
      </rPr>
      <t xml:space="preserve"> </t>
    </r>
    <r>
      <rPr>
        <strike/>
        <sz val="11"/>
        <rFont val="Calibri"/>
        <family val="2"/>
        <charset val="186"/>
        <scheme val="minor"/>
      </rPr>
      <t>4756x66,28 =~ 315824</t>
    </r>
    <r>
      <rPr>
        <sz val="11"/>
        <rFont val="Calibri"/>
        <family val="2"/>
        <charset val="186"/>
        <scheme val="minor"/>
      </rPr>
      <t xml:space="preserve"> MWh/year  of</t>
    </r>
    <r>
      <rPr>
        <strike/>
        <sz val="11"/>
        <rFont val="Calibri"/>
        <family val="2"/>
        <charset val="186"/>
        <scheme val="minor"/>
      </rPr>
      <t xml:space="preserve"> primary</t>
    </r>
    <r>
      <rPr>
        <sz val="11"/>
        <rFont val="Calibri"/>
        <family val="2"/>
        <charset val="186"/>
        <scheme val="minor"/>
      </rPr>
      <t xml:space="preserve"> </t>
    </r>
    <r>
      <rPr>
        <b/>
        <sz val="11"/>
        <rFont val="Calibri"/>
        <family val="2"/>
        <charset val="186"/>
        <scheme val="minor"/>
      </rPr>
      <t xml:space="preserve">final </t>
    </r>
    <r>
      <rPr>
        <sz val="11"/>
        <rFont val="Calibri"/>
        <family val="2"/>
        <charset val="186"/>
        <scheme val="minor"/>
      </rPr>
      <t xml:space="preserve">energy and CO2 will be </t>
    </r>
    <r>
      <rPr>
        <strike/>
        <sz val="11"/>
        <rFont val="Calibri"/>
        <family val="2"/>
        <charset val="186"/>
        <scheme val="minor"/>
      </rPr>
      <t>315824</t>
    </r>
    <r>
      <rPr>
        <sz val="11"/>
        <rFont val="Calibri"/>
        <family val="2"/>
        <charset val="186"/>
        <scheme val="minor"/>
      </rPr>
      <t xml:space="preserve"> </t>
    </r>
    <r>
      <rPr>
        <b/>
        <sz val="11"/>
        <rFont val="Calibri"/>
        <family val="2"/>
        <charset val="186"/>
        <scheme val="minor"/>
      </rPr>
      <t>114972</t>
    </r>
    <r>
      <rPr>
        <sz val="11"/>
        <rFont val="Calibri"/>
        <family val="2"/>
        <charset val="186"/>
        <scheme val="minor"/>
      </rPr>
      <t xml:space="preserve"> MWh/year x </t>
    </r>
    <r>
      <rPr>
        <b/>
        <sz val="11"/>
        <rFont val="Calibri"/>
        <family val="2"/>
        <charset val="186"/>
        <scheme val="minor"/>
      </rPr>
      <t>0,313</t>
    </r>
    <r>
      <rPr>
        <sz val="11"/>
        <rFont val="Calibri"/>
        <family val="2"/>
        <charset val="186"/>
        <scheme val="minor"/>
      </rPr>
      <t xml:space="preserve">  </t>
    </r>
    <r>
      <rPr>
        <strike/>
        <sz val="11"/>
        <rFont val="Calibri"/>
        <family val="2"/>
        <charset val="186"/>
        <scheme val="minor"/>
      </rPr>
      <t xml:space="preserve">0,36 </t>
    </r>
    <r>
      <rPr>
        <sz val="11"/>
        <rFont val="Calibri"/>
        <family val="2"/>
        <charset val="186"/>
        <scheme val="minor"/>
      </rPr>
      <t xml:space="preserve">tCO2/MWh = </t>
    </r>
    <r>
      <rPr>
        <b/>
        <sz val="11"/>
        <rFont val="Calibri"/>
        <family val="2"/>
        <charset val="186"/>
        <scheme val="minor"/>
      </rPr>
      <t xml:space="preserve">35986 </t>
    </r>
    <r>
      <rPr>
        <b/>
        <strike/>
        <sz val="11"/>
        <rFont val="Calibri"/>
        <family val="2"/>
        <charset val="186"/>
        <scheme val="minor"/>
      </rPr>
      <t xml:space="preserve">113697 </t>
    </r>
    <r>
      <rPr>
        <b/>
        <sz val="11"/>
        <rFont val="Calibri"/>
        <family val="2"/>
        <charset val="186"/>
        <scheme val="minor"/>
      </rPr>
      <t>tCO2 ekv./year</t>
    </r>
    <r>
      <rPr>
        <sz val="11"/>
        <rFont val="Calibri"/>
        <family val="2"/>
        <charset val="186"/>
        <scheme val="minor"/>
      </rPr>
      <t xml:space="preserve"> (where 0,313 </t>
    </r>
    <r>
      <rPr>
        <strike/>
        <sz val="11"/>
        <rFont val="Calibri"/>
        <family val="2"/>
        <charset val="186"/>
        <scheme val="minor"/>
      </rPr>
      <t>0,36</t>
    </r>
    <r>
      <rPr>
        <sz val="11"/>
        <rFont val="Calibri"/>
        <family val="2"/>
        <charset val="186"/>
        <scheme val="minor"/>
      </rPr>
      <t xml:space="preserve">tCO2/MWh - </t>
    </r>
    <r>
      <rPr>
        <b/>
        <sz val="11"/>
        <rFont val="Calibri"/>
        <family val="2"/>
        <charset val="186"/>
        <scheme val="minor"/>
      </rPr>
      <t>average</t>
    </r>
    <r>
      <rPr>
        <sz val="11"/>
        <rFont val="Calibri"/>
        <family val="2"/>
        <charset val="186"/>
        <scheme val="minor"/>
      </rPr>
      <t xml:space="preserve"> pollution factor for fossil fuel, Technical Regulation of Construction (Ministry of Environment)). </t>
    </r>
    <r>
      <rPr>
        <u/>
        <sz val="11"/>
        <rFont val="Calibri"/>
        <family val="2"/>
        <charset val="186"/>
        <scheme val="minor"/>
      </rPr>
      <t>Target 2029 calculation</t>
    </r>
    <r>
      <rPr>
        <sz val="11"/>
        <rFont val="Calibri"/>
        <family val="2"/>
        <charset val="186"/>
        <scheme val="minor"/>
      </rPr>
      <t xml:space="preserve">: efficient heat pump consumes </t>
    </r>
    <r>
      <rPr>
        <strike/>
        <sz val="11"/>
        <rFont val="Calibri"/>
        <family val="2"/>
        <charset val="186"/>
        <scheme val="minor"/>
      </rPr>
      <t>0,7</t>
    </r>
    <r>
      <rPr>
        <sz val="11"/>
        <rFont val="Calibri"/>
        <family val="2"/>
        <charset val="186"/>
        <scheme val="minor"/>
      </rPr>
      <t xml:space="preserve"> </t>
    </r>
    <r>
      <rPr>
        <b/>
        <sz val="11"/>
        <rFont val="Calibri"/>
        <family val="2"/>
        <charset val="186"/>
        <scheme val="minor"/>
      </rPr>
      <t>0,45</t>
    </r>
    <r>
      <rPr>
        <sz val="11"/>
        <rFont val="Calibri"/>
        <family val="2"/>
        <charset val="186"/>
        <scheme val="minor"/>
      </rPr>
      <t xml:space="preserve"> toe or  </t>
    </r>
    <r>
      <rPr>
        <strike/>
        <sz val="11"/>
        <rFont val="Calibri"/>
        <family val="2"/>
        <charset val="186"/>
        <scheme val="minor"/>
      </rPr>
      <t>8,13</t>
    </r>
    <r>
      <rPr>
        <sz val="11"/>
        <rFont val="Calibri"/>
        <family val="2"/>
        <charset val="186"/>
        <scheme val="minor"/>
      </rPr>
      <t xml:space="preserve">  </t>
    </r>
    <r>
      <rPr>
        <b/>
        <sz val="11"/>
        <rFont val="Calibri"/>
        <family val="2"/>
        <charset val="186"/>
        <scheme val="minor"/>
      </rPr>
      <t xml:space="preserve">5,2 </t>
    </r>
    <r>
      <rPr>
        <sz val="11"/>
        <rFont val="Calibri"/>
        <family val="2"/>
        <charset val="186"/>
        <scheme val="minor"/>
      </rPr>
      <t xml:space="preserve">MWh (data from 2014-2020 OP).  </t>
    </r>
    <r>
      <rPr>
        <strike/>
        <sz val="11"/>
        <rFont val="Calibri"/>
        <family val="2"/>
        <charset val="186"/>
        <scheme val="minor"/>
      </rPr>
      <t>4756</t>
    </r>
    <r>
      <rPr>
        <b/>
        <sz val="11"/>
        <rFont val="Calibri"/>
        <family val="2"/>
        <charset val="186"/>
        <scheme val="minor"/>
      </rPr>
      <t xml:space="preserve"> 3955</t>
    </r>
    <r>
      <rPr>
        <sz val="11"/>
        <rFont val="Calibri"/>
        <family val="2"/>
        <charset val="186"/>
        <scheme val="minor"/>
      </rPr>
      <t xml:space="preserve"> heat pumps consume </t>
    </r>
    <r>
      <rPr>
        <b/>
        <sz val="11"/>
        <rFont val="Calibri"/>
        <family val="2"/>
        <charset val="186"/>
        <scheme val="minor"/>
      </rPr>
      <t>3955</t>
    </r>
    <r>
      <rPr>
        <sz val="11"/>
        <rFont val="Calibri"/>
        <family val="2"/>
        <charset val="186"/>
        <scheme val="minor"/>
      </rPr>
      <t xml:space="preserve">  </t>
    </r>
    <r>
      <rPr>
        <strike/>
        <sz val="11"/>
        <rFont val="Calibri"/>
        <family val="2"/>
        <charset val="186"/>
        <scheme val="minor"/>
      </rPr>
      <t>4756</t>
    </r>
    <r>
      <rPr>
        <sz val="11"/>
        <rFont val="Calibri"/>
        <family val="2"/>
        <charset val="186"/>
        <scheme val="minor"/>
      </rPr>
      <t>x</t>
    </r>
    <r>
      <rPr>
        <b/>
        <sz val="11"/>
        <rFont val="Calibri"/>
        <family val="2"/>
        <charset val="186"/>
        <scheme val="minor"/>
      </rPr>
      <t>5,2</t>
    </r>
    <r>
      <rPr>
        <sz val="11"/>
        <rFont val="Calibri"/>
        <family val="2"/>
        <charset val="186"/>
        <scheme val="minor"/>
      </rPr>
      <t xml:space="preserve"> </t>
    </r>
    <r>
      <rPr>
        <strike/>
        <sz val="11"/>
        <rFont val="Calibri"/>
        <family val="2"/>
        <charset val="186"/>
        <scheme val="minor"/>
      </rPr>
      <t>8,13</t>
    </r>
    <r>
      <rPr>
        <sz val="11"/>
        <rFont val="Calibri"/>
        <family val="2"/>
        <charset val="186"/>
        <scheme val="minor"/>
      </rPr>
      <t>=</t>
    </r>
    <r>
      <rPr>
        <strike/>
        <sz val="11"/>
        <rFont val="Calibri"/>
        <family val="2"/>
        <charset val="186"/>
        <scheme val="minor"/>
      </rPr>
      <t>38666</t>
    </r>
    <r>
      <rPr>
        <sz val="11"/>
        <rFont val="Calibri"/>
        <family val="2"/>
        <charset val="186"/>
        <scheme val="minor"/>
      </rPr>
      <t xml:space="preserve"> </t>
    </r>
    <r>
      <rPr>
        <b/>
        <sz val="11"/>
        <rFont val="Calibri"/>
        <family val="2"/>
        <charset val="186"/>
        <scheme val="minor"/>
      </rPr>
      <t xml:space="preserve">20 566 </t>
    </r>
    <r>
      <rPr>
        <sz val="11"/>
        <rFont val="Calibri"/>
        <family val="2"/>
        <charset val="186"/>
        <scheme val="minor"/>
      </rPr>
      <t xml:space="preserve">MWh/year </t>
    </r>
    <r>
      <rPr>
        <b/>
        <sz val="11"/>
        <rFont val="Calibri"/>
        <family val="2"/>
        <charset val="186"/>
        <scheme val="minor"/>
      </rPr>
      <t>of electricity</t>
    </r>
    <r>
      <rPr>
        <sz val="11"/>
        <rFont val="Calibri"/>
        <family val="2"/>
        <charset val="186"/>
        <scheme val="minor"/>
      </rPr>
      <t xml:space="preserve">. CO2 will </t>
    </r>
    <r>
      <rPr>
        <b/>
        <sz val="11"/>
        <rFont val="Calibri"/>
        <family val="2"/>
        <charset val="186"/>
        <scheme val="minor"/>
      </rPr>
      <t>0</t>
    </r>
    <r>
      <rPr>
        <sz val="11"/>
        <rFont val="Calibri"/>
        <family val="2"/>
        <charset val="186"/>
        <scheme val="minor"/>
      </rPr>
      <t xml:space="preserve"> </t>
    </r>
    <r>
      <rPr>
        <b/>
        <sz val="11"/>
        <rFont val="Calibri"/>
        <family val="2"/>
        <charset val="186"/>
        <scheme val="minor"/>
      </rPr>
      <t xml:space="preserve">as heat energy produced by heat pumps is being considered as energy produced from RES with the 0 pollution factor. </t>
    </r>
    <r>
      <rPr>
        <strike/>
        <sz val="11"/>
        <rFont val="Calibri"/>
        <family val="2"/>
        <charset val="186"/>
        <scheme val="minor"/>
      </rPr>
      <t xml:space="preserve">be 38666x 0,42 tCO2/MWh (pollution factor for electricity according to TRC, MInistry of Environment)  = </t>
    </r>
    <r>
      <rPr>
        <b/>
        <strike/>
        <sz val="11"/>
        <rFont val="Calibri"/>
        <family val="2"/>
        <charset val="186"/>
        <scheme val="minor"/>
      </rPr>
      <t>16240 tCO2 ekv./year.</t>
    </r>
  </si>
  <si>
    <t>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t>
  </si>
  <si>
    <r>
      <t xml:space="preserve">The 2029 target for RCO01 equals the 2029 target for RCO02. As regards milestones for 2024, it is assumed that progress of the action, according to the forecast made in 2022 March-April (data from planned calls for proposals and payments), would amount to 42% of the final targets set based on the allocation for 2021-2027: </t>
    </r>
    <r>
      <rPr>
        <strike/>
        <sz val="11"/>
        <rFont val="Calibri"/>
        <family val="2"/>
        <charset val="186"/>
        <scheme val="minor"/>
      </rPr>
      <t xml:space="preserve"> 42% * 90 = 38 companies</t>
    </r>
    <r>
      <rPr>
        <b/>
        <sz val="11"/>
        <rFont val="Calibri"/>
        <family val="2"/>
        <scheme val="minor"/>
      </rPr>
      <t xml:space="preserve"> 42% * 143 = 60 companies</t>
    </r>
    <r>
      <rPr>
        <sz val="11"/>
        <rFont val="Calibri"/>
        <family val="2"/>
        <scheme val="minor"/>
      </rPr>
      <t>.</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</si>
  <si>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33.333.333,33 Eur (20.000.000,00*100/60) .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 (33.333.333,33/314.708,54)*0,85=90 enterprises. As regards milestines for 2024, it is assumed thet the progress of the action, according to the forecast made in 2022 March-April (data from planned calls for proposals and payments), would amount to 42% of the final targets set based on the allocation for 2021-2027: 42%*90=38 companies.</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</si>
  <si>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t>
    </r>
    <r>
      <rPr>
        <b/>
        <sz val="11"/>
        <rFont val="Calibri"/>
        <family val="2"/>
        <scheme val="minor"/>
      </rPr>
      <t xml:space="preserve"> </t>
    </r>
    <r>
      <rPr>
        <strike/>
        <sz val="11"/>
        <rFont val="Calibri"/>
        <family val="2"/>
        <charset val="186"/>
        <scheme val="minor"/>
      </rPr>
      <t>33.333.333,33 Eur (20.000.000,00*100/60)</t>
    </r>
    <r>
      <rPr>
        <b/>
        <sz val="11"/>
        <rFont val="Calibri"/>
        <family val="2"/>
        <scheme val="minor"/>
      </rPr>
      <t xml:space="preserve"> 53 114 763,33 Eur (31.868.858,00*100/60)</t>
    </r>
    <r>
      <rPr>
        <sz val="11"/>
        <rFont val="Calibri"/>
        <family val="2"/>
        <scheme val="minor"/>
      </rPr>
      <t>.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t>
    </r>
    <r>
      <rPr>
        <strike/>
        <sz val="11"/>
        <rFont val="Calibri"/>
        <family val="2"/>
        <charset val="186"/>
        <scheme val="minor"/>
      </rPr>
      <t xml:space="preserve"> (33.333.333,33/314.708,54)*0,85=90</t>
    </r>
    <r>
      <rPr>
        <sz val="11"/>
        <rFont val="Calibri"/>
        <family val="2"/>
        <scheme val="minor"/>
      </rPr>
      <t xml:space="preserve"> </t>
    </r>
    <r>
      <rPr>
        <b/>
        <sz val="11"/>
        <rFont val="Calibri"/>
        <family val="2"/>
        <scheme val="minor"/>
      </rPr>
      <t>(53 114 763,33/314.708,54)*0,85=143</t>
    </r>
    <r>
      <rPr>
        <sz val="11"/>
        <rFont val="Calibri"/>
        <family val="2"/>
        <scheme val="minor"/>
      </rPr>
      <t xml:space="preserve"> enterprises. As regards milestines for 2024, it is assumed thet the progress of the action, according to the forecast made in 2022 March-April (data from planned calls for proposals and payments), would amount to 42% of the final targets set based on the allocation for 2021-2027: </t>
    </r>
    <r>
      <rPr>
        <strike/>
        <sz val="11"/>
        <rFont val="Calibri"/>
        <family val="2"/>
        <charset val="186"/>
        <scheme val="minor"/>
      </rPr>
      <t>42%*90=38</t>
    </r>
    <r>
      <rPr>
        <sz val="11"/>
        <rFont val="Calibri"/>
        <family val="2"/>
        <scheme val="minor"/>
      </rPr>
      <t xml:space="preserve"> </t>
    </r>
    <r>
      <rPr>
        <b/>
        <sz val="11"/>
        <rFont val="Calibri"/>
        <family val="2"/>
        <scheme val="minor"/>
      </rPr>
      <t xml:space="preserve">42%*143=60 </t>
    </r>
    <r>
      <rPr>
        <sz val="11"/>
        <rFont val="Calibri"/>
        <family val="2"/>
        <charset val="186"/>
        <scheme val="minor"/>
      </rPr>
      <t>companies.</t>
    </r>
  </si>
  <si>
    <r>
      <t>Based on the experience of 2014-2020, it is installed an avarage of 0.27-0.23 MW of solar equipment during one project. The avarage capacity of one equipment installed by one company is  (0,27+0,23)/2=0,25 MWh and it is 0,25*24 hours*365 days=2190 MWh/year. The final target of RCO02 is</t>
    </r>
    <r>
      <rPr>
        <b/>
        <sz val="11"/>
        <rFont val="Calibri"/>
        <family val="2"/>
        <scheme val="minor"/>
      </rPr>
      <t xml:space="preserve"> </t>
    </r>
    <r>
      <rPr>
        <strike/>
        <sz val="11"/>
        <rFont val="Calibri"/>
        <family val="2"/>
        <charset val="186"/>
        <scheme val="minor"/>
      </rPr>
      <t>90 compies</t>
    </r>
    <r>
      <rPr>
        <b/>
        <sz val="11"/>
        <rFont val="Calibri"/>
        <family val="2"/>
        <scheme val="minor"/>
      </rPr>
      <t xml:space="preserve"> 143 </t>
    </r>
    <r>
      <rPr>
        <b/>
        <sz val="11"/>
        <rFont val="Calibri"/>
        <family val="2"/>
        <charset val="186"/>
        <scheme val="minor"/>
      </rPr>
      <t>companies</t>
    </r>
    <r>
      <rPr>
        <sz val="11"/>
        <rFont val="Calibri"/>
        <family val="2"/>
        <scheme val="minor"/>
      </rPr>
      <t xml:space="preserve">, thus the target RCR31 is </t>
    </r>
    <r>
      <rPr>
        <strike/>
        <sz val="11"/>
        <rFont val="Calibri"/>
        <family val="2"/>
        <charset val="186"/>
        <scheme val="minor"/>
      </rPr>
      <t>90*2190=197.100</t>
    </r>
    <r>
      <rPr>
        <sz val="11"/>
        <rFont val="Calibri"/>
        <family val="2"/>
        <scheme val="minor"/>
      </rPr>
      <t xml:space="preserve"> </t>
    </r>
    <r>
      <rPr>
        <b/>
        <sz val="11"/>
        <rFont val="Calibri"/>
        <family val="2"/>
        <scheme val="minor"/>
      </rPr>
      <t>143*2190=313.170</t>
    </r>
    <r>
      <rPr>
        <sz val="11"/>
        <rFont val="Calibri"/>
        <family val="2"/>
        <scheme val="minor"/>
      </rPr>
      <t xml:space="preserve"> MWh/year.</t>
    </r>
  </si>
  <si>
    <t>Justification for the proposed change 2025-03</t>
  </si>
  <si>
    <r>
      <t xml:space="preserve">The 2029 target for RCO01 equals the 2029 target for RCO02. </t>
    </r>
    <r>
      <rPr>
        <b/>
        <sz val="11"/>
        <rFont val="Calibri"/>
        <family val="2"/>
        <charset val="186"/>
        <scheme val="minor"/>
      </rPr>
      <t xml:space="preserve">2024 milestone value ramain the same. </t>
    </r>
  </si>
  <si>
    <r>
      <t xml:space="preserve">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t>
    </r>
    <r>
      <rPr>
        <b/>
        <sz val="11"/>
        <rFont val="Calibri"/>
        <family val="2"/>
        <charset val="186"/>
        <scheme val="minor"/>
      </rPr>
      <t>24 507 166,67 Eur (14.704.300,00*100/60)</t>
    </r>
    <r>
      <rPr>
        <sz val="11"/>
        <rFont val="Calibri"/>
        <family val="2"/>
        <scheme val="minor"/>
      </rPr>
      <t xml:space="preserve">.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 </t>
    </r>
    <r>
      <rPr>
        <b/>
        <sz val="11"/>
        <rFont val="Calibri"/>
        <family val="2"/>
        <charset val="186"/>
        <scheme val="minor"/>
      </rPr>
      <t>(24 507 166,67/314.708,54)*0,85=66</t>
    </r>
    <r>
      <rPr>
        <sz val="11"/>
        <rFont val="Calibri"/>
        <family val="2"/>
        <scheme val="minor"/>
      </rPr>
      <t xml:space="preserve"> enterprises. </t>
    </r>
    <r>
      <rPr>
        <b/>
        <sz val="11"/>
        <rFont val="Calibri"/>
        <family val="2"/>
        <charset val="186"/>
        <scheme val="minor"/>
      </rPr>
      <t xml:space="preserve">2024 milestone value ramain the same. </t>
    </r>
  </si>
  <si>
    <r>
      <t>Based on the experience of 2014-2020, it is installed an avarage of 0.27-0.23 MW of solar equipment during one project. The avarage capacity of one equipment installed by one company is  (0,27+0,23)/2=0,25 MWh and it is 0,25*24 hours*365 days=2190 MWh/year. The final target of RCO02 is</t>
    </r>
    <r>
      <rPr>
        <b/>
        <sz val="11"/>
        <rFont val="Calibri"/>
        <family val="2"/>
        <charset val="186"/>
        <scheme val="minor"/>
      </rPr>
      <t xml:space="preserve"> 66</t>
    </r>
    <r>
      <rPr>
        <sz val="11"/>
        <color rgb="FFFF0000"/>
        <rFont val="Calibri"/>
        <family val="2"/>
        <charset val="186"/>
        <scheme val="minor"/>
      </rPr>
      <t xml:space="preserve"> </t>
    </r>
    <r>
      <rPr>
        <sz val="11"/>
        <rFont val="Calibri"/>
        <family val="2"/>
        <scheme val="minor"/>
      </rPr>
      <t>companies, thus the target RCR31 is</t>
    </r>
    <r>
      <rPr>
        <b/>
        <sz val="11"/>
        <rFont val="Calibri"/>
        <family val="2"/>
        <charset val="186"/>
        <scheme val="minor"/>
      </rPr>
      <t xml:space="preserve"> 66*2190=144.540</t>
    </r>
    <r>
      <rPr>
        <sz val="11"/>
        <rFont val="Calibri"/>
        <family val="2"/>
        <scheme val="minor"/>
      </rPr>
      <t xml:space="preserve"> MWh/year.</t>
    </r>
  </si>
  <si>
    <r>
      <rPr>
        <strike/>
        <sz val="11"/>
        <color theme="1"/>
        <rFont val="Calibri"/>
        <family val="2"/>
        <charset val="186"/>
        <scheme val="minor"/>
      </rPr>
      <t xml:space="preserve">Calculation of indicators based on 22 percent of  funding intensity to maintain the same funding model as in 2014-2020 OP (04.1.1-LVPA-V-114 measure „Installation of RES production capacities in households“, 04.1.1-LVPA-V-115 measure  „RES for households“)(EU amount- 80.491.772,50 Eur +  co-financing rate (Eur.) - 285.379.920,70. Total - 365.871.693,20 Eur.).We assume that administrative costs will be the same  as in 2014-2020 OP for solar PP projects' administration (4,11 percent (365.871.693,20- 4.11 percent= 350.834.366,59 Eur) and those costs are not included into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239*0,1=~24 MWe of solar PP. </t>
    </r>
    <r>
      <rPr>
        <b/>
        <sz val="11"/>
        <color theme="1"/>
        <rFont val="Calibri"/>
        <family val="2"/>
        <charset val="186"/>
        <scheme val="minor"/>
      </rPr>
      <t xml:space="preserve"> Until September 2025, EUR 55,950 million of EU funds were used so far and the indicator achieved (which is already declared or which will be declared in the future) amounts to  ~175,6 kW. The remaining amount is EUR 80491772,50 (amount allocated)-55950000 (amount already used for grants, including administrative fee of the manager of "umbrella project")= EUR 24541772,50. We propose to redistribute a half of this amount (i.e. EUR 12 200 129) to households' energy storage. The remaining EUR 12341643,50 will be used to fund households' solar power plants in 2026, applying a fixed rate of EUR 1652,20/1kW, a grant of 15,43 percent and an administrative fee of 7 percent. With this amount an additional solar power capacity of 12341643,50 (remaining amount)/1,07 (administrative fee)/(1652,20 (fixed rate)*0,1543 (grant compared to a fixed rate)= ~45,2 MW will be achieved. The total indicator will be 175,6+45,2=220,8 MW.  Throughout the period of implementation, the administrative fee of the manager of "umbrella project" varied from 4,11 to 5 percent of the EU funds allocated for grants and in the future the applied rate will be 7 percent. The total amount of an administrative fee paid out until the end of the measure is forecasted to be EUR 3 115 520, or 4,5621 percent of the EU funds allocated for grants.  </t>
    </r>
  </si>
  <si>
    <r>
      <rPr>
        <strike/>
        <sz val="11"/>
        <color theme="1"/>
        <rFont val="Calibri"/>
        <family val="2"/>
        <charset val="186"/>
        <scheme val="minor"/>
      </rPr>
      <t>Calculation of indicators based on 22 percent of  funding intensity to maintain the same funding model as in 2014-2020 OP (04.1.1-LVPA-V-114 measure „Installation of RES production capacities in households“, 04.1.1-LVPA-V-115 measure  „RES for households“). (EU amount- 80.491.772,50 Eur +  co-financing rate (Eur.) - 285.379.920,70. Total - 365.871.693,20 Eur.). We assume that administrative costs will be the same  as in 2014-2020 OP for solar PP projects' administration (4,11 percent (365.871.693,20- 4.11 percent= 350.834.366,59 Eur)  and those costs are not included int calculation of indicators. 
Target 2029:  An average  installation of 1 kW solar PP costs 1467,78 eur ( according to fixed rate study under 2014-2020 OP).With 350 834 366,59 eur  would be possible to install  350 834 366,59 /1467,78/1000=~239 MWe of solar PP.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239*0,1=~24 MWe of solar PP.</t>
    </r>
    <r>
      <rPr>
        <b/>
        <sz val="11"/>
        <color theme="1"/>
        <rFont val="Calibri"/>
        <family val="2"/>
        <charset val="186"/>
        <scheme val="minor"/>
      </rPr>
      <t xml:space="preserve"> Until September 2025, EUR 38,172 million were used so far and the indicator achieved (which is already declared or which will be declared in the future) amounts to ~130,7 MW. The remaining amount is EUR 80491772,50 (amount allocated)-38172000 (amount already used, including administrative fee of the manager of "umbrella project") = EUR 42319772,50. We propose to redistribute EUR 41 860 129 to a new priority - EUR 40 million for the replacement of "over the surface" electricity lines with the underground cables, to be implemented by the distribution system operator and EUR 1 860 129 - for other priority objectives (the remaining amount of EUR 139 871 comes from intervention code 047). The remaining amount will be used to fund households' solar power plants under the assumptions of fixed rate of EUR 1652,20/1 kW, a grant of 15,43 percent and an administrative fee of 7 percent. With these funds, an additional solar power capacity of 459644 (remaining amount)/1,07 (administrative fee)/(1652,20(fixed rate)*0,1543(grant compared to a fixed rate))= 1,7 MW will be purchased from the remote solar power parks. The total indicator will be 130,7+1,7=132,4. Throughout the period of implementation, the administrative fee of the manager of "umbrella project" varied from 4,11 to 5 percent of the EU funds allocated for grants and in the future the applied rate will be 7 percent. The total amount of an administrative fee paid out until the end of the measure is forecasted to be EUR 1 752 151, or 4,5355 percent of the EU funds allocated for grants.    </t>
    </r>
    <r>
      <rPr>
        <sz val="11"/>
        <color theme="1"/>
        <rFont val="Calibri"/>
        <family val="2"/>
        <charset val="186"/>
        <scheme val="minor"/>
      </rPr>
      <t xml:space="preserve">   </t>
    </r>
  </si>
  <si>
    <r>
      <rPr>
        <strike/>
        <sz val="11"/>
        <rFont val="Calibri"/>
        <family val="2"/>
        <charset val="186"/>
        <scheme val="minor"/>
      </rPr>
      <t>Calculation of indicators based on 22 percent of  funding intensity to maintain the same funding model as in 2014-2020 OP for solar plants (04.1.1-LVPA-V-114 measure „Installation of RES production capacities in households“, 04.1.1-LVPA-V-115 measure  „RES for households“)(EU amount- 1.645.543,80 Eur +  co-financing rate (Eur.) - 5.834,200,50. Total - 7.479.744,30 Eur.).We assume that administrative costs  (4,11 percent) will be the same  as in 2014-2020 OP for solar PP projects' administration (4,11 percent (7.479.744,30- 4.11 percent= 7.172.326,83 Eur) and those costs are not included int calculation of indicators.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t>
    </r>
    <r>
      <rPr>
        <b/>
        <sz val="11"/>
        <rFont val="Calibri"/>
        <family val="2"/>
        <charset val="186"/>
        <scheme val="minor"/>
      </rPr>
      <t xml:space="preserve">  By September 2025, Lithuania used EUR 1539722 of the allocated EU funds, using the fixed rate of EUR 844,63 / 1 kWh capacity of iron phosphate storage device, a grant of 45 percent and an administrative fee for the manager of the "umbrella project" of 7 percent. Under these assumptions until now 1539722 (amount used)/1,07(administrative fee)/(844,63 fixed rate*0,45 grabt compared to a fixed rate)=3,78 MWh were installed by the households (this amount may be already declared or will be declared later, but it is already achieved). The remainder is ~EUR 1645544-1539722=105822. Due to a very high demand among the households and a high priority which the Government attaches to the diffusion of energy storage capacities, we propose to relocate an additional EUR 12 200 129 from solar power plants' component, intervention code 048 and EUR 139 871 from wind power plants component, intervention code 047). After the relocation, the total still available amount for grants and administrative fee combined will be EUR105822+12200129+139871=12445822. With this amount, under the same assumptions as before, an additional 12445822/1,07/(844,63*0,45)= ~30,6 MWh will be installed. The total installed capacity of electricity storage will be 34,38 MWh.</t>
    </r>
  </si>
  <si>
    <r>
      <rPr>
        <strike/>
        <sz val="11"/>
        <rFont val="Calibri"/>
        <family val="2"/>
        <charset val="186"/>
        <scheme val="minor"/>
      </rPr>
      <t xml:space="preserve">Calculation of indicators based on 22 percent of  funding intensity to maintain the same funding model as in 2014-2020 OP for solar plants.We assume that administrative costs will be the same (4,11 percent)  as in 2014-2020 OP for solar PP projects' administration (4,11 percent) (04.1.1-LVPA-V-114 measure „Installation of RES production capacities in households“, 04.1.1-LVPA-V-115 measure  „RES for households“)(EU amount- 1.645.543,80 Eur +  co-financing rate (Eur.) - 5.834,200,50. Total - 7.479.744,30 Eur.) and those costs are not included int calculation of indicators (7.479.744,30- 4.11 percent= 7.172.326,83 Eur). 
Target 2029:  According to data from  Electricity Distribution System Operator's project an average  1 kWh electricity storage price is 700 eur or 700000 eur /MWh.  With 7.172.326,83 eur  would be possible to store 7.172.326,83 /700/1000 =~10 MWh. Action's implementation will be based on joint projects' developer model ("umbrella" model): firstly,  joint projects' developer will be selected and only then calls for households will be organized. Preliminary,  the first call for households could be organized in 2023 and first  investments to the projects will start approx. in the mid of 2023. Therefore we assume that about 10 percent of funds will be invested by 2024, then milestone will be 10*0,1=1 MWh.  Seeking to calculate capacity of electricity storage  special output  indicator is proposed for this action. </t>
    </r>
    <r>
      <rPr>
        <b/>
        <sz val="11"/>
        <rFont val="Calibri"/>
        <family val="2"/>
        <charset val="186"/>
        <scheme val="minor"/>
      </rPr>
      <t>Until September 2025, Lithuania used EUR 1339664 of the allocated EU funds, using the fixed rate of EUR 844,63 / 1 kWh capacity of iron phosphate storage device, a grant of 45 percent and an administrative fee for the manager of the "umbrella project" of 7 percent. Under these assumptions until now 1339664 (amount used)/1,07(administrative fee)/(844,63 fixed rate*0,45 grant compared to a fixed rate)=3,29 MWh were installed by the households (this amount may be already declared or will be declared later, but it is already achieved). The remainder is ~EUR 305880. With this amount, under the same assumptions as before, an additional 305880 (remaining amount)/1,07(administrative fee)/(844,63 fixed rate*0,45 grant compared to a fixed rate)= ~0,7 MWh will be installed. The total installed capacity of electricity storage will be 3,29+0,7=3,99 MWh.</t>
    </r>
  </si>
  <si>
    <r>
      <rPr>
        <sz val="11"/>
        <color theme="1"/>
        <rFont val="Calibri"/>
        <family val="2"/>
        <charset val="186"/>
        <scheme val="minor"/>
      </rPr>
      <t>The 2029 target for RCO01 equals the 2029 target for RCO02</t>
    </r>
    <r>
      <rPr>
        <b/>
        <sz val="11"/>
        <color theme="1"/>
        <rFont val="Calibri"/>
        <family val="2"/>
        <charset val="186"/>
        <scheme val="minor"/>
      </rPr>
      <t xml:space="preserve">. 2024 milestone value ramain the same. 
</t>
    </r>
  </si>
  <si>
    <r>
      <rPr>
        <b/>
        <sz val="11"/>
        <rFont val="Calibri"/>
        <family val="2"/>
        <charset val="186"/>
        <scheme val="minor"/>
      </rPr>
      <t xml:space="preserve">The value of the indicator is reduced in proportion to the amount of funds being redistributed (11.472.898) and allocated to a new priorities. </t>
    </r>
    <r>
      <rPr>
        <sz val="11"/>
        <rFont val="Calibri"/>
        <family val="2"/>
        <scheme val="minor"/>
      </rPr>
      <t xml:space="preserve">
Calculation of indicator is based  according to the experience of 2014-2020 and the intensity level accorindg to the </t>
    </r>
    <r>
      <rPr>
        <b/>
        <sz val="11"/>
        <rFont val="Calibri"/>
        <family val="2"/>
        <scheme val="minor"/>
      </rPr>
      <t>State Aid rules</t>
    </r>
    <r>
      <rPr>
        <sz val="11"/>
        <rFont val="Calibri"/>
        <family val="2"/>
        <scheme val="minor"/>
      </rPr>
      <t xml:space="preserve"> (EU-60%, national-40%) and it is </t>
    </r>
    <r>
      <rPr>
        <b/>
        <sz val="11"/>
        <rFont val="Calibri"/>
        <family val="2"/>
        <charset val="186"/>
        <scheme val="minor"/>
      </rPr>
      <t>5 385 670 Eur (3 231 402*100/60)</t>
    </r>
    <r>
      <rPr>
        <sz val="11"/>
        <rFont val="Calibri"/>
        <family val="2"/>
        <scheme val="minor"/>
      </rPr>
      <t xml:space="preserve">. The 2029 target for RCO02 is based on the assumption of 314.708,54 Eur average project value per enterprise  (in terms of 2014-2020 financed projects in Mid-West Region under the 4 priority measure  "Atsinaujinantys energijos ištekliai pramonei LT+“). Also the result is reduced 15 % because of implementation risk (according to the experience of 2014-2020 value of discontinued projects is 15% of the value of completed projects): </t>
    </r>
    <r>
      <rPr>
        <b/>
        <sz val="11"/>
        <rFont val="Calibri"/>
        <family val="2"/>
        <charset val="186"/>
        <scheme val="minor"/>
      </rPr>
      <t>(5 385 670 /314.708,54)*0,85=15</t>
    </r>
    <r>
      <rPr>
        <sz val="11"/>
        <rFont val="Calibri"/>
        <family val="2"/>
        <scheme val="minor"/>
      </rPr>
      <t xml:space="preserve"> enterprises. 
</t>
    </r>
    <r>
      <rPr>
        <b/>
        <sz val="11"/>
        <rFont val="Calibri"/>
        <family val="2"/>
        <charset val="186"/>
        <scheme val="minor"/>
      </rPr>
      <t xml:space="preserve">It should be noted that between 2022 and 2024, the prices of solar energy modules in Lithuania (as well as across Europe) experienced a significant decline. Overall, prices fell by approximately 50–55%, driven by technological advancements, developments in global supply chains, increased market competition, decreasing production costs, and other contributing factors. Consequently, the reduction in average project costs has enabled the financing of a substantially greater number of companies. In light of these developments, the indicator value for 2029 has been recalculated, with the final value increased by 55%.
The final target of RCO02 is 15+55%=23 enterprises. 2024 milestone value ramain the same. </t>
    </r>
    <r>
      <rPr>
        <sz val="11"/>
        <rFont val="Calibri"/>
        <family val="2"/>
        <charset val="186"/>
        <scheme val="minor"/>
      </rPr>
      <t xml:space="preserve">
</t>
    </r>
  </si>
  <si>
    <r>
      <t xml:space="preserve">Based on the experience of 2014-2020, it is installed an avarage of 0.27-0.23 MW of solar equipment during one project. The avarage capacity of one equipment installed by one company is  (0,27+0,23)/2=0,25 MWh and it is 0,25*24 hours*365 days=2190 MWh/year. The final target of RCO02 is </t>
    </r>
    <r>
      <rPr>
        <b/>
        <sz val="11"/>
        <rFont val="Calibri"/>
        <family val="2"/>
        <charset val="186"/>
        <scheme val="minor"/>
      </rPr>
      <t>23</t>
    </r>
    <r>
      <rPr>
        <sz val="11"/>
        <rFont val="Calibri"/>
        <family val="2"/>
        <scheme val="minor"/>
      </rPr>
      <t xml:space="preserve"> companies, thus the target RCR31 is</t>
    </r>
    <r>
      <rPr>
        <b/>
        <sz val="11"/>
        <rFont val="Calibri"/>
        <family val="2"/>
        <charset val="186"/>
        <scheme val="minor"/>
      </rPr>
      <t xml:space="preserve"> 23*2190=50 370</t>
    </r>
    <r>
      <rPr>
        <sz val="11"/>
        <rFont val="Calibri"/>
        <family val="2"/>
        <scheme val="minor"/>
      </rPr>
      <t xml:space="preserve"> MWh/year.</t>
    </r>
  </si>
  <si>
    <t>General comments</t>
  </si>
  <si>
    <t>The co-financing rate has been revised, but the calculation of the indicator targets is still based on the previous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</si>
</sst>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 _€_-;\-* #,##0\ _€_-;_-* &quot;-&quot;\ _€_-;_-@_-"/>
    <numFmt numFmtId="165" formatCode="#,##0.0"/>
    <numFmt numFmtId="166" formatCode="0.0"/>
    <numFmt numFmtId="167" formatCode="0_ ;\-0\ "/>
  </numFmts>
  <fonts count="8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1"/>
      <name val="Calibri"/>
      <family val="2"/>
      <charset val="186"/>
      <scheme val="minor"/>
    </font>
    <font>
      <sz val="10"/>
      <color theme="1"/>
      <name val="Calibri"/>
      <family val="2"/>
      <scheme val="minor"/>
    </font>
    <font>
      <sz val="8"/>
      <name val="Calibri"/>
      <family val="2"/>
      <scheme val="minor"/>
    </font>
    <font>
      <b/>
      <sz val="16"/>
      <color rgb="FF00B050"/>
      <name val="Calibri"/>
      <family val="2"/>
      <charset val="186"/>
      <scheme val="minor"/>
    </font>
    <font>
      <b/>
      <sz val="10"/>
      <color theme="1"/>
      <name val="Calibri"/>
      <family val="2"/>
      <charset val="186"/>
      <scheme val="minor"/>
    </font>
    <font>
      <sz val="10"/>
      <color theme="1"/>
      <name val="Calibri"/>
      <family val="2"/>
      <charset val="186"/>
      <scheme val="minor"/>
    </font>
    <font>
      <b/>
      <sz val="10"/>
      <color theme="1"/>
      <name val="Calibri"/>
      <family val="2"/>
      <scheme val="minor"/>
    </font>
    <font>
      <sz val="10"/>
      <name val="Calibri"/>
      <family val="2"/>
      <scheme val="minor"/>
    </font>
    <font>
      <sz val="10"/>
      <name val="Calibri"/>
      <family val="2"/>
    </font>
    <font>
      <sz val="10"/>
      <color theme="1"/>
      <name val="Calibri"/>
      <family val="2"/>
    </font>
    <font>
      <b/>
      <sz val="10"/>
      <color theme="1"/>
      <name val="Calibri"/>
      <family val="2"/>
      <charset val="186"/>
    </font>
    <font>
      <sz val="10"/>
      <name val="Calibri"/>
      <family val="2"/>
      <charset val="186"/>
      <scheme val="minor"/>
    </font>
    <font>
      <sz val="10"/>
      <color rgb="FF000000"/>
      <name val="Calibri"/>
      <family val="2"/>
      <charset val="186"/>
      <scheme val="minor"/>
    </font>
    <font>
      <i/>
      <sz val="10"/>
      <color rgb="FFFF0000"/>
      <name val="Calibri"/>
      <family val="2"/>
      <charset val="186"/>
      <scheme val="minor"/>
    </font>
    <font>
      <sz val="10"/>
      <color theme="1"/>
      <name val="Calibri"/>
      <family val="2"/>
      <charset val="186"/>
    </font>
    <font>
      <b/>
      <sz val="10"/>
      <color rgb="FF00B050"/>
      <name val="Calibri"/>
      <family val="2"/>
      <charset val="186"/>
      <scheme val="minor"/>
    </font>
    <font>
      <b/>
      <sz val="10"/>
      <color theme="1"/>
      <name val="Times New Roman"/>
      <family val="1"/>
      <charset val="186"/>
    </font>
    <font>
      <b/>
      <sz val="10"/>
      <name val="Calibri"/>
      <family val="2"/>
      <charset val="186"/>
      <scheme val="minor"/>
    </font>
    <font>
      <i/>
      <sz val="10"/>
      <color rgb="FF00B050"/>
      <name val="Calibri"/>
      <family val="2"/>
      <charset val="186"/>
      <scheme val="minor"/>
    </font>
    <font>
      <sz val="10"/>
      <color rgb="FF00B050"/>
      <name val="Calibri"/>
      <family val="2"/>
      <scheme val="minor"/>
    </font>
    <font>
      <i/>
      <sz val="10"/>
      <color theme="1"/>
      <name val="Calibri"/>
      <family val="2"/>
      <charset val="186"/>
      <scheme val="minor"/>
    </font>
    <font>
      <sz val="10"/>
      <name val="Calibri"/>
      <family val="2"/>
      <charset val="186"/>
    </font>
    <font>
      <i/>
      <sz val="10"/>
      <color rgb="FF7030A0"/>
      <name val="Calibri"/>
      <family val="2"/>
      <scheme val="minor"/>
    </font>
    <font>
      <u/>
      <sz val="10"/>
      <color theme="1"/>
      <name val="Calibri"/>
      <family val="2"/>
      <charset val="186"/>
      <scheme val="minor"/>
    </font>
    <font>
      <u/>
      <sz val="10"/>
      <color theme="1"/>
      <name val="Calibri"/>
      <family val="2"/>
      <scheme val="minor"/>
    </font>
    <font>
      <u/>
      <sz val="10"/>
      <name val="Calibri"/>
      <family val="2"/>
      <charset val="186"/>
      <scheme val="minor"/>
    </font>
    <font>
      <i/>
      <sz val="10"/>
      <name val="Calibri"/>
      <family val="2"/>
      <charset val="186"/>
      <scheme val="minor"/>
    </font>
    <font>
      <i/>
      <sz val="10"/>
      <color theme="1"/>
      <name val="Calibri"/>
      <family val="2"/>
      <scheme val="minor"/>
    </font>
    <font>
      <i/>
      <sz val="10"/>
      <name val="Calibri"/>
      <family val="2"/>
      <scheme val="minor"/>
    </font>
    <font>
      <b/>
      <sz val="10"/>
      <name val="Calibri"/>
      <family val="2"/>
      <scheme val="minor"/>
    </font>
    <font>
      <i/>
      <sz val="10"/>
      <name val="Calibri"/>
      <family val="2"/>
      <charset val="186"/>
    </font>
    <font>
      <b/>
      <sz val="10"/>
      <color rgb="FFFF0000"/>
      <name val="Calibri"/>
      <family val="2"/>
      <scheme val="minor"/>
    </font>
    <font>
      <b/>
      <sz val="10"/>
      <color rgb="FFFF0000"/>
      <name val="Calibri"/>
      <family val="2"/>
      <charset val="186"/>
      <scheme val="minor"/>
    </font>
    <font>
      <sz val="10"/>
      <color rgb="FFFF0000"/>
      <name val="Calibri"/>
      <family val="2"/>
      <charset val="186"/>
      <scheme val="minor"/>
    </font>
    <font>
      <sz val="8"/>
      <color theme="1"/>
      <name val="Calibri"/>
      <family val="2"/>
    </font>
    <font>
      <sz val="10"/>
      <color rgb="FF7030A0"/>
      <name val="Calibri"/>
      <family val="2"/>
      <charset val="186"/>
      <scheme val="minor"/>
    </font>
    <font>
      <b/>
      <u/>
      <sz val="10"/>
      <color theme="1"/>
      <name val="Calibri"/>
      <family val="2"/>
      <charset val="186"/>
      <scheme val="minor"/>
    </font>
    <font>
      <i/>
      <sz val="11"/>
      <color rgb="FFFF0000"/>
      <name val="Calibri"/>
      <family val="2"/>
      <charset val="186"/>
      <scheme val="minor"/>
    </font>
    <font>
      <b/>
      <u/>
      <sz val="10"/>
      <name val="Calibri"/>
      <family val="2"/>
      <charset val="186"/>
      <scheme val="minor"/>
    </font>
    <font>
      <b/>
      <sz val="12"/>
      <color rgb="FF00B050"/>
      <name val="Calibri"/>
      <family val="2"/>
      <charset val="186"/>
      <scheme val="minor"/>
    </font>
    <font>
      <sz val="11"/>
      <name val="Calibri"/>
      <family val="2"/>
      <charset val="186"/>
      <scheme val="minor"/>
    </font>
    <font>
      <i/>
      <sz val="11"/>
      <name val="Calibri"/>
      <family val="2"/>
      <charset val="186"/>
      <scheme val="minor"/>
    </font>
    <font>
      <sz val="11"/>
      <color rgb="FF000000"/>
      <name val="Calibri"/>
      <family val="2"/>
      <charset val="186"/>
      <scheme val="minor"/>
    </font>
    <font>
      <u/>
      <sz val="11"/>
      <color theme="1"/>
      <name val="Calibri"/>
      <family val="2"/>
      <charset val="186"/>
      <scheme val="minor"/>
    </font>
    <font>
      <i/>
      <sz val="11"/>
      <color rgb="FF000000"/>
      <name val="Calibri"/>
      <family val="2"/>
      <charset val="186"/>
      <scheme val="minor"/>
    </font>
    <font>
      <sz val="11"/>
      <color theme="1"/>
      <name val="Calibri"/>
      <family val="2"/>
      <charset val="186"/>
    </font>
    <font>
      <sz val="11"/>
      <name val="Calibri"/>
      <family val="2"/>
      <scheme val="minor"/>
    </font>
    <font>
      <sz val="11"/>
      <color theme="1"/>
      <name val="Calibri"/>
      <family val="2"/>
      <scheme val="minor"/>
    </font>
    <font>
      <b/>
      <sz val="12"/>
      <color theme="1"/>
      <name val="Calibri"/>
      <family val="2"/>
      <charset val="186"/>
      <scheme val="minor"/>
    </font>
    <font>
      <sz val="12"/>
      <color theme="1"/>
      <name val="Calibri"/>
      <family val="2"/>
      <scheme val="minor"/>
    </font>
    <font>
      <sz val="12"/>
      <color theme="1"/>
      <name val="Calibri"/>
      <family val="2"/>
      <charset val="186"/>
      <scheme val="minor"/>
    </font>
    <font>
      <sz val="12"/>
      <name val="Calibri"/>
      <family val="2"/>
      <charset val="186"/>
      <scheme val="minor"/>
    </font>
    <font>
      <i/>
      <sz val="12"/>
      <name val="Calibri"/>
      <family val="2"/>
      <charset val="186"/>
      <scheme val="minor"/>
    </font>
    <font>
      <sz val="12"/>
      <color rgb="FF000000"/>
      <name val="Calibri"/>
      <family val="2"/>
      <charset val="186"/>
      <scheme val="minor"/>
    </font>
    <font>
      <sz val="11"/>
      <color rgb="FFFF0000"/>
      <name val="Calibri"/>
      <family val="2"/>
      <charset val="186"/>
      <scheme val="minor"/>
    </font>
    <font>
      <strike/>
      <sz val="11"/>
      <name val="Calibri"/>
      <family val="2"/>
      <charset val="186"/>
      <scheme val="minor"/>
    </font>
    <font>
      <b/>
      <sz val="11"/>
      <name val="Calibri"/>
      <family val="2"/>
      <scheme val="minor"/>
    </font>
    <font>
      <sz val="11"/>
      <name val="Calibri"/>
      <family val="2"/>
      <charset val="186"/>
    </font>
    <font>
      <b/>
      <sz val="11"/>
      <color theme="1"/>
      <name val="Calibri"/>
      <family val="2"/>
      <charset val="186"/>
    </font>
    <font>
      <i/>
      <sz val="12"/>
      <color rgb="FFFF0000"/>
      <name val="Calibri"/>
      <family val="2"/>
      <charset val="186"/>
      <scheme val="minor"/>
    </font>
    <font>
      <sz val="9"/>
      <color indexed="81"/>
      <name val="Tahoma"/>
      <family val="2"/>
      <charset val="186"/>
    </font>
    <font>
      <b/>
      <sz val="9"/>
      <color indexed="81"/>
      <name val="Tahoma"/>
      <family val="2"/>
      <charset val="186"/>
    </font>
    <font>
      <strike/>
      <sz val="11"/>
      <color theme="1"/>
      <name val="Calibri"/>
      <family val="2"/>
      <charset val="186"/>
      <scheme val="minor"/>
    </font>
    <font>
      <b/>
      <strike/>
      <sz val="11"/>
      <color theme="1"/>
      <name val="Calibri"/>
      <family val="2"/>
      <charset val="186"/>
      <scheme val="minor"/>
    </font>
    <font>
      <strike/>
      <u/>
      <sz val="11"/>
      <color theme="1"/>
      <name val="Calibri"/>
      <family val="2"/>
      <charset val="186"/>
      <scheme val="minor"/>
    </font>
    <font>
      <i/>
      <strike/>
      <sz val="11"/>
      <color theme="1"/>
      <name val="Calibri"/>
      <family val="2"/>
      <charset val="186"/>
      <scheme val="minor"/>
    </font>
    <font>
      <b/>
      <strike/>
      <sz val="11"/>
      <name val="Calibri"/>
      <family val="2"/>
      <charset val="186"/>
      <scheme val="minor"/>
    </font>
    <font>
      <u/>
      <sz val="11"/>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top/>
      <bottom style="thin">
        <color indexed="64"/>
      </bottom>
      <diagonal/>
    </border>
    <border>
      <left/>
      <right/>
      <top style="medium">
        <color indexed="64"/>
      </top>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2">
    <xf numFmtId="0" fontId="0" fillId="0" borderId="0"/>
    <xf numFmtId="164" fontId="61" fillId="0" borderId="0" applyFont="0" applyFill="0" applyBorder="0" applyAlignment="0" applyProtection="0"/>
  </cellStyleXfs>
  <cellXfs count="626">
    <xf numFmtId="0" fontId="0" fillId="0" borderId="0" xfId="0"/>
    <xf numFmtId="0" fontId="12" fillId="0" borderId="0" xfId="0" applyFont="1"/>
    <xf numFmtId="0" fontId="17" fillId="0" borderId="0" xfId="0" applyFont="1"/>
    <xf numFmtId="0" fontId="15" fillId="0" borderId="0" xfId="0" applyFont="1"/>
    <xf numFmtId="0" fontId="21" fillId="0" borderId="1" xfId="0" applyFont="1" applyBorder="1" applyAlignment="1">
      <alignment horizontal="center" vertical="center" wrapText="1"/>
    </xf>
    <xf numFmtId="4" fontId="21" fillId="0" borderId="1" xfId="0" applyNumberFormat="1" applyFont="1" applyBorder="1" applyAlignment="1">
      <alignment horizontal="center" vertical="center" wrapText="1"/>
    </xf>
    <xf numFmtId="0" fontId="21" fillId="0" borderId="1" xfId="0" applyFont="1" applyBorder="1" applyAlignment="1">
      <alignment vertical="center" wrapText="1"/>
    </xf>
    <xf numFmtId="0" fontId="25" fillId="0" borderId="1" xfId="0" applyFont="1" applyBorder="1" applyAlignment="1">
      <alignment horizontal="center" vertical="center" wrapText="1"/>
    </xf>
    <xf numFmtId="0" fontId="21" fillId="0" borderId="9" xfId="0" applyFont="1" applyBorder="1" applyAlignment="1">
      <alignment horizontal="center" vertical="center" wrapText="1"/>
    </xf>
    <xf numFmtId="0" fontId="0" fillId="0" borderId="26" xfId="0" applyBorder="1"/>
    <xf numFmtId="0" fontId="15" fillId="0" borderId="0" xfId="0" applyFont="1" applyAlignment="1">
      <alignment vertical="center" wrapText="1"/>
    </xf>
    <xf numFmtId="0" fontId="29" fillId="0" borderId="0" xfId="0" applyFont="1"/>
    <xf numFmtId="0" fontId="19" fillId="0" borderId="0" xfId="0" applyFont="1"/>
    <xf numFmtId="0" fontId="19" fillId="0" borderId="0" xfId="0" applyFont="1" applyAlignment="1">
      <alignment horizontal="center" vertical="center"/>
    </xf>
    <xf numFmtId="0" fontId="19" fillId="0" borderId="10" xfId="0" applyFont="1" applyBorder="1" applyAlignment="1">
      <alignment horizontal="center" vertical="center"/>
    </xf>
    <xf numFmtId="0" fontId="19" fillId="0" borderId="10" xfId="0" applyFont="1" applyBorder="1" applyAlignment="1">
      <alignment vertical="center" wrapText="1"/>
    </xf>
    <xf numFmtId="0" fontId="18" fillId="0" borderId="1" xfId="0" applyFont="1" applyBorder="1" applyAlignment="1">
      <alignment horizontal="center" vertical="center" wrapText="1"/>
    </xf>
    <xf numFmtId="165" fontId="25" fillId="0" borderId="1" xfId="0" applyNumberFormat="1" applyFont="1" applyBorder="1" applyAlignment="1">
      <alignment horizontal="center" vertical="center"/>
    </xf>
    <xf numFmtId="165" fontId="21" fillId="0" borderId="1" xfId="0" applyNumberFormat="1" applyFont="1" applyBorder="1" applyAlignment="1">
      <alignment horizontal="center" vertical="center"/>
    </xf>
    <xf numFmtId="0" fontId="33" fillId="0" borderId="0" xfId="0" applyFont="1"/>
    <xf numFmtId="0" fontId="19" fillId="0" borderId="1" xfId="0" applyFont="1" applyBorder="1" applyAlignment="1">
      <alignment horizontal="center" vertical="center"/>
    </xf>
    <xf numFmtId="165" fontId="18" fillId="0" borderId="2" xfId="0" applyNumberFormat="1" applyFont="1" applyBorder="1" applyAlignment="1">
      <alignment horizontal="center" vertical="center" wrapText="1"/>
    </xf>
    <xf numFmtId="0" fontId="19" fillId="0" borderId="1" xfId="0" applyFont="1" applyBorder="1" applyAlignment="1">
      <alignment horizontal="center" vertical="center" wrapText="1"/>
    </xf>
    <xf numFmtId="3" fontId="21" fillId="0" borderId="1" xfId="0" applyNumberFormat="1" applyFont="1" applyBorder="1" applyAlignment="1">
      <alignment horizontal="center" vertical="center" wrapText="1"/>
    </xf>
    <xf numFmtId="165" fontId="19" fillId="0" borderId="0" xfId="0" applyNumberFormat="1" applyFont="1"/>
    <xf numFmtId="165" fontId="18" fillId="0" borderId="11" xfId="0" applyNumberFormat="1" applyFont="1" applyBorder="1" applyAlignment="1">
      <alignment horizontal="left" vertical="center" wrapText="1"/>
    </xf>
    <xf numFmtId="0" fontId="19" fillId="0" borderId="0" xfId="0" applyFont="1" applyAlignment="1">
      <alignment horizontal="center"/>
    </xf>
    <xf numFmtId="165" fontId="18" fillId="0" borderId="1" xfId="0" applyNumberFormat="1" applyFont="1" applyBorder="1" applyAlignment="1">
      <alignment horizontal="center" vertical="center" wrapText="1"/>
    </xf>
    <xf numFmtId="0" fontId="26" fillId="0" borderId="1" xfId="0" applyFont="1" applyBorder="1" applyAlignment="1">
      <alignment horizontal="center" vertical="center" wrapText="1"/>
    </xf>
    <xf numFmtId="3" fontId="25" fillId="0" borderId="1" xfId="0" applyNumberFormat="1" applyFont="1" applyBorder="1" applyAlignment="1">
      <alignment horizontal="center" vertical="center"/>
    </xf>
    <xf numFmtId="165" fontId="25" fillId="0" borderId="1" xfId="0" applyNumberFormat="1" applyFont="1" applyBorder="1" applyAlignment="1">
      <alignment horizontal="center" vertical="center" wrapText="1"/>
    </xf>
    <xf numFmtId="0" fontId="18" fillId="0" borderId="2" xfId="0" applyFont="1" applyBorder="1" applyAlignment="1">
      <alignment horizontal="center" vertical="center"/>
    </xf>
    <xf numFmtId="3" fontId="19" fillId="0" borderId="1"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19" fillId="0" borderId="1" xfId="0" applyFont="1" applyBorder="1" applyAlignment="1">
      <alignment horizontal="center" wrapText="1"/>
    </xf>
    <xf numFmtId="0" fontId="25" fillId="0" borderId="1" xfId="0" applyFont="1" applyBorder="1" applyAlignment="1">
      <alignment horizontal="center" vertical="center"/>
    </xf>
    <xf numFmtId="165" fontId="19" fillId="0" borderId="1" xfId="0" applyNumberFormat="1" applyFont="1" applyBorder="1" applyAlignment="1">
      <alignment horizontal="center" vertical="center"/>
    </xf>
    <xf numFmtId="0" fontId="21" fillId="0" borderId="1" xfId="0" applyFont="1" applyBorder="1" applyAlignment="1">
      <alignment horizontal="center" vertical="center"/>
    </xf>
    <xf numFmtId="0" fontId="23" fillId="0" borderId="1" xfId="0" applyFont="1" applyBorder="1" applyAlignment="1">
      <alignment horizontal="center" vertical="center" wrapText="1"/>
    </xf>
    <xf numFmtId="0" fontId="15" fillId="0" borderId="1" xfId="0" applyFont="1" applyBorder="1" applyAlignment="1">
      <alignment vertical="top" wrapText="1"/>
    </xf>
    <xf numFmtId="0" fontId="19" fillId="0" borderId="1" xfId="0" applyFont="1" applyBorder="1" applyAlignment="1">
      <alignment vertical="center" wrapText="1"/>
    </xf>
    <xf numFmtId="0" fontId="19" fillId="0" borderId="1" xfId="0" applyFont="1" applyBorder="1" applyAlignment="1">
      <alignment horizontal="left" vertical="center" wrapText="1"/>
    </xf>
    <xf numFmtId="0" fontId="15" fillId="0" borderId="1" xfId="0" applyFont="1" applyBorder="1" applyAlignment="1">
      <alignment horizontal="left" vertical="center" wrapText="1"/>
    </xf>
    <xf numFmtId="0" fontId="19" fillId="0" borderId="10" xfId="0" applyFont="1" applyBorder="1" applyAlignment="1">
      <alignment horizontal="center" vertical="center" wrapText="1"/>
    </xf>
    <xf numFmtId="0" fontId="18" fillId="0" borderId="2" xfId="0" applyFont="1" applyBorder="1" applyAlignment="1">
      <alignment horizontal="center" vertical="center" wrapText="1"/>
    </xf>
    <xf numFmtId="4" fontId="25" fillId="0" borderId="1" xfId="0" applyNumberFormat="1" applyFont="1" applyBorder="1" applyAlignment="1">
      <alignment horizontal="center" vertical="center" wrapText="1"/>
    </xf>
    <xf numFmtId="165" fontId="21" fillId="0" borderId="1" xfId="0" applyNumberFormat="1" applyFont="1" applyBorder="1" applyAlignment="1">
      <alignment horizontal="center" vertical="center" wrapText="1"/>
    </xf>
    <xf numFmtId="0" fontId="21" fillId="0" borderId="2" xfId="0" applyFont="1" applyBorder="1" applyAlignment="1">
      <alignment horizontal="center" vertical="center" wrapText="1"/>
    </xf>
    <xf numFmtId="0" fontId="21" fillId="0" borderId="10" xfId="0" applyFont="1" applyBorder="1" applyAlignment="1">
      <alignment horizontal="center" vertical="center" wrapText="1"/>
    </xf>
    <xf numFmtId="0" fontId="23"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1" fillId="0" borderId="2" xfId="0" applyFont="1" applyBorder="1" applyAlignment="1">
      <alignment horizontal="center" vertical="center"/>
    </xf>
    <xf numFmtId="0" fontId="21" fillId="0" borderId="10" xfId="0" applyFont="1" applyBorder="1" applyAlignment="1">
      <alignment horizontal="center" vertical="center"/>
    </xf>
    <xf numFmtId="0" fontId="25" fillId="0" borderId="1" xfId="0" applyFont="1" applyBorder="1" applyAlignment="1">
      <alignment horizontal="left" vertical="center" wrapText="1"/>
    </xf>
    <xf numFmtId="0" fontId="0" fillId="0" borderId="0" xfId="0" applyAlignment="1">
      <alignment horizontal="left" vertical="top"/>
    </xf>
    <xf numFmtId="0" fontId="15" fillId="0" borderId="1" xfId="0" applyFont="1" applyBorder="1" applyAlignment="1">
      <alignment horizontal="left" vertical="top" wrapText="1"/>
    </xf>
    <xf numFmtId="0" fontId="15" fillId="0" borderId="1" xfId="0" applyFont="1" applyBorder="1" applyAlignment="1">
      <alignment horizontal="left" wrapText="1"/>
    </xf>
    <xf numFmtId="0" fontId="15" fillId="0" borderId="3" xfId="0" applyFont="1" applyBorder="1" applyAlignment="1">
      <alignment horizontal="left" vertical="center" wrapText="1"/>
    </xf>
    <xf numFmtId="0" fontId="15" fillId="0" borderId="22" xfId="0" applyFont="1" applyBorder="1" applyAlignment="1">
      <alignment horizontal="left" vertical="center" wrapText="1"/>
    </xf>
    <xf numFmtId="0" fontId="15" fillId="0" borderId="3" xfId="0" applyFont="1" applyBorder="1" applyAlignment="1">
      <alignment horizontal="left" vertical="top" wrapText="1"/>
    </xf>
    <xf numFmtId="0" fontId="15" fillId="0" borderId="17" xfId="0" applyFont="1" applyBorder="1" applyAlignment="1">
      <alignment horizontal="left" vertical="top" wrapText="1"/>
    </xf>
    <xf numFmtId="0" fontId="15" fillId="0" borderId="3" xfId="0" applyFont="1" applyBorder="1" applyAlignment="1">
      <alignment vertical="center" wrapText="1"/>
    </xf>
    <xf numFmtId="0" fontId="15" fillId="0" borderId="3" xfId="0" applyFont="1" applyBorder="1" applyAlignment="1">
      <alignment horizontal="left" wrapText="1"/>
    </xf>
    <xf numFmtId="0" fontId="15" fillId="0" borderId="1" xfId="0" applyFont="1" applyBorder="1" applyAlignment="1">
      <alignment wrapText="1"/>
    </xf>
    <xf numFmtId="0" fontId="19" fillId="0" borderId="1" xfId="0" applyFont="1" applyBorder="1" applyAlignment="1">
      <alignment vertical="top" wrapText="1"/>
    </xf>
    <xf numFmtId="0" fontId="25" fillId="0" borderId="1" xfId="0" applyFont="1" applyBorder="1" applyAlignment="1">
      <alignment vertical="top" wrapText="1"/>
    </xf>
    <xf numFmtId="0" fontId="15" fillId="0" borderId="3" xfId="0" applyFont="1" applyBorder="1" applyAlignment="1">
      <alignment vertical="top" wrapText="1"/>
    </xf>
    <xf numFmtId="0" fontId="35" fillId="0" borderId="1" xfId="0" applyFont="1" applyBorder="1" applyAlignment="1">
      <alignment horizontal="center" vertical="center" wrapText="1"/>
    </xf>
    <xf numFmtId="0" fontId="42" fillId="0" borderId="1" xfId="0" applyFont="1" applyBorder="1" applyAlignment="1">
      <alignment horizontal="center" vertical="center" wrapText="1"/>
    </xf>
    <xf numFmtId="0" fontId="35" fillId="0" borderId="10" xfId="0" applyFont="1" applyBorder="1" applyAlignment="1">
      <alignment horizontal="center" vertical="center" wrapText="1"/>
    </xf>
    <xf numFmtId="0" fontId="21" fillId="0" borderId="6" xfId="0" applyFont="1" applyBorder="1" applyAlignment="1">
      <alignment horizontal="center" vertical="center"/>
    </xf>
    <xf numFmtId="0" fontId="25" fillId="0" borderId="6" xfId="0" applyFont="1" applyBorder="1" applyAlignment="1">
      <alignment horizontal="center" vertical="center" wrapText="1"/>
    </xf>
    <xf numFmtId="0" fontId="25" fillId="0" borderId="1" xfId="0" applyFont="1" applyBorder="1" applyAlignment="1">
      <alignment vertical="center" wrapText="1"/>
    </xf>
    <xf numFmtId="0" fontId="31" fillId="0" borderId="1" xfId="0" applyFont="1" applyBorder="1" applyAlignment="1">
      <alignment horizontal="center" vertical="center" wrapText="1"/>
    </xf>
    <xf numFmtId="3" fontId="21" fillId="0" borderId="10" xfId="0" applyNumberFormat="1" applyFont="1" applyBorder="1" applyAlignment="1">
      <alignment horizontal="center" vertical="center"/>
    </xf>
    <xf numFmtId="3" fontId="21" fillId="0" borderId="1" xfId="0" applyNumberFormat="1" applyFont="1" applyBorder="1" applyAlignment="1">
      <alignment horizontal="center" vertical="center"/>
    </xf>
    <xf numFmtId="0" fontId="21" fillId="0" borderId="9" xfId="0" applyFont="1" applyBorder="1" applyAlignment="1">
      <alignment horizontal="center" vertical="center"/>
    </xf>
    <xf numFmtId="0" fontId="21" fillId="0" borderId="6" xfId="0" applyFont="1" applyBorder="1" applyAlignment="1">
      <alignment horizontal="center" vertical="center" wrapText="1"/>
    </xf>
    <xf numFmtId="0" fontId="15" fillId="0" borderId="10" xfId="0" applyFont="1" applyBorder="1" applyAlignment="1">
      <alignment horizontal="center" vertical="center" wrapText="1"/>
    </xf>
    <xf numFmtId="0" fontId="21" fillId="0" borderId="8" xfId="0" applyFont="1" applyBorder="1" applyAlignment="1">
      <alignment horizontal="center" vertical="center"/>
    </xf>
    <xf numFmtId="0" fontId="15" fillId="0" borderId="16" xfId="0" applyFont="1" applyBorder="1" applyAlignment="1">
      <alignment vertical="top" wrapText="1"/>
    </xf>
    <xf numFmtId="0" fontId="15" fillId="0" borderId="22" xfId="0" applyFont="1" applyBorder="1" applyAlignment="1">
      <alignment vertical="top" wrapText="1"/>
    </xf>
    <xf numFmtId="0" fontId="15" fillId="0" borderId="17" xfId="0" applyFont="1" applyBorder="1" applyAlignment="1">
      <alignment vertical="top" wrapText="1"/>
    </xf>
    <xf numFmtId="0" fontId="21" fillId="0" borderId="16" xfId="0" applyFont="1" applyBorder="1" applyAlignment="1">
      <alignment horizontal="left" vertical="top" wrapText="1"/>
    </xf>
    <xf numFmtId="0" fontId="21" fillId="0" borderId="17" xfId="0" applyFont="1" applyBorder="1" applyAlignment="1">
      <alignment vertical="top" wrapText="1"/>
    </xf>
    <xf numFmtId="0" fontId="20" fillId="2" borderId="9" xfId="0" applyFont="1" applyFill="1" applyBorder="1" applyAlignment="1">
      <alignment horizontal="center" vertical="center" wrapText="1"/>
    </xf>
    <xf numFmtId="0" fontId="20" fillId="0" borderId="17" xfId="0" applyFont="1" applyBorder="1" applyAlignment="1">
      <alignment horizontal="center" vertical="center" wrapText="1"/>
    </xf>
    <xf numFmtId="0" fontId="43" fillId="0" borderId="9"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9" xfId="0" applyFont="1" applyBorder="1" applyAlignment="1">
      <alignment horizontal="center" vertical="center"/>
    </xf>
    <xf numFmtId="0" fontId="0" fillId="0" borderId="23" xfId="0" applyBorder="1" applyAlignment="1">
      <alignment horizontal="left" vertical="top"/>
    </xf>
    <xf numFmtId="0" fontId="15" fillId="0" borderId="11" xfId="0" applyFont="1" applyBorder="1" applyAlignment="1">
      <alignment horizontal="left" vertical="top" wrapText="1"/>
    </xf>
    <xf numFmtId="0" fontId="0" fillId="0" borderId="24" xfId="0" applyBorder="1"/>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22" xfId="0" applyFont="1" applyBorder="1" applyAlignment="1">
      <alignment horizontal="left" vertical="top" wrapText="1"/>
    </xf>
    <xf numFmtId="0" fontId="15" fillId="0" borderId="6" xfId="0" applyFont="1" applyBorder="1" applyAlignment="1">
      <alignment horizontal="center" vertical="center" wrapText="1"/>
    </xf>
    <xf numFmtId="0" fontId="15" fillId="0" borderId="16" xfId="0" applyFont="1" applyBorder="1" applyAlignment="1">
      <alignment horizontal="left" vertical="top" wrapText="1"/>
    </xf>
    <xf numFmtId="0" fontId="19" fillId="0" borderId="14" xfId="0" applyFont="1" applyBorder="1" applyAlignment="1">
      <alignment horizontal="left" vertical="top" wrapText="1"/>
    </xf>
    <xf numFmtId="0" fontId="19" fillId="0" borderId="11" xfId="0" applyFont="1" applyBorder="1" applyAlignment="1">
      <alignment horizontal="left" vertical="top" wrapText="1"/>
    </xf>
    <xf numFmtId="3" fontId="25" fillId="0" borderId="1"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32" fillId="0" borderId="2" xfId="0" applyFont="1" applyBorder="1" applyAlignment="1">
      <alignment horizontal="center" vertical="center" wrapText="1"/>
    </xf>
    <xf numFmtId="3" fontId="21" fillId="0" borderId="2" xfId="0" applyNumberFormat="1" applyFont="1" applyBorder="1" applyAlignment="1">
      <alignment horizontal="center" vertical="center" wrapText="1"/>
    </xf>
    <xf numFmtId="4" fontId="25" fillId="0" borderId="2" xfId="0" applyNumberFormat="1" applyFont="1" applyBorder="1" applyAlignment="1">
      <alignment horizontal="center" vertical="center" wrapText="1"/>
    </xf>
    <xf numFmtId="0" fontId="21" fillId="0" borderId="11" xfId="0" applyFont="1" applyBorder="1" applyAlignment="1">
      <alignment vertical="top" wrapText="1"/>
    </xf>
    <xf numFmtId="0" fontId="29" fillId="0" borderId="0" xfId="0" applyFont="1" applyAlignment="1">
      <alignment horizontal="center"/>
    </xf>
    <xf numFmtId="0" fontId="31" fillId="0" borderId="11" xfId="0" applyFont="1" applyBorder="1" applyAlignment="1">
      <alignment horizontal="center" vertical="center" wrapText="1"/>
    </xf>
    <xf numFmtId="0" fontId="25" fillId="0" borderId="2" xfId="0" applyFont="1" applyBorder="1" applyAlignment="1">
      <alignment horizontal="left" vertical="center" wrapText="1"/>
    </xf>
    <xf numFmtId="3" fontId="25" fillId="0" borderId="2" xfId="0" applyNumberFormat="1" applyFont="1" applyBorder="1" applyAlignment="1">
      <alignment horizontal="center" vertical="center"/>
    </xf>
    <xf numFmtId="0" fontId="22" fillId="0" borderId="1" xfId="0" applyFont="1" applyBorder="1" applyAlignment="1">
      <alignment vertical="center" wrapText="1"/>
    </xf>
    <xf numFmtId="0" fontId="25" fillId="0" borderId="2" xfId="0" applyFont="1" applyBorder="1" applyAlignment="1">
      <alignment vertical="center" wrapText="1"/>
    </xf>
    <xf numFmtId="165" fontId="34" fillId="0" borderId="0" xfId="0" applyNumberFormat="1" applyFont="1"/>
    <xf numFmtId="0" fontId="19" fillId="0" borderId="6" xfId="0" applyFont="1" applyBorder="1" applyAlignment="1">
      <alignment horizontal="center" vertical="center" wrapText="1"/>
    </xf>
    <xf numFmtId="0" fontId="15" fillId="3" borderId="1" xfId="0" applyFont="1" applyFill="1" applyBorder="1" applyAlignment="1">
      <alignment horizontal="left" vertical="top" wrapText="1"/>
    </xf>
    <xf numFmtId="0" fontId="19" fillId="0" borderId="6" xfId="0" applyFont="1" applyBorder="1" applyAlignment="1">
      <alignment horizontal="center" vertical="center"/>
    </xf>
    <xf numFmtId="0" fontId="19" fillId="0" borderId="6" xfId="0" applyFont="1" applyBorder="1" applyAlignment="1">
      <alignment vertical="center" wrapText="1"/>
    </xf>
    <xf numFmtId="0" fontId="15" fillId="0" borderId="6" xfId="0" applyFont="1" applyBorder="1" applyAlignment="1">
      <alignment horizontal="left" vertical="center" wrapText="1"/>
    </xf>
    <xf numFmtId="0" fontId="44" fillId="0" borderId="0" xfId="0" applyFont="1"/>
    <xf numFmtId="0" fontId="0" fillId="0" borderId="27" xfId="0" applyBorder="1"/>
    <xf numFmtId="0" fontId="38" fillId="0" borderId="3" xfId="0" applyFont="1" applyBorder="1" applyAlignment="1">
      <alignment horizontal="left" vertical="top" wrapText="1"/>
    </xf>
    <xf numFmtId="0" fontId="15" fillId="3" borderId="1" xfId="0" applyFont="1" applyFill="1" applyBorder="1" applyAlignment="1">
      <alignment vertical="top" wrapText="1"/>
    </xf>
    <xf numFmtId="0" fontId="19" fillId="3" borderId="1" xfId="0" applyFont="1" applyFill="1" applyBorder="1" applyAlignment="1">
      <alignment vertical="top" wrapText="1"/>
    </xf>
    <xf numFmtId="0" fontId="15" fillId="3" borderId="6" xfId="0" applyFont="1" applyFill="1" applyBorder="1" applyAlignment="1">
      <alignment vertical="top" wrapText="1"/>
    </xf>
    <xf numFmtId="0" fontId="25" fillId="3" borderId="1" xfId="0" applyFont="1" applyFill="1" applyBorder="1" applyAlignment="1">
      <alignment vertical="top" wrapText="1"/>
    </xf>
    <xf numFmtId="0" fontId="25" fillId="0" borderId="6" xfId="0" applyFont="1" applyBorder="1" applyAlignment="1">
      <alignment horizontal="center" vertical="center"/>
    </xf>
    <xf numFmtId="0" fontId="25" fillId="0" borderId="6" xfId="0" applyFont="1" applyBorder="1" applyAlignment="1">
      <alignment horizontal="left" vertical="center" wrapText="1"/>
    </xf>
    <xf numFmtId="4" fontId="25" fillId="0" borderId="6" xfId="0" applyNumberFormat="1" applyFont="1" applyBorder="1" applyAlignment="1">
      <alignment horizontal="center" vertical="center" wrapText="1"/>
    </xf>
    <xf numFmtId="0" fontId="15" fillId="0" borderId="6" xfId="0" applyFont="1" applyBorder="1" applyAlignment="1">
      <alignment horizontal="left" vertical="top" wrapText="1"/>
    </xf>
    <xf numFmtId="0" fontId="41" fillId="0" borderId="1" xfId="0" applyFont="1" applyBorder="1" applyAlignment="1">
      <alignment horizontal="left" wrapText="1"/>
    </xf>
    <xf numFmtId="0" fontId="15" fillId="3" borderId="1" xfId="0" applyFont="1" applyFill="1" applyBorder="1" applyAlignment="1">
      <alignment wrapText="1"/>
    </xf>
    <xf numFmtId="0" fontId="25" fillId="0" borderId="8" xfId="0" applyFont="1" applyBorder="1" applyAlignment="1">
      <alignment horizontal="center" vertical="center" wrapText="1"/>
    </xf>
    <xf numFmtId="165" fontId="25" fillId="0" borderId="6" xfId="0" applyNumberFormat="1" applyFont="1" applyBorder="1" applyAlignment="1">
      <alignment horizontal="center" vertical="center" wrapText="1"/>
    </xf>
    <xf numFmtId="0" fontId="25" fillId="0" borderId="10" xfId="0" applyFont="1" applyBorder="1" applyAlignment="1">
      <alignment horizontal="left" vertical="center" wrapText="1"/>
    </xf>
    <xf numFmtId="0" fontId="21" fillId="0" borderId="27" xfId="0" applyFont="1" applyBorder="1" applyAlignment="1">
      <alignment vertical="top" wrapText="1"/>
    </xf>
    <xf numFmtId="0" fontId="15" fillId="3" borderId="10" xfId="0" applyFont="1" applyFill="1" applyBorder="1" applyAlignment="1">
      <alignment vertical="top" wrapText="1"/>
    </xf>
    <xf numFmtId="165" fontId="25" fillId="0" borderId="6" xfId="0" applyNumberFormat="1" applyFont="1" applyBorder="1" applyAlignment="1">
      <alignment horizontal="center" vertical="center"/>
    </xf>
    <xf numFmtId="4" fontId="25" fillId="0" borderId="10" xfId="0" applyNumberFormat="1" applyFont="1" applyBorder="1" applyAlignment="1">
      <alignment horizontal="center" vertical="center" wrapText="1"/>
    </xf>
    <xf numFmtId="165" fontId="25" fillId="0" borderId="2" xfId="0" applyNumberFormat="1" applyFont="1" applyBorder="1" applyAlignment="1">
      <alignment horizontal="center" vertical="center" wrapText="1"/>
    </xf>
    <xf numFmtId="165" fontId="25" fillId="0" borderId="10" xfId="0" applyNumberFormat="1" applyFont="1" applyBorder="1" applyAlignment="1">
      <alignment horizontal="center" vertical="center" wrapText="1"/>
    </xf>
    <xf numFmtId="0" fontId="25" fillId="0" borderId="10" xfId="0" applyFont="1" applyBorder="1" applyAlignment="1">
      <alignment horizontal="center" vertical="center" wrapText="1"/>
    </xf>
    <xf numFmtId="0" fontId="25" fillId="0" borderId="10" xfId="0" applyFont="1" applyBorder="1" applyAlignment="1">
      <alignment horizontal="center" vertical="center"/>
    </xf>
    <xf numFmtId="165" fontId="25" fillId="0" borderId="8" xfId="0" applyNumberFormat="1" applyFont="1" applyBorder="1" applyAlignment="1">
      <alignment horizontal="center" vertical="center" wrapText="1"/>
    </xf>
    <xf numFmtId="165" fontId="25" fillId="0" borderId="2" xfId="0" applyNumberFormat="1" applyFont="1" applyBorder="1" applyAlignment="1">
      <alignment horizontal="center" vertical="center"/>
    </xf>
    <xf numFmtId="165" fontId="25" fillId="0" borderId="10" xfId="0" applyNumberFormat="1" applyFont="1" applyBorder="1" applyAlignment="1">
      <alignment horizontal="center" vertical="center"/>
    </xf>
    <xf numFmtId="0" fontId="56" fillId="0" borderId="1" xfId="0" applyFont="1" applyBorder="1" applyAlignment="1">
      <alignment horizontal="center" vertical="center" wrapText="1"/>
    </xf>
    <xf numFmtId="3" fontId="54" fillId="0" borderId="1" xfId="0" applyNumberFormat="1" applyFont="1" applyBorder="1" applyAlignment="1">
      <alignment horizontal="center" vertical="center" wrapText="1"/>
    </xf>
    <xf numFmtId="3" fontId="54" fillId="0" borderId="1" xfId="0" applyNumberFormat="1" applyFont="1" applyBorder="1" applyAlignment="1">
      <alignment horizontal="center" vertical="center"/>
    </xf>
    <xf numFmtId="0" fontId="13" fillId="0" borderId="2" xfId="0" applyFont="1" applyBorder="1" applyAlignment="1">
      <alignment vertical="top" wrapText="1"/>
    </xf>
    <xf numFmtId="0" fontId="13" fillId="0" borderId="2" xfId="0" applyFont="1" applyBorder="1" applyAlignment="1">
      <alignment vertical="top"/>
    </xf>
    <xf numFmtId="0" fontId="54" fillId="0" borderId="32" xfId="0" applyFont="1" applyBorder="1" applyAlignment="1">
      <alignment horizontal="center" vertical="center"/>
    </xf>
    <xf numFmtId="0" fontId="54" fillId="0" borderId="32" xfId="0" applyFont="1" applyBorder="1" applyAlignment="1">
      <alignment horizontal="center" vertical="center" wrapText="1"/>
    </xf>
    <xf numFmtId="0" fontId="11" fillId="0" borderId="0" xfId="0" applyFont="1"/>
    <xf numFmtId="0" fontId="11" fillId="0" borderId="0" xfId="0" applyFont="1" applyAlignment="1">
      <alignment horizontal="center" vertical="center"/>
    </xf>
    <xf numFmtId="165" fontId="11" fillId="0" borderId="0" xfId="0" applyNumberFormat="1" applyFont="1"/>
    <xf numFmtId="165" fontId="13" fillId="0" borderId="11" xfId="0" applyNumberFormat="1" applyFont="1" applyBorder="1" applyAlignment="1">
      <alignment horizontal="left" vertical="center" wrapText="1"/>
    </xf>
    <xf numFmtId="0" fontId="14" fillId="0" borderId="11" xfId="0" applyFont="1" applyBorder="1" applyAlignment="1">
      <alignment horizontal="center" vertical="center" wrapText="1"/>
    </xf>
    <xf numFmtId="0" fontId="54" fillId="0" borderId="9" xfId="0" applyFont="1" applyBorder="1" applyAlignment="1">
      <alignment horizontal="center" vertical="center"/>
    </xf>
    <xf numFmtId="0" fontId="59" fillId="0" borderId="0" xfId="0" applyFont="1" applyAlignment="1">
      <alignment horizontal="center" vertical="center" wrapText="1"/>
    </xf>
    <xf numFmtId="0" fontId="59" fillId="0" borderId="0" xfId="0" applyFont="1" applyAlignment="1">
      <alignment wrapText="1"/>
    </xf>
    <xf numFmtId="0" fontId="55" fillId="0" borderId="0" xfId="0" applyFont="1" applyAlignment="1">
      <alignment horizontal="center" vertical="center" wrapText="1"/>
    </xf>
    <xf numFmtId="0" fontId="58" fillId="0" borderId="0" xfId="0" applyFont="1" applyAlignment="1">
      <alignment vertical="center" wrapText="1"/>
    </xf>
    <xf numFmtId="0" fontId="55" fillId="0" borderId="0" xfId="0" applyFont="1" applyAlignment="1">
      <alignment horizontal="center" vertical="center"/>
    </xf>
    <xf numFmtId="4" fontId="55" fillId="0" borderId="0" xfId="0" applyNumberFormat="1" applyFont="1" applyAlignment="1">
      <alignment horizontal="center" vertical="center" wrapText="1"/>
    </xf>
    <xf numFmtId="0" fontId="54" fillId="2" borderId="1" xfId="0" applyFont="1" applyFill="1" applyBorder="1" applyAlignment="1">
      <alignment horizontal="center" vertical="center" wrapText="1"/>
    </xf>
    <xf numFmtId="0" fontId="56" fillId="2" borderId="1" xfId="0" applyFont="1" applyFill="1" applyBorder="1" applyAlignment="1">
      <alignment horizontal="center" vertical="center" wrapText="1"/>
    </xf>
    <xf numFmtId="0" fontId="54" fillId="2" borderId="32" xfId="0" applyFont="1" applyFill="1" applyBorder="1" applyAlignment="1">
      <alignment horizontal="center" vertical="center"/>
    </xf>
    <xf numFmtId="0" fontId="13" fillId="0" borderId="9" xfId="0" applyFont="1" applyBorder="1" applyAlignment="1">
      <alignment vertical="top" wrapText="1"/>
    </xf>
    <xf numFmtId="0" fontId="13" fillId="0" borderId="17" xfId="0" applyFont="1" applyBorder="1" applyAlignment="1">
      <alignment vertical="top" wrapText="1"/>
    </xf>
    <xf numFmtId="0" fontId="14" fillId="2" borderId="17" xfId="0" applyFont="1" applyFill="1" applyBorder="1" applyAlignment="1">
      <alignment vertical="top" wrapText="1"/>
    </xf>
    <xf numFmtId="0" fontId="13" fillId="0" borderId="9" xfId="0" applyFont="1" applyBorder="1" applyAlignment="1">
      <alignment vertical="top"/>
    </xf>
    <xf numFmtId="0" fontId="13" fillId="0" borderId="0" xfId="0" applyFont="1" applyAlignment="1">
      <alignment horizontal="left" vertical="top" wrapText="1"/>
    </xf>
    <xf numFmtId="0" fontId="13" fillId="0" borderId="0" xfId="0" applyFont="1" applyAlignment="1">
      <alignment vertical="top" wrapText="1"/>
    </xf>
    <xf numFmtId="0" fontId="13" fillId="0" borderId="0" xfId="0" applyFont="1" applyAlignment="1">
      <alignment vertical="top"/>
    </xf>
    <xf numFmtId="0" fontId="13" fillId="0" borderId="0" xfId="0" applyFont="1" applyAlignment="1">
      <alignment horizontal="center" vertical="top" wrapText="1"/>
    </xf>
    <xf numFmtId="0" fontId="13" fillId="0" borderId="0" xfId="0" applyFont="1" applyAlignment="1">
      <alignment horizontal="center" vertical="top"/>
    </xf>
    <xf numFmtId="0" fontId="13" fillId="0" borderId="0" xfId="0" applyFont="1" applyAlignment="1">
      <alignment horizontal="left" vertical="top"/>
    </xf>
    <xf numFmtId="0" fontId="59" fillId="0" borderId="1" xfId="0" applyFont="1" applyBorder="1" applyAlignment="1">
      <alignment horizontal="center" vertical="center" wrapText="1"/>
    </xf>
    <xf numFmtId="165" fontId="54" fillId="2" borderId="1" xfId="0" applyNumberFormat="1" applyFont="1" applyFill="1" applyBorder="1" applyAlignment="1">
      <alignment horizontal="center" vertical="center" wrapText="1"/>
    </xf>
    <xf numFmtId="0" fontId="62" fillId="0" borderId="1" xfId="0" applyFont="1" applyBorder="1" applyAlignment="1">
      <alignment horizontal="center" vertical="center"/>
    </xf>
    <xf numFmtId="0" fontId="62" fillId="0" borderId="1" xfId="0" applyFont="1" applyBorder="1" applyAlignment="1">
      <alignment vertical="center"/>
    </xf>
    <xf numFmtId="0" fontId="63" fillId="0" borderId="0" xfId="0" applyFont="1" applyAlignment="1">
      <alignment vertical="center"/>
    </xf>
    <xf numFmtId="0" fontId="63" fillId="0" borderId="1" xfId="0" applyFont="1" applyBorder="1" applyAlignment="1">
      <alignment horizontal="center" vertical="center"/>
    </xf>
    <xf numFmtId="0" fontId="63" fillId="0" borderId="1" xfId="0" applyFont="1" applyBorder="1" applyAlignment="1">
      <alignment vertical="center"/>
    </xf>
    <xf numFmtId="0" fontId="64" fillId="0" borderId="1" xfId="0" applyFont="1" applyBorder="1" applyAlignment="1">
      <alignment vertical="center"/>
    </xf>
    <xf numFmtId="0" fontId="65" fillId="0" borderId="1" xfId="0" applyFont="1" applyBorder="1" applyAlignment="1">
      <alignment horizontal="left" vertical="center" wrapText="1"/>
    </xf>
    <xf numFmtId="0" fontId="64" fillId="0" borderId="1" xfId="0" applyFont="1" applyBorder="1" applyAlignment="1">
      <alignment horizontal="left" vertical="center"/>
    </xf>
    <xf numFmtId="0" fontId="67" fillId="0" borderId="1" xfId="0" applyFont="1" applyBorder="1"/>
    <xf numFmtId="0" fontId="67" fillId="0" borderId="1" xfId="0" applyFont="1" applyBorder="1" applyAlignment="1">
      <alignment vertical="top" wrapText="1"/>
    </xf>
    <xf numFmtId="0" fontId="64" fillId="0" borderId="1" xfId="0" applyFont="1" applyBorder="1" applyAlignment="1">
      <alignment vertical="center" wrapText="1"/>
    </xf>
    <xf numFmtId="0" fontId="67" fillId="0" borderId="1" xfId="0" applyFont="1" applyBorder="1" applyAlignment="1">
      <alignment horizontal="left" vertical="top" wrapText="1"/>
    </xf>
    <xf numFmtId="0" fontId="63" fillId="0" borderId="0" xfId="0" applyFont="1" applyAlignment="1">
      <alignment horizontal="center" vertical="center"/>
    </xf>
    <xf numFmtId="167" fontId="0" fillId="0" borderId="0" xfId="1" applyNumberFormat="1" applyFont="1" applyAlignment="1">
      <alignment vertical="center"/>
    </xf>
    <xf numFmtId="3" fontId="54" fillId="2" borderId="1" xfId="0" applyNumberFormat="1" applyFont="1" applyFill="1" applyBorder="1" applyAlignment="1">
      <alignment horizontal="center" vertical="center" wrapText="1"/>
    </xf>
    <xf numFmtId="0" fontId="13" fillId="0" borderId="0" xfId="0" applyFont="1"/>
    <xf numFmtId="0" fontId="0" fillId="0" borderId="1" xfId="0" applyBorder="1" applyAlignment="1">
      <alignment horizontal="center" vertical="center" wrapText="1"/>
    </xf>
    <xf numFmtId="0" fontId="54" fillId="0" borderId="1" xfId="0" applyFont="1" applyBorder="1" applyAlignment="1">
      <alignment horizontal="center" vertical="center" wrapText="1"/>
    </xf>
    <xf numFmtId="0" fontId="13" fillId="0" borderId="2" xfId="0" applyFont="1" applyBorder="1" applyAlignment="1">
      <alignment horizontal="center" vertical="center" wrapText="1"/>
    </xf>
    <xf numFmtId="4" fontId="54" fillId="0" borderId="1" xfId="0" applyNumberFormat="1" applyFont="1" applyBorder="1" applyAlignment="1">
      <alignment horizontal="center" vertical="center" wrapText="1"/>
    </xf>
    <xf numFmtId="0" fontId="54" fillId="0" borderId="1" xfId="0" applyFont="1" applyBorder="1" applyAlignment="1">
      <alignment horizontal="center" vertical="center"/>
    </xf>
    <xf numFmtId="3" fontId="54" fillId="2" borderId="0" xfId="0" applyNumberFormat="1" applyFont="1" applyFill="1" applyAlignment="1">
      <alignment vertical="top" wrapText="1"/>
    </xf>
    <xf numFmtId="0" fontId="10" fillId="0" borderId="0" xfId="0" applyFont="1"/>
    <xf numFmtId="0" fontId="59" fillId="0" borderId="1" xfId="0" applyFont="1" applyBorder="1" applyAlignment="1">
      <alignment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3" fillId="3" borderId="6" xfId="0" applyFont="1" applyFill="1" applyBorder="1" applyAlignment="1">
      <alignment horizontal="center" vertical="center" wrapText="1"/>
    </xf>
    <xf numFmtId="0" fontId="13" fillId="0" borderId="6" xfId="0" applyFont="1" applyBorder="1" applyAlignment="1">
      <alignment horizontal="center" vertical="center" wrapText="1"/>
    </xf>
    <xf numFmtId="0" fontId="72" fillId="0" borderId="13" xfId="0" applyFont="1" applyBorder="1" applyAlignment="1">
      <alignment horizontal="center" vertical="center" wrapText="1"/>
    </xf>
    <xf numFmtId="0" fontId="59" fillId="0" borderId="33" xfId="0" applyFont="1" applyBorder="1" applyAlignment="1">
      <alignment horizontal="center" vertical="center" wrapText="1"/>
    </xf>
    <xf numFmtId="0" fontId="0" fillId="2" borderId="32" xfId="0" applyFill="1" applyBorder="1" applyAlignment="1">
      <alignment horizontal="center" vertical="center"/>
    </xf>
    <xf numFmtId="0" fontId="54" fillId="2" borderId="37" xfId="0" applyFont="1" applyFill="1" applyBorder="1" applyAlignment="1">
      <alignment horizontal="center" vertical="center"/>
    </xf>
    <xf numFmtId="0" fontId="54" fillId="0" borderId="9" xfId="0" applyFont="1" applyBorder="1" applyAlignment="1">
      <alignment horizontal="center" vertical="center" wrapText="1"/>
    </xf>
    <xf numFmtId="0" fontId="0" fillId="0" borderId="9" xfId="0" applyBorder="1" applyAlignment="1">
      <alignment horizontal="center" vertical="center"/>
    </xf>
    <xf numFmtId="0" fontId="59" fillId="0" borderId="9" xfId="0" applyFont="1" applyBorder="1" applyAlignment="1">
      <alignment horizontal="center" vertical="center" wrapText="1"/>
    </xf>
    <xf numFmtId="0" fontId="73" fillId="0" borderId="0" xfId="0" applyFont="1" applyAlignment="1">
      <alignment vertical="center" wrapText="1"/>
    </xf>
    <xf numFmtId="0" fontId="65" fillId="0" borderId="1" xfId="0" applyFont="1" applyBorder="1" applyAlignment="1">
      <alignment vertical="top" wrapText="1"/>
    </xf>
    <xf numFmtId="0" fontId="0" fillId="2" borderId="1" xfId="0" applyFill="1" applyBorder="1" applyAlignment="1">
      <alignment horizontal="center" vertical="center" wrapText="1"/>
    </xf>
    <xf numFmtId="0" fontId="11" fillId="4" borderId="0" xfId="0" applyFont="1" applyFill="1"/>
    <xf numFmtId="0" fontId="54" fillId="2" borderId="3" xfId="0" applyFont="1" applyFill="1" applyBorder="1" applyAlignment="1">
      <alignment vertical="center" wrapText="1"/>
    </xf>
    <xf numFmtId="4" fontId="54" fillId="2" borderId="1" xfId="0" applyNumberFormat="1" applyFont="1" applyFill="1" applyBorder="1" applyAlignment="1">
      <alignment horizontal="center" vertical="center" wrapText="1"/>
    </xf>
    <xf numFmtId="3" fontId="54" fillId="2" borderId="1" xfId="0" applyNumberFormat="1" applyFont="1" applyFill="1" applyBorder="1" applyAlignment="1">
      <alignment horizontal="center" vertical="center"/>
    </xf>
    <xf numFmtId="0" fontId="55" fillId="2" borderId="1" xfId="0" applyFont="1" applyFill="1" applyBorder="1" applyAlignment="1">
      <alignment horizontal="center" vertical="center"/>
    </xf>
    <xf numFmtId="0" fontId="54" fillId="2" borderId="1" xfId="0" applyFont="1" applyFill="1" applyBorder="1" applyAlignment="1">
      <alignment horizontal="center" vertical="center"/>
    </xf>
    <xf numFmtId="0" fontId="60" fillId="2" borderId="1" xfId="0" applyFont="1" applyFill="1" applyBorder="1" applyAlignment="1">
      <alignment horizontal="center" vertical="center"/>
    </xf>
    <xf numFmtId="0" fontId="60" fillId="2" borderId="1" xfId="0" applyFont="1" applyFill="1" applyBorder="1" applyAlignment="1">
      <alignment horizontal="center" vertical="center" wrapText="1"/>
    </xf>
    <xf numFmtId="4" fontId="60" fillId="2" borderId="1" xfId="0" applyNumberFormat="1" applyFont="1" applyFill="1" applyBorder="1" applyAlignment="1">
      <alignment horizontal="center" vertical="center" wrapText="1"/>
    </xf>
    <xf numFmtId="0" fontId="60" fillId="2" borderId="9" xfId="0" applyFont="1" applyFill="1" applyBorder="1" applyAlignment="1">
      <alignment horizontal="center" vertical="center"/>
    </xf>
    <xf numFmtId="0" fontId="60" fillId="2" borderId="9" xfId="0" applyFont="1" applyFill="1" applyBorder="1" applyAlignment="1">
      <alignment horizontal="center" vertical="center" wrapText="1"/>
    </xf>
    <xf numFmtId="4" fontId="60" fillId="2" borderId="9" xfId="0" applyNumberFormat="1" applyFont="1" applyFill="1" applyBorder="1" applyAlignment="1">
      <alignment horizontal="center" vertical="center" wrapText="1"/>
    </xf>
    <xf numFmtId="0" fontId="54" fillId="3" borderId="1" xfId="0" applyFont="1" applyFill="1" applyBorder="1" applyAlignment="1">
      <alignment horizontal="center" vertical="center" wrapText="1"/>
    </xf>
    <xf numFmtId="3" fontId="54" fillId="3" borderId="1" xfId="0" applyNumberFormat="1" applyFont="1" applyFill="1" applyBorder="1" applyAlignment="1">
      <alignment horizontal="center" vertical="center" wrapText="1"/>
    </xf>
    <xf numFmtId="0" fontId="54" fillId="3" borderId="1" xfId="0" applyFont="1" applyFill="1" applyBorder="1" applyAlignment="1">
      <alignment vertical="center"/>
    </xf>
    <xf numFmtId="165" fontId="9" fillId="0" borderId="0" xfId="0" applyNumberFormat="1" applyFont="1"/>
    <xf numFmtId="0" fontId="9" fillId="0" borderId="0" xfId="0" applyFont="1"/>
    <xf numFmtId="0" fontId="9" fillId="0" borderId="0" xfId="0" applyFont="1" applyAlignment="1">
      <alignment horizontal="center" vertical="center"/>
    </xf>
    <xf numFmtId="0" fontId="9" fillId="2" borderId="0" xfId="0" applyFont="1" applyFill="1" applyAlignment="1">
      <alignment horizontal="left" vertical="top" wrapText="1"/>
    </xf>
    <xf numFmtId="0" fontId="9" fillId="2" borderId="0" xfId="0" applyFont="1" applyFill="1"/>
    <xf numFmtId="3" fontId="9" fillId="0" borderId="1" xfId="0" applyNumberFormat="1" applyFont="1" applyBorder="1" applyAlignment="1">
      <alignment horizontal="center" vertical="center" wrapText="1"/>
    </xf>
    <xf numFmtId="3" fontId="9" fillId="2"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3" fontId="9" fillId="3" borderId="1" xfId="0" applyNumberFormat="1" applyFont="1" applyFill="1" applyBorder="1" applyAlignment="1">
      <alignment horizontal="center" vertical="center" wrapText="1"/>
    </xf>
    <xf numFmtId="3" fontId="9" fillId="0" borderId="1" xfId="0" applyNumberFormat="1" applyFont="1" applyBorder="1" applyAlignment="1">
      <alignment horizontal="center" vertical="center"/>
    </xf>
    <xf numFmtId="0" fontId="0" fillId="3" borderId="1" xfId="0" applyFill="1" applyBorder="1"/>
    <xf numFmtId="0" fontId="9" fillId="0" borderId="0" xfId="0" applyFont="1" applyAlignment="1">
      <alignment wrapText="1"/>
    </xf>
    <xf numFmtId="0" fontId="9" fillId="0" borderId="33" xfId="0" applyFont="1" applyBorder="1" applyAlignment="1">
      <alignment vertical="center" wrapText="1"/>
    </xf>
    <xf numFmtId="3" fontId="9" fillId="0" borderId="0" xfId="0" applyNumberFormat="1" applyFont="1" applyAlignment="1">
      <alignment horizontal="center" vertical="center" wrapText="1"/>
    </xf>
    <xf numFmtId="3" fontId="9" fillId="0" borderId="0" xfId="0" applyNumberFormat="1" applyFont="1" applyAlignment="1">
      <alignment horizontal="center" vertical="top" wrapText="1"/>
    </xf>
    <xf numFmtId="3" fontId="9" fillId="0" borderId="0" xfId="0" applyNumberFormat="1" applyFont="1" applyAlignment="1">
      <alignment horizontal="center" vertical="center"/>
    </xf>
    <xf numFmtId="3" fontId="9" fillId="0" borderId="0" xfId="0" applyNumberFormat="1" applyFont="1"/>
    <xf numFmtId="166" fontId="9" fillId="0" borderId="0" xfId="0" applyNumberFormat="1" applyFont="1" applyAlignment="1">
      <alignment horizontal="center" vertical="center"/>
    </xf>
    <xf numFmtId="4" fontId="9" fillId="0" borderId="0" xfId="0" applyNumberFormat="1" applyFont="1"/>
    <xf numFmtId="0" fontId="9" fillId="0" borderId="0" xfId="0" applyFont="1" applyAlignment="1">
      <alignment horizontal="center" vertical="top" wrapText="1"/>
    </xf>
    <xf numFmtId="3" fontId="9" fillId="0" borderId="0" xfId="0" applyNumberFormat="1" applyFont="1" applyAlignment="1">
      <alignment horizontal="left" vertical="top" wrapText="1"/>
    </xf>
    <xf numFmtId="3" fontId="9" fillId="0" borderId="0" xfId="0" applyNumberFormat="1" applyFont="1" applyAlignment="1">
      <alignment vertical="top" wrapText="1"/>
    </xf>
    <xf numFmtId="0" fontId="9" fillId="0" borderId="0" xfId="0" applyFont="1" applyAlignment="1">
      <alignment vertical="top"/>
    </xf>
    <xf numFmtId="0" fontId="9" fillId="0" borderId="0" xfId="0" applyFont="1" applyAlignment="1">
      <alignment vertical="center" wrapText="1"/>
    </xf>
    <xf numFmtId="165" fontId="9" fillId="0" borderId="0" xfId="0" applyNumberFormat="1" applyFont="1" applyAlignment="1">
      <alignment vertical="center" wrapText="1"/>
    </xf>
    <xf numFmtId="0" fontId="9" fillId="0" borderId="0" xfId="0" applyFont="1" applyAlignment="1">
      <alignment horizontal="center" vertical="center" wrapText="1"/>
    </xf>
    <xf numFmtId="4" fontId="9" fillId="0" borderId="0" xfId="0" applyNumberFormat="1" applyFont="1" applyAlignment="1">
      <alignment horizontal="center" vertical="center"/>
    </xf>
    <xf numFmtId="165" fontId="9" fillId="0" borderId="0" xfId="0" applyNumberFormat="1" applyFont="1" applyAlignment="1">
      <alignment horizontal="center"/>
    </xf>
    <xf numFmtId="4" fontId="9" fillId="0" borderId="0" xfId="0" applyNumberFormat="1" applyFont="1" applyAlignment="1">
      <alignment horizontal="center"/>
    </xf>
    <xf numFmtId="0" fontId="9" fillId="0" borderId="1" xfId="0" applyFont="1" applyBorder="1" applyAlignment="1">
      <alignment horizontal="center" vertical="center"/>
    </xf>
    <xf numFmtId="4" fontId="9" fillId="2" borderId="1" xfId="0" applyNumberFormat="1" applyFont="1" applyFill="1" applyBorder="1" applyAlignment="1">
      <alignment horizontal="center" vertical="center"/>
    </xf>
    <xf numFmtId="0" fontId="9" fillId="0" borderId="1" xfId="0" applyFont="1" applyBorder="1" applyAlignment="1">
      <alignment wrapText="1"/>
    </xf>
    <xf numFmtId="0" fontId="9" fillId="0" borderId="33" xfId="0" applyFont="1" applyBorder="1" applyAlignment="1">
      <alignment wrapText="1"/>
    </xf>
    <xf numFmtId="0" fontId="9" fillId="0" borderId="33" xfId="0" applyFont="1" applyBorder="1"/>
    <xf numFmtId="1" fontId="9" fillId="2" borderId="1" xfId="0" applyNumberFormat="1" applyFont="1" applyFill="1" applyBorder="1" applyAlignment="1">
      <alignment horizontal="center" vertical="center" wrapText="1"/>
    </xf>
    <xf numFmtId="0" fontId="9" fillId="0" borderId="0" xfId="0" applyFont="1" applyAlignment="1">
      <alignment vertical="center"/>
    </xf>
    <xf numFmtId="0" fontId="9" fillId="0" borderId="33" xfId="0" applyFont="1" applyBorder="1" applyAlignment="1">
      <alignment vertical="center"/>
    </xf>
    <xf numFmtId="0" fontId="9" fillId="2" borderId="1" xfId="0" applyFont="1" applyFill="1" applyBorder="1" applyAlignment="1">
      <alignment horizontal="center" vertical="center" wrapText="1"/>
    </xf>
    <xf numFmtId="0" fontId="9" fillId="0" borderId="9" xfId="0" applyFont="1" applyBorder="1" applyAlignment="1">
      <alignment wrapText="1"/>
    </xf>
    <xf numFmtId="0" fontId="9" fillId="0" borderId="14" xfId="0" applyFont="1" applyBorder="1"/>
    <xf numFmtId="0" fontId="9" fillId="0" borderId="0" xfId="0" applyFont="1" applyAlignment="1">
      <alignment vertical="top" wrapText="1"/>
    </xf>
    <xf numFmtId="0" fontId="9" fillId="0" borderId="23" xfId="0" applyFont="1" applyBorder="1"/>
    <xf numFmtId="166" fontId="9" fillId="0" borderId="1" xfId="0" applyNumberFormat="1" applyFont="1" applyBorder="1" applyAlignment="1">
      <alignment horizontal="center" vertical="center" wrapText="1"/>
    </xf>
    <xf numFmtId="0" fontId="9" fillId="0" borderId="24" xfId="0" applyFont="1" applyBorder="1"/>
    <xf numFmtId="0" fontId="0" fillId="0" borderId="1" xfId="0" applyBorder="1"/>
    <xf numFmtId="0" fontId="0" fillId="2" borderId="1" xfId="0" applyFill="1" applyBorder="1" applyAlignment="1">
      <alignment wrapText="1"/>
    </xf>
    <xf numFmtId="0" fontId="8" fillId="2" borderId="3" xfId="0" applyFont="1" applyFill="1" applyBorder="1" applyAlignment="1">
      <alignment vertical="center" wrapText="1"/>
    </xf>
    <xf numFmtId="0" fontId="9" fillId="0" borderId="1" xfId="0" applyFont="1" applyBorder="1"/>
    <xf numFmtId="0" fontId="0" fillId="2" borderId="1" xfId="0" applyFill="1" applyBorder="1" applyAlignment="1">
      <alignment horizontal="left" wrapText="1"/>
    </xf>
    <xf numFmtId="0" fontId="0" fillId="2" borderId="1" xfId="0" applyFill="1" applyBorder="1"/>
    <xf numFmtId="0" fontId="54" fillId="2" borderId="1" xfId="0" applyFont="1" applyFill="1" applyBorder="1" applyAlignment="1">
      <alignment vertical="center"/>
    </xf>
    <xf numFmtId="3" fontId="9" fillId="3" borderId="1" xfId="0" applyNumberFormat="1" applyFont="1" applyFill="1" applyBorder="1" applyAlignment="1">
      <alignment horizontal="center" vertical="center"/>
    </xf>
    <xf numFmtId="0" fontId="54" fillId="2" borderId="3" xfId="0" applyFont="1" applyFill="1" applyBorder="1" applyAlignment="1">
      <alignment horizontal="left" vertical="center" wrapText="1"/>
    </xf>
    <xf numFmtId="0" fontId="9" fillId="2" borderId="3" xfId="0" applyFont="1" applyFill="1" applyBorder="1" applyAlignment="1">
      <alignment horizontal="left" vertical="center" wrapText="1"/>
    </xf>
    <xf numFmtId="0" fontId="60" fillId="2" borderId="3" xfId="0" applyFont="1" applyFill="1" applyBorder="1" applyAlignment="1">
      <alignment horizontal="left" vertical="center" wrapText="1"/>
    </xf>
    <xf numFmtId="0" fontId="60" fillId="2" borderId="17" xfId="0" applyFont="1" applyFill="1" applyBorder="1" applyAlignment="1">
      <alignment horizontal="left" vertical="center" wrapText="1"/>
    </xf>
    <xf numFmtId="0" fontId="10" fillId="0" borderId="1" xfId="0" applyFont="1" applyBorder="1"/>
    <xf numFmtId="0" fontId="0" fillId="3" borderId="1" xfId="0" applyFill="1" applyBorder="1" applyAlignment="1">
      <alignment wrapText="1"/>
    </xf>
    <xf numFmtId="0" fontId="0" fillId="3" borderId="1" xfId="0" applyFill="1" applyBorder="1" applyAlignment="1">
      <alignment horizontal="left" wrapText="1"/>
    </xf>
    <xf numFmtId="3" fontId="9" fillId="0" borderId="0" xfId="0" applyNumberFormat="1" applyFont="1" applyAlignment="1">
      <alignment horizontal="center"/>
    </xf>
    <xf numFmtId="0" fontId="68" fillId="0" borderId="0" xfId="0" applyFont="1"/>
    <xf numFmtId="0" fontId="68" fillId="2" borderId="0" xfId="0" applyFont="1" applyFill="1"/>
    <xf numFmtId="0" fontId="76" fillId="2" borderId="3" xfId="0" applyFont="1" applyFill="1" applyBorder="1" applyAlignment="1">
      <alignment vertical="center" wrapText="1"/>
    </xf>
    <xf numFmtId="0" fontId="69" fillId="2" borderId="3" xfId="0" applyFont="1" applyFill="1" applyBorder="1" applyAlignment="1">
      <alignment vertical="center" wrapText="1"/>
    </xf>
    <xf numFmtId="0" fontId="0" fillId="2" borderId="0" xfId="0" applyFill="1"/>
    <xf numFmtId="4" fontId="60" fillId="2" borderId="3" xfId="0" applyNumberFormat="1" applyFont="1" applyFill="1" applyBorder="1" applyAlignment="1">
      <alignment horizontal="left" vertical="center" wrapText="1"/>
    </xf>
    <xf numFmtId="0" fontId="13" fillId="2" borderId="0" xfId="0" applyFont="1" applyFill="1" applyAlignment="1">
      <alignment horizontal="left" vertical="top"/>
    </xf>
    <xf numFmtId="0" fontId="11" fillId="2" borderId="0" xfId="0" applyFont="1" applyFill="1"/>
    <xf numFmtId="0" fontId="5" fillId="0" borderId="1" xfId="0" applyFont="1" applyBorder="1"/>
    <xf numFmtId="0" fontId="5" fillId="2" borderId="3" xfId="0" applyFont="1" applyFill="1" applyBorder="1" applyAlignment="1">
      <alignment vertical="center" wrapText="1"/>
    </xf>
    <xf numFmtId="0" fontId="54" fillId="0" borderId="10" xfId="0" applyFont="1" applyBorder="1" applyAlignment="1">
      <alignment horizontal="center" vertical="center"/>
    </xf>
    <xf numFmtId="0" fontId="54" fillId="0" borderId="10" xfId="0" applyFont="1" applyBorder="1" applyAlignment="1">
      <alignment horizontal="center" vertical="center" wrapText="1"/>
    </xf>
    <xf numFmtId="4" fontId="54" fillId="0" borderId="10" xfId="0" applyNumberFormat="1" applyFont="1" applyBorder="1" applyAlignment="1">
      <alignment horizontal="center" vertical="center" wrapText="1"/>
    </xf>
    <xf numFmtId="0" fontId="54" fillId="2" borderId="22" xfId="0" applyFont="1" applyFill="1" applyBorder="1" applyAlignment="1">
      <alignment horizontal="left" vertical="center" wrapText="1"/>
    </xf>
    <xf numFmtId="0" fontId="5" fillId="0" borderId="0" xfId="0" applyFont="1"/>
    <xf numFmtId="0" fontId="5" fillId="0" borderId="3" xfId="0" applyFont="1" applyBorder="1" applyAlignment="1">
      <alignment vertical="center" wrapText="1"/>
    </xf>
    <xf numFmtId="0" fontId="5" fillId="0" borderId="3" xfId="0" applyFont="1" applyBorder="1" applyAlignment="1">
      <alignment horizontal="left" vertical="center" wrapText="1"/>
    </xf>
    <xf numFmtId="0" fontId="54" fillId="2" borderId="10" xfId="0" applyFont="1" applyFill="1" applyBorder="1" applyAlignment="1">
      <alignment horizontal="center" vertical="center" wrapText="1"/>
    </xf>
    <xf numFmtId="0" fontId="10" fillId="0" borderId="38" xfId="0" applyFont="1" applyBorder="1"/>
    <xf numFmtId="0" fontId="9" fillId="2" borderId="38" xfId="0" applyFont="1" applyFill="1" applyBorder="1" applyAlignment="1">
      <alignment vertical="center" wrapText="1"/>
    </xf>
    <xf numFmtId="0" fontId="5" fillId="2" borderId="1" xfId="0" applyFont="1" applyFill="1" applyBorder="1"/>
    <xf numFmtId="0" fontId="51" fillId="2" borderId="1" xfId="0" applyFont="1" applyFill="1" applyBorder="1" applyAlignment="1">
      <alignment vertical="top" wrapText="1"/>
    </xf>
    <xf numFmtId="0" fontId="5" fillId="2" borderId="3" xfId="0" applyFont="1" applyFill="1" applyBorder="1"/>
    <xf numFmtId="0" fontId="9" fillId="0" borderId="38" xfId="0" applyFont="1" applyBorder="1"/>
    <xf numFmtId="0" fontId="0" fillId="3" borderId="38" xfId="0" applyFill="1" applyBorder="1" applyAlignment="1">
      <alignment wrapText="1"/>
    </xf>
    <xf numFmtId="0" fontId="0" fillId="3" borderId="38" xfId="0" applyFill="1" applyBorder="1" applyAlignment="1">
      <alignment horizontal="left" wrapText="1"/>
    </xf>
    <xf numFmtId="0" fontId="0" fillId="3" borderId="38" xfId="0" applyFill="1" applyBorder="1"/>
    <xf numFmtId="0" fontId="54" fillId="3" borderId="38" xfId="0" applyFont="1" applyFill="1" applyBorder="1" applyAlignment="1">
      <alignment vertical="center"/>
    </xf>
    <xf numFmtId="0" fontId="69" fillId="2" borderId="6" xfId="0" applyFont="1" applyFill="1" applyBorder="1" applyAlignment="1">
      <alignment horizontal="center" vertical="center"/>
    </xf>
    <xf numFmtId="0" fontId="69" fillId="2" borderId="6" xfId="0" applyFont="1" applyFill="1" applyBorder="1" applyAlignment="1">
      <alignment horizontal="center" vertical="center" wrapText="1"/>
    </xf>
    <xf numFmtId="4" fontId="69" fillId="2" borderId="6" xfId="0" applyNumberFormat="1" applyFont="1" applyFill="1" applyBorder="1" applyAlignment="1">
      <alignment horizontal="center" vertical="center" wrapText="1"/>
    </xf>
    <xf numFmtId="0" fontId="69" fillId="2" borderId="16" xfId="0" applyFont="1" applyFill="1" applyBorder="1" applyAlignment="1">
      <alignment vertical="center" wrapText="1"/>
    </xf>
    <xf numFmtId="0" fontId="69" fillId="2" borderId="1" xfId="0" applyFont="1" applyFill="1" applyBorder="1" applyAlignment="1">
      <alignment horizontal="center" vertical="center" wrapText="1"/>
    </xf>
    <xf numFmtId="4" fontId="69" fillId="2" borderId="1" xfId="0" applyNumberFormat="1" applyFont="1" applyFill="1" applyBorder="1" applyAlignment="1">
      <alignment horizontal="center" vertical="center" wrapText="1"/>
    </xf>
    <xf numFmtId="0" fontId="69" fillId="2" borderId="1" xfId="0" applyFont="1"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6" xfId="0" applyFill="1" applyBorder="1" applyAlignment="1">
      <alignment horizontal="center" vertical="center"/>
    </xf>
    <xf numFmtId="1" fontId="60" fillId="2" borderId="6" xfId="0" applyNumberFormat="1" applyFont="1" applyFill="1" applyBorder="1" applyAlignment="1">
      <alignment horizontal="center" vertical="center"/>
    </xf>
    <xf numFmtId="4" fontId="60" fillId="2" borderId="6" xfId="0" applyNumberFormat="1" applyFont="1" applyFill="1" applyBorder="1" applyAlignment="1">
      <alignment horizontal="center" vertical="center" wrapText="1"/>
    </xf>
    <xf numFmtId="0" fontId="60" fillId="2" borderId="13" xfId="0" applyFont="1" applyFill="1" applyBorder="1" applyAlignment="1">
      <alignment vertical="center" wrapText="1"/>
    </xf>
    <xf numFmtId="0" fontId="0" fillId="2" borderId="1" xfId="0" applyFill="1" applyBorder="1" applyAlignment="1">
      <alignment horizontal="center" vertical="center"/>
    </xf>
    <xf numFmtId="1" fontId="60" fillId="2" borderId="10" xfId="0" applyNumberFormat="1" applyFont="1" applyFill="1" applyBorder="1" applyAlignment="1">
      <alignment horizontal="center" vertical="center"/>
    </xf>
    <xf numFmtId="4" fontId="60" fillId="2" borderId="10" xfId="0" applyNumberFormat="1" applyFont="1" applyFill="1" applyBorder="1" applyAlignment="1">
      <alignment horizontal="center" vertical="center" wrapText="1"/>
    </xf>
    <xf numFmtId="4" fontId="60" fillId="2" borderId="33" xfId="0" applyNumberFormat="1" applyFont="1" applyFill="1" applyBorder="1" applyAlignment="1">
      <alignment horizontal="left" vertical="center" wrapText="1"/>
    </xf>
    <xf numFmtId="0" fontId="54" fillId="2" borderId="9" xfId="0" applyFont="1" applyFill="1" applyBorder="1" applyAlignment="1">
      <alignment horizontal="center" vertical="center"/>
    </xf>
    <xf numFmtId="0" fontId="54" fillId="2" borderId="34" xfId="0" applyFont="1" applyFill="1" applyBorder="1" applyAlignment="1">
      <alignment horizontal="center" vertical="center" wrapText="1"/>
    </xf>
    <xf numFmtId="0" fontId="54" fillId="2" borderId="4" xfId="0" applyFont="1" applyFill="1" applyBorder="1" applyAlignment="1">
      <alignment horizontal="center" vertical="center"/>
    </xf>
    <xf numFmtId="1" fontId="54" fillId="2" borderId="9" xfId="0" applyNumberFormat="1" applyFont="1" applyFill="1" applyBorder="1" applyAlignment="1">
      <alignment horizontal="center" vertical="center"/>
    </xf>
    <xf numFmtId="4" fontId="54" fillId="2" borderId="4" xfId="0" applyNumberFormat="1" applyFont="1" applyFill="1" applyBorder="1" applyAlignment="1">
      <alignment horizontal="center" vertical="center" wrapText="1"/>
    </xf>
    <xf numFmtId="4" fontId="60" fillId="2" borderId="43" xfId="0" applyNumberFormat="1" applyFont="1" applyFill="1" applyBorder="1" applyAlignment="1">
      <alignment horizontal="left" vertical="center" wrapText="1"/>
    </xf>
    <xf numFmtId="0" fontId="7" fillId="3" borderId="45" xfId="0" applyFont="1" applyFill="1" applyBorder="1" applyAlignment="1">
      <alignment vertical="center" wrapText="1"/>
    </xf>
    <xf numFmtId="0" fontId="8" fillId="3" borderId="45" xfId="0" applyFont="1" applyFill="1" applyBorder="1" applyAlignment="1">
      <alignment vertical="center" wrapText="1"/>
    </xf>
    <xf numFmtId="0" fontId="14" fillId="3" borderId="45" xfId="0" applyFont="1" applyFill="1" applyBorder="1" applyAlignment="1">
      <alignment vertical="top" wrapText="1"/>
    </xf>
    <xf numFmtId="0" fontId="54" fillId="3" borderId="45" xfId="0" applyFont="1" applyFill="1" applyBorder="1" applyAlignment="1">
      <alignment vertical="center" wrapText="1"/>
    </xf>
    <xf numFmtId="0" fontId="5" fillId="0" borderId="45" xfId="0" applyFont="1" applyBorder="1"/>
    <xf numFmtId="0" fontId="5" fillId="0" borderId="45" xfId="0" applyFont="1" applyBorder="1" applyAlignment="1">
      <alignment vertical="center" wrapText="1"/>
    </xf>
    <xf numFmtId="0" fontId="9" fillId="2" borderId="38" xfId="0" applyFont="1" applyFill="1" applyBorder="1"/>
    <xf numFmtId="0" fontId="54" fillId="2" borderId="1" xfId="0" applyFont="1" applyFill="1" applyBorder="1" applyAlignment="1">
      <alignment horizontal="left" vertical="center" wrapText="1"/>
    </xf>
    <xf numFmtId="0" fontId="54" fillId="2" borderId="1" xfId="0" applyFont="1" applyFill="1" applyBorder="1" applyAlignment="1">
      <alignment vertical="center" wrapText="1"/>
    </xf>
    <xf numFmtId="0" fontId="5" fillId="2" borderId="1" xfId="0" applyFont="1" applyFill="1" applyBorder="1" applyAlignment="1">
      <alignment vertical="center" wrapText="1"/>
    </xf>
    <xf numFmtId="0" fontId="60" fillId="2" borderId="16" xfId="0" applyFont="1" applyFill="1" applyBorder="1" applyAlignment="1">
      <alignment vertical="center" wrapText="1"/>
    </xf>
    <xf numFmtId="4" fontId="60" fillId="2" borderId="25" xfId="0" applyNumberFormat="1" applyFont="1" applyFill="1" applyBorder="1" applyAlignment="1">
      <alignment horizontal="left" vertical="center" wrapText="1"/>
    </xf>
    <xf numFmtId="0" fontId="13" fillId="0" borderId="1" xfId="0" applyFont="1" applyBorder="1" applyAlignment="1">
      <alignment vertical="top" wrapText="1"/>
    </xf>
    <xf numFmtId="0" fontId="13" fillId="0" borderId="1" xfId="0" applyFont="1" applyBorder="1" applyAlignment="1">
      <alignment vertical="top"/>
    </xf>
    <xf numFmtId="0" fontId="54" fillId="2" borderId="32" xfId="0" applyFont="1" applyFill="1" applyBorder="1" applyAlignment="1">
      <alignment horizontal="center" vertical="center" wrapText="1"/>
    </xf>
    <xf numFmtId="0" fontId="59" fillId="2" borderId="1" xfId="0" applyFont="1" applyFill="1" applyBorder="1" applyAlignment="1">
      <alignment horizontal="center" vertical="center" wrapText="1"/>
    </xf>
    <xf numFmtId="4" fontId="9" fillId="3" borderId="1" xfId="0" applyNumberFormat="1" applyFont="1" applyFill="1" applyBorder="1" applyAlignment="1">
      <alignment horizontal="center" vertical="center"/>
    </xf>
    <xf numFmtId="4" fontId="54" fillId="3" borderId="1" xfId="0" applyNumberFormat="1" applyFont="1" applyFill="1" applyBorder="1" applyAlignment="1">
      <alignment horizontal="center" vertical="center"/>
    </xf>
    <xf numFmtId="4" fontId="54" fillId="3" borderId="1" xfId="0" applyNumberFormat="1" applyFont="1" applyFill="1" applyBorder="1" applyAlignment="1">
      <alignment horizontal="center" vertical="center" wrapText="1"/>
    </xf>
    <xf numFmtId="0" fontId="9" fillId="0" borderId="3" xfId="0" applyFont="1" applyBorder="1"/>
    <xf numFmtId="0" fontId="0" fillId="3" borderId="3" xfId="0" applyFill="1" applyBorder="1" applyAlignment="1">
      <alignment wrapText="1"/>
    </xf>
    <xf numFmtId="0" fontId="0" fillId="3" borderId="3" xfId="0" applyFill="1" applyBorder="1" applyAlignment="1">
      <alignment horizontal="left" wrapText="1"/>
    </xf>
    <xf numFmtId="0" fontId="0" fillId="3" borderId="3" xfId="0" applyFill="1" applyBorder="1"/>
    <xf numFmtId="0" fontId="54" fillId="3" borderId="3" xfId="0" applyFont="1" applyFill="1" applyBorder="1" applyAlignment="1">
      <alignment vertical="center"/>
    </xf>
    <xf numFmtId="0" fontId="10" fillId="0" borderId="3" xfId="0" applyFont="1" applyBorder="1"/>
    <xf numFmtId="0" fontId="4" fillId="3" borderId="45" xfId="0" applyFont="1" applyFill="1" applyBorder="1" applyAlignment="1">
      <alignment horizontal="left" vertical="center" wrapText="1"/>
    </xf>
    <xf numFmtId="0" fontId="3" fillId="3" borderId="45" xfId="0" applyFont="1" applyFill="1" applyBorder="1" applyAlignment="1">
      <alignment vertical="center" wrapText="1"/>
    </xf>
    <xf numFmtId="1" fontId="60" fillId="3" borderId="6" xfId="0" applyNumberFormat="1" applyFont="1" applyFill="1" applyBorder="1" applyAlignment="1">
      <alignment horizontal="center" vertical="center"/>
    </xf>
    <xf numFmtId="1" fontId="60" fillId="3" borderId="10" xfId="0" applyNumberFormat="1" applyFont="1" applyFill="1" applyBorder="1" applyAlignment="1">
      <alignment horizontal="center" vertical="center"/>
    </xf>
    <xf numFmtId="3" fontId="54" fillId="3" borderId="9" xfId="0" applyNumberFormat="1" applyFont="1" applyFill="1" applyBorder="1" applyAlignment="1">
      <alignment horizontal="center" vertical="center"/>
    </xf>
    <xf numFmtId="3" fontId="0" fillId="3" borderId="9" xfId="0" applyNumberFormat="1" applyFill="1" applyBorder="1" applyAlignment="1">
      <alignment horizontal="center" vertical="center"/>
    </xf>
    <xf numFmtId="4" fontId="60" fillId="3" borderId="43" xfId="0" applyNumberFormat="1" applyFont="1" applyFill="1" applyBorder="1" applyAlignment="1">
      <alignment horizontal="left" vertical="center" wrapText="1"/>
    </xf>
    <xf numFmtId="4" fontId="54" fillId="3" borderId="33" xfId="0" applyNumberFormat="1" applyFont="1" applyFill="1" applyBorder="1" applyAlignment="1">
      <alignment horizontal="left" vertical="center" wrapText="1"/>
    </xf>
    <xf numFmtId="0" fontId="13" fillId="3" borderId="51" xfId="0" applyFont="1" applyFill="1" applyBorder="1" applyAlignment="1">
      <alignment vertical="center" wrapText="1"/>
    </xf>
    <xf numFmtId="0" fontId="9" fillId="3" borderId="1" xfId="0" applyFont="1" applyFill="1" applyBorder="1" applyAlignment="1">
      <alignment horizontal="center" vertical="center" wrapText="1"/>
    </xf>
    <xf numFmtId="1" fontId="9" fillId="3" borderId="1" xfId="0" applyNumberFormat="1" applyFont="1" applyFill="1" applyBorder="1" applyAlignment="1">
      <alignment horizontal="center" vertical="center" wrapText="1"/>
    </xf>
    <xf numFmtId="0" fontId="0" fillId="3" borderId="1" xfId="0" applyFill="1" applyBorder="1" applyAlignment="1">
      <alignment vertical="top" wrapText="1"/>
    </xf>
    <xf numFmtId="165" fontId="19" fillId="0" borderId="2" xfId="0" applyNumberFormat="1" applyFont="1" applyBorder="1" applyAlignment="1">
      <alignment horizontal="center" vertical="center"/>
    </xf>
    <xf numFmtId="165" fontId="19" fillId="0" borderId="8" xfId="0" applyNumberFormat="1" applyFont="1" applyBorder="1" applyAlignment="1">
      <alignment horizontal="center" vertical="center"/>
    </xf>
    <xf numFmtId="165" fontId="19" fillId="0" borderId="10" xfId="0" applyNumberFormat="1" applyFont="1" applyBorder="1" applyAlignment="1">
      <alignment horizontal="center" vertical="center"/>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165" fontId="19" fillId="0" borderId="6" xfId="0" applyNumberFormat="1" applyFont="1" applyBorder="1" applyAlignment="1">
      <alignment horizontal="center" vertical="center" wrapText="1"/>
    </xf>
    <xf numFmtId="165" fontId="19" fillId="0" borderId="1" xfId="0" applyNumberFormat="1" applyFont="1" applyBorder="1" applyAlignment="1">
      <alignment horizontal="center" vertical="center" wrapText="1"/>
    </xf>
    <xf numFmtId="0" fontId="19" fillId="0" borderId="6" xfId="0" applyFont="1" applyBorder="1" applyAlignment="1">
      <alignment horizontal="left" vertical="center" wrapText="1"/>
    </xf>
    <xf numFmtId="0" fontId="19" fillId="0" borderId="1" xfId="0" applyFont="1" applyBorder="1" applyAlignment="1">
      <alignment horizontal="left" vertical="center" wrapText="1"/>
    </xf>
    <xf numFmtId="165" fontId="19" fillId="0" borderId="2" xfId="0" applyNumberFormat="1" applyFont="1" applyBorder="1" applyAlignment="1">
      <alignment horizontal="center" vertical="center" wrapText="1"/>
    </xf>
    <xf numFmtId="165" fontId="19" fillId="0" borderId="8" xfId="0" applyNumberFormat="1" applyFont="1" applyBorder="1" applyAlignment="1">
      <alignment horizontal="center" vertical="center" wrapText="1"/>
    </xf>
    <xf numFmtId="165" fontId="19" fillId="0" borderId="10" xfId="0" applyNumberFormat="1" applyFont="1" applyBorder="1" applyAlignment="1">
      <alignment horizontal="center" vertical="center" wrapText="1"/>
    </xf>
    <xf numFmtId="0" fontId="25" fillId="3" borderId="2" xfId="0" applyFont="1" applyFill="1" applyBorder="1" applyAlignment="1">
      <alignment vertical="top" wrapText="1"/>
    </xf>
    <xf numFmtId="0" fontId="25" fillId="3" borderId="10" xfId="0" applyFont="1" applyFill="1" applyBorder="1" applyAlignment="1">
      <alignment vertical="top" wrapText="1"/>
    </xf>
    <xf numFmtId="0" fontId="19" fillId="0" borderId="2"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vertical="center" wrapText="1"/>
    </xf>
    <xf numFmtId="0" fontId="19" fillId="0" borderId="10" xfId="0" applyFont="1" applyBorder="1" applyAlignment="1">
      <alignment vertical="center" wrapText="1"/>
    </xf>
    <xf numFmtId="165" fontId="25" fillId="0" borderId="2" xfId="0" applyNumberFormat="1" applyFont="1" applyBorder="1" applyAlignment="1">
      <alignment horizontal="center" vertical="center" wrapText="1"/>
    </xf>
    <xf numFmtId="165" fontId="25" fillId="0" borderId="10" xfId="0" applyNumberFormat="1" applyFont="1" applyBorder="1" applyAlignment="1">
      <alignment horizontal="center" vertical="center" wrapText="1"/>
    </xf>
    <xf numFmtId="0" fontId="25" fillId="0" borderId="2" xfId="0" applyFont="1" applyBorder="1" applyAlignment="1">
      <alignment horizontal="center" vertical="center" wrapText="1"/>
    </xf>
    <xf numFmtId="0" fontId="25" fillId="0" borderId="10" xfId="0" applyFont="1" applyBorder="1" applyAlignment="1">
      <alignment horizontal="center" vertical="center" wrapText="1"/>
    </xf>
    <xf numFmtId="4" fontId="25" fillId="0" borderId="2" xfId="0" applyNumberFormat="1" applyFont="1" applyBorder="1" applyAlignment="1">
      <alignment horizontal="center" vertical="center" wrapText="1"/>
    </xf>
    <xf numFmtId="4" fontId="25" fillId="0" borderId="10" xfId="0" applyNumberFormat="1" applyFont="1" applyBorder="1" applyAlignment="1">
      <alignment horizontal="center" vertical="center" wrapText="1"/>
    </xf>
    <xf numFmtId="0" fontId="15" fillId="0" borderId="2" xfId="0" applyFont="1" applyBorder="1" applyAlignment="1">
      <alignment horizontal="left" vertical="center" wrapText="1"/>
    </xf>
    <xf numFmtId="0" fontId="15" fillId="0" borderId="10" xfId="0" applyFont="1" applyBorder="1" applyAlignment="1">
      <alignment horizontal="left" vertical="center" wrapText="1"/>
    </xf>
    <xf numFmtId="165" fontId="25" fillId="0" borderId="8" xfId="0" applyNumberFormat="1" applyFont="1" applyBorder="1" applyAlignment="1">
      <alignment horizontal="center" vertical="center" wrapText="1"/>
    </xf>
    <xf numFmtId="0" fontId="15" fillId="0" borderId="2" xfId="0" applyFont="1" applyBorder="1" applyAlignment="1">
      <alignment horizontal="left" vertical="top" wrapText="1"/>
    </xf>
    <xf numFmtId="0" fontId="15" fillId="0" borderId="8" xfId="0" applyFont="1" applyBorder="1" applyAlignment="1">
      <alignment horizontal="left" vertical="top" wrapText="1"/>
    </xf>
    <xf numFmtId="0" fontId="15" fillId="0" borderId="10" xfId="0" applyFont="1" applyBorder="1" applyAlignment="1">
      <alignment horizontal="left" vertical="top" wrapText="1"/>
    </xf>
    <xf numFmtId="0" fontId="19" fillId="3" borderId="2" xfId="0" applyFont="1" applyFill="1" applyBorder="1" applyAlignment="1">
      <alignment horizontal="left" vertical="top" wrapText="1"/>
    </xf>
    <xf numFmtId="0" fontId="19" fillId="3" borderId="8" xfId="0" applyFont="1" applyFill="1" applyBorder="1" applyAlignment="1">
      <alignment horizontal="left" vertical="top" wrapText="1"/>
    </xf>
    <xf numFmtId="0" fontId="15" fillId="3" borderId="10" xfId="0" applyFont="1" applyFill="1" applyBorder="1" applyAlignment="1">
      <alignment horizontal="left" vertical="top" wrapText="1"/>
    </xf>
    <xf numFmtId="165" fontId="19" fillId="0" borderId="7" xfId="0" applyNumberFormat="1" applyFont="1" applyBorder="1" applyAlignment="1">
      <alignment horizontal="center" vertical="center" wrapText="1"/>
    </xf>
    <xf numFmtId="0" fontId="19" fillId="0" borderId="7" xfId="0" applyFont="1" applyBorder="1" applyAlignment="1">
      <alignment horizontal="left" vertical="center" wrapText="1"/>
    </xf>
    <xf numFmtId="0" fontId="19" fillId="0" borderId="8" xfId="0" applyFont="1" applyBorder="1" applyAlignment="1">
      <alignment horizontal="left" vertical="center" wrapText="1"/>
    </xf>
    <xf numFmtId="0" fontId="19" fillId="0" borderId="10" xfId="0" applyFont="1" applyBorder="1" applyAlignment="1">
      <alignment horizontal="left" vertical="center" wrapText="1"/>
    </xf>
    <xf numFmtId="0" fontId="19" fillId="0" borderId="1" xfId="0" applyFont="1" applyBorder="1" applyAlignment="1">
      <alignment horizontal="center" vertical="center" wrapText="1"/>
    </xf>
    <xf numFmtId="165" fontId="25" fillId="0" borderId="1"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19" fillId="0" borderId="2" xfId="0" applyFont="1" applyBorder="1" applyAlignment="1">
      <alignment horizontal="left" vertical="center" wrapText="1"/>
    </xf>
    <xf numFmtId="0" fontId="19" fillId="0" borderId="4" xfId="0" applyFont="1" applyBorder="1" applyAlignment="1">
      <alignment horizontal="left" vertical="center" wrapText="1"/>
    </xf>
    <xf numFmtId="165" fontId="19" fillId="0" borderId="4" xfId="0" applyNumberFormat="1" applyFont="1" applyBorder="1" applyAlignment="1">
      <alignment horizontal="center" vertical="center" wrapText="1"/>
    </xf>
    <xf numFmtId="4" fontId="15" fillId="0" borderId="2" xfId="0" applyNumberFormat="1" applyFont="1" applyBorder="1" applyAlignment="1">
      <alignment horizontal="center" vertical="center" wrapText="1"/>
    </xf>
    <xf numFmtId="4" fontId="15" fillId="0" borderId="8" xfId="0" applyNumberFormat="1" applyFont="1" applyBorder="1" applyAlignment="1">
      <alignment horizontal="center" vertical="center" wrapText="1"/>
    </xf>
    <xf numFmtId="4" fontId="15" fillId="0" borderId="4"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7" xfId="0" applyFont="1" applyBorder="1" applyAlignment="1">
      <alignment horizontal="center" vertical="center" wrapText="1"/>
    </xf>
    <xf numFmtId="0" fontId="31" fillId="0" borderId="1" xfId="0" applyFont="1" applyBorder="1" applyAlignment="1">
      <alignment horizontal="center" vertical="center" wrapText="1"/>
    </xf>
    <xf numFmtId="4" fontId="19" fillId="0" borderId="2" xfId="0" applyNumberFormat="1" applyFont="1" applyBorder="1" applyAlignment="1">
      <alignment horizontal="center" vertical="center" wrapText="1"/>
    </xf>
    <xf numFmtId="4" fontId="19" fillId="0" borderId="8" xfId="0" applyNumberFormat="1" applyFont="1" applyBorder="1" applyAlignment="1">
      <alignment horizontal="center" vertical="center" wrapText="1"/>
    </xf>
    <xf numFmtId="4" fontId="19" fillId="0" borderId="10" xfId="0" applyNumberFormat="1" applyFont="1" applyBorder="1" applyAlignment="1">
      <alignment horizontal="center" vertical="center" wrapText="1"/>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16" xfId="0" applyFont="1" applyBorder="1" applyAlignment="1">
      <alignment horizontal="center" vertical="center" wrapText="1"/>
    </xf>
    <xf numFmtId="0" fontId="18" fillId="0" borderId="20" xfId="0" applyFont="1" applyBorder="1" applyAlignment="1">
      <alignment horizontal="center" vertical="center" wrapText="1"/>
    </xf>
    <xf numFmtId="0" fontId="53" fillId="0" borderId="0" xfId="0" applyFont="1" applyAlignment="1">
      <alignment horizontal="left"/>
    </xf>
    <xf numFmtId="0" fontId="18" fillId="0" borderId="5" xfId="0" applyFont="1" applyBorder="1" applyAlignment="1">
      <alignment horizontal="center" vertical="center" wrapText="1"/>
    </xf>
    <xf numFmtId="0" fontId="18" fillId="0" borderId="12" xfId="0" applyFont="1" applyBorder="1" applyAlignment="1">
      <alignment horizontal="center" vertical="center" wrapText="1"/>
    </xf>
    <xf numFmtId="165" fontId="18" fillId="0" borderId="7" xfId="0" applyNumberFormat="1" applyFont="1" applyBorder="1" applyAlignment="1">
      <alignment horizontal="center" vertical="center" wrapText="1"/>
    </xf>
    <xf numFmtId="165" fontId="18" fillId="0" borderId="8"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xf>
    <xf numFmtId="0" fontId="30" fillId="0" borderId="6"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left" vertical="center" wrapText="1"/>
    </xf>
    <xf numFmtId="165" fontId="15" fillId="0" borderId="1" xfId="0" applyNumberFormat="1" applyFont="1" applyBorder="1" applyAlignment="1">
      <alignment horizontal="center" vertical="center" wrapText="1"/>
    </xf>
    <xf numFmtId="4" fontId="19" fillId="0" borderId="1" xfId="0" applyNumberFormat="1" applyFont="1" applyBorder="1" applyAlignment="1">
      <alignment horizontal="center" vertical="center" wrapText="1"/>
    </xf>
    <xf numFmtId="3" fontId="21" fillId="0" borderId="1"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4" fontId="21" fillId="0" borderId="1" xfId="0" applyNumberFormat="1" applyFont="1" applyBorder="1" applyAlignment="1">
      <alignment horizontal="center" vertical="center" wrapText="1"/>
    </xf>
    <xf numFmtId="0" fontId="15" fillId="0" borderId="1" xfId="0" applyFont="1" applyBorder="1" applyAlignment="1">
      <alignment horizontal="left" vertical="top" wrapText="1"/>
    </xf>
    <xf numFmtId="0" fontId="19" fillId="0" borderId="2" xfId="0" applyFont="1" applyBorder="1" applyAlignment="1">
      <alignment horizontal="left" vertical="top" wrapText="1"/>
    </xf>
    <xf numFmtId="0" fontId="21" fillId="0" borderId="1" xfId="0" applyFont="1" applyBorder="1" applyAlignment="1">
      <alignment horizontal="center" vertical="center" wrapText="1"/>
    </xf>
    <xf numFmtId="0" fontId="19" fillId="0" borderId="1" xfId="0" applyFont="1" applyBorder="1" applyAlignment="1">
      <alignment vertical="center" wrapText="1"/>
    </xf>
    <xf numFmtId="0" fontId="15" fillId="0" borderId="1" xfId="0" applyFont="1" applyBorder="1" applyAlignment="1">
      <alignment vertical="center" wrapText="1"/>
    </xf>
    <xf numFmtId="165" fontId="19" fillId="0" borderId="1" xfId="0" applyNumberFormat="1" applyFont="1" applyBorder="1" applyAlignment="1">
      <alignment horizontal="center" vertical="center"/>
    </xf>
    <xf numFmtId="0" fontId="19" fillId="0" borderId="1" xfId="0" applyFont="1" applyBorder="1" applyAlignment="1">
      <alignment horizontal="center" vertical="center"/>
    </xf>
    <xf numFmtId="165" fontId="21" fillId="0" borderId="1" xfId="0" applyNumberFormat="1" applyFont="1" applyBorder="1" applyAlignment="1">
      <alignment horizontal="center" vertical="center" wrapText="1"/>
    </xf>
    <xf numFmtId="4" fontId="25" fillId="0" borderId="1" xfId="0" applyNumberFormat="1" applyFont="1" applyBorder="1" applyAlignment="1">
      <alignment horizontal="center" vertical="center" wrapText="1"/>
    </xf>
    <xf numFmtId="0" fontId="25" fillId="0" borderId="1" xfId="0" applyFont="1" applyBorder="1" applyAlignment="1">
      <alignment vertical="top" wrapText="1"/>
    </xf>
    <xf numFmtId="4" fontId="19" fillId="0" borderId="10" xfId="0" applyNumberFormat="1" applyFont="1" applyBorder="1" applyAlignment="1">
      <alignment horizontal="center" vertical="center"/>
    </xf>
    <xf numFmtId="0" fontId="19" fillId="0" borderId="2" xfId="0" applyFont="1" applyBorder="1" applyAlignment="1">
      <alignment horizontal="center" vertical="center"/>
    </xf>
    <xf numFmtId="0" fontId="10" fillId="0" borderId="2" xfId="0" applyFont="1" applyBorder="1" applyAlignment="1">
      <alignment horizontal="center"/>
    </xf>
    <xf numFmtId="0" fontId="10" fillId="0" borderId="10" xfId="0" applyFont="1" applyBorder="1" applyAlignment="1">
      <alignment horizontal="center"/>
    </xf>
    <xf numFmtId="0" fontId="10" fillId="0" borderId="8" xfId="0" applyFont="1" applyBorder="1" applyAlignment="1">
      <alignment horizontal="center"/>
    </xf>
    <xf numFmtId="0" fontId="13" fillId="2" borderId="35"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1" xfId="0" applyFont="1" applyFill="1" applyBorder="1" applyAlignment="1">
      <alignment horizontal="center" vertical="center"/>
    </xf>
    <xf numFmtId="0" fontId="5" fillId="2" borderId="2" xfId="0" applyFont="1" applyFill="1" applyBorder="1" applyAlignment="1">
      <alignment horizontal="center"/>
    </xf>
    <xf numFmtId="0" fontId="5" fillId="2" borderId="10" xfId="0" applyFont="1" applyFill="1" applyBorder="1" applyAlignment="1">
      <alignment horizontal="center"/>
    </xf>
    <xf numFmtId="0" fontId="5" fillId="2" borderId="8" xfId="0" applyFont="1" applyFill="1" applyBorder="1" applyAlignment="1">
      <alignment horizontal="center"/>
    </xf>
    <xf numFmtId="0" fontId="5" fillId="2" borderId="11" xfId="0" applyFont="1" applyFill="1" applyBorder="1" applyAlignment="1">
      <alignment horizontal="center"/>
    </xf>
    <xf numFmtId="0" fontId="5" fillId="2" borderId="22" xfId="0" applyFont="1" applyFill="1" applyBorder="1" applyAlignment="1">
      <alignment horizontal="center"/>
    </xf>
    <xf numFmtId="0" fontId="5" fillId="2" borderId="27" xfId="0" applyFont="1" applyFill="1" applyBorder="1" applyAlignment="1">
      <alignment horizontal="center"/>
    </xf>
    <xf numFmtId="0" fontId="9" fillId="2" borderId="46" xfId="0" applyFont="1" applyFill="1" applyBorder="1" applyAlignment="1">
      <alignment horizontal="center"/>
    </xf>
    <xf numFmtId="0" fontId="9" fillId="2" borderId="47" xfId="0" applyFont="1" applyFill="1" applyBorder="1" applyAlignment="1">
      <alignment horizontal="center"/>
    </xf>
    <xf numFmtId="0" fontId="9" fillId="2" borderId="48" xfId="0" applyFont="1" applyFill="1" applyBorder="1" applyAlignment="1">
      <alignment horizontal="center"/>
    </xf>
    <xf numFmtId="0" fontId="2" fillId="3" borderId="10" xfId="0" applyFont="1" applyFill="1" applyBorder="1" applyAlignment="1">
      <alignment vertical="top" wrapText="1"/>
    </xf>
    <xf numFmtId="0" fontId="0" fillId="3" borderId="1" xfId="0" applyFill="1" applyBorder="1" applyAlignment="1">
      <alignment vertical="top"/>
    </xf>
    <xf numFmtId="0" fontId="6" fillId="0" borderId="1" xfId="0" applyFont="1" applyBorder="1" applyAlignment="1">
      <alignment vertical="center" wrapText="1"/>
    </xf>
    <xf numFmtId="0" fontId="0" fillId="0" borderId="1" xfId="0" applyBorder="1" applyAlignment="1">
      <alignment vertical="center" wrapText="1"/>
    </xf>
    <xf numFmtId="0" fontId="13" fillId="3" borderId="29" xfId="0" applyFont="1" applyFill="1" applyBorder="1" applyAlignment="1">
      <alignment horizontal="center" vertical="center"/>
    </xf>
    <xf numFmtId="0" fontId="13" fillId="3" borderId="44" xfId="0" applyFont="1" applyFill="1" applyBorder="1" applyAlignment="1">
      <alignment horizontal="center"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3" borderId="41" xfId="0" applyFont="1" applyFill="1" applyBorder="1" applyAlignment="1">
      <alignment vertical="center" wrapText="1"/>
    </xf>
    <xf numFmtId="0" fontId="13" fillId="3" borderId="45" xfId="0" applyFont="1" applyFill="1" applyBorder="1"/>
    <xf numFmtId="0" fontId="13" fillId="3" borderId="45" xfId="0" applyFont="1" applyFill="1" applyBorder="1" applyAlignment="1">
      <alignment vertical="center" wrapText="1"/>
    </xf>
    <xf numFmtId="0" fontId="14" fillId="0" borderId="0" xfId="0" applyFont="1" applyAlignment="1">
      <alignment horizontal="left" wrapText="1"/>
    </xf>
    <xf numFmtId="0" fontId="54" fillId="2" borderId="10" xfId="0" applyFont="1" applyFill="1" applyBorder="1" applyAlignment="1">
      <alignment horizontal="center" vertical="center" wrapText="1"/>
    </xf>
    <xf numFmtId="0" fontId="54" fillId="2" borderId="1" xfId="0" applyFont="1" applyFill="1" applyBorder="1" applyAlignment="1">
      <alignment horizontal="center" vertical="center" wrapText="1"/>
    </xf>
    <xf numFmtId="165" fontId="13" fillId="2" borderId="7" xfId="0" applyNumberFormat="1" applyFont="1" applyFill="1" applyBorder="1" applyAlignment="1">
      <alignment horizontal="center" vertical="center" wrapText="1"/>
    </xf>
    <xf numFmtId="165" fontId="13" fillId="2" borderId="8" xfId="0" applyNumberFormat="1" applyFont="1" applyFill="1" applyBorder="1" applyAlignment="1">
      <alignment horizontal="center" vertical="center" wrapText="1"/>
    </xf>
    <xf numFmtId="0" fontId="13" fillId="0" borderId="6"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 xfId="0" applyFont="1" applyBorder="1" applyAlignment="1">
      <alignment horizontal="center" vertical="center" wrapText="1"/>
    </xf>
    <xf numFmtId="3" fontId="76" fillId="2" borderId="1" xfId="0" applyNumberFormat="1" applyFont="1" applyFill="1" applyBorder="1" applyAlignment="1">
      <alignment horizontal="center" vertical="center" wrapText="1"/>
    </xf>
    <xf numFmtId="3" fontId="9" fillId="3"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12" xfId="0" applyFont="1" applyBorder="1" applyAlignment="1">
      <alignment horizontal="center" vertical="center" wrapText="1"/>
    </xf>
    <xf numFmtId="3" fontId="5" fillId="0" borderId="10"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3" fontId="9" fillId="0" borderId="6"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165" fontId="13" fillId="0" borderId="7" xfId="0" applyNumberFormat="1" applyFont="1" applyBorder="1" applyAlignment="1">
      <alignment horizontal="center" vertical="center" wrapText="1"/>
    </xf>
    <xf numFmtId="165" fontId="13" fillId="0" borderId="8" xfId="0" applyNumberFormat="1" applyFont="1" applyBorder="1" applyAlignment="1">
      <alignment horizontal="center" vertical="center" wrapText="1"/>
    </xf>
    <xf numFmtId="0" fontId="69" fillId="2" borderId="6" xfId="0" applyFont="1" applyFill="1" applyBorder="1" applyAlignment="1">
      <alignment horizontal="center" vertical="center" wrapText="1"/>
    </xf>
    <xf numFmtId="0" fontId="69" fillId="2"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2" xfId="0" applyFont="1" applyBorder="1" applyAlignment="1">
      <alignment horizontal="center" vertical="center" wrapText="1"/>
    </xf>
    <xf numFmtId="3" fontId="76" fillId="2" borderId="6" xfId="0" applyNumberFormat="1" applyFont="1" applyFill="1" applyBorder="1" applyAlignment="1">
      <alignment horizontal="center" vertical="center" wrapText="1"/>
    </xf>
    <xf numFmtId="0" fontId="76" fillId="2" borderId="6" xfId="0" applyFont="1" applyFill="1" applyBorder="1" applyAlignment="1">
      <alignment horizontal="center" vertical="center" wrapText="1"/>
    </xf>
    <xf numFmtId="0" fontId="76" fillId="2" borderId="1"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32" xfId="0" applyFont="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3" fontId="5" fillId="2" borderId="1" xfId="0" applyNumberFormat="1" applyFont="1" applyFill="1" applyBorder="1" applyAlignment="1">
      <alignment horizontal="center" vertical="center" wrapText="1"/>
    </xf>
    <xf numFmtId="4" fontId="5" fillId="0" borderId="10" xfId="0" applyNumberFormat="1" applyFont="1" applyBorder="1" applyAlignment="1">
      <alignment horizontal="center" vertical="center" wrapText="1"/>
    </xf>
    <xf numFmtId="3" fontId="54" fillId="2" borderId="1" xfId="0" applyNumberFormat="1" applyFont="1" applyFill="1" applyBorder="1" applyAlignment="1">
      <alignment horizontal="center" vertical="center"/>
    </xf>
    <xf numFmtId="3" fontId="54" fillId="2" borderId="1" xfId="0" applyNumberFormat="1" applyFont="1" applyFill="1" applyBorder="1" applyAlignment="1">
      <alignment horizontal="center" vertical="center" wrapText="1"/>
    </xf>
    <xf numFmtId="3" fontId="5" fillId="2" borderId="1" xfId="0" applyNumberFormat="1" applyFont="1" applyFill="1" applyBorder="1" applyAlignment="1">
      <alignment horizontal="center" vertical="center"/>
    </xf>
    <xf numFmtId="3" fontId="5" fillId="2" borderId="10" xfId="0" applyNumberFormat="1" applyFont="1" applyFill="1" applyBorder="1" applyAlignment="1">
      <alignment horizontal="center" vertical="center" wrapText="1"/>
    </xf>
    <xf numFmtId="0" fontId="13" fillId="0" borderId="3" xfId="0" applyFont="1" applyBorder="1" applyAlignment="1">
      <alignment horizontal="center" vertical="center"/>
    </xf>
    <xf numFmtId="0" fontId="13" fillId="0" borderId="11" xfId="0" applyFont="1" applyBorder="1" applyAlignment="1">
      <alignment horizontal="center" vertical="center"/>
    </xf>
    <xf numFmtId="0" fontId="54" fillId="2" borderId="3" xfId="0" applyFont="1" applyFill="1" applyBorder="1" applyAlignment="1">
      <alignment horizontal="left" vertical="center" wrapText="1"/>
    </xf>
    <xf numFmtId="0" fontId="54" fillId="2" borderId="3" xfId="0" applyFont="1" applyFill="1" applyBorder="1" applyAlignment="1">
      <alignment horizontal="left" vertical="center"/>
    </xf>
    <xf numFmtId="0" fontId="13" fillId="0" borderId="6" xfId="0" applyFont="1" applyBorder="1" applyAlignment="1">
      <alignment horizontal="center" vertical="top" wrapText="1"/>
    </xf>
    <xf numFmtId="0" fontId="13" fillId="0" borderId="2" xfId="0" applyFont="1" applyBorder="1" applyAlignment="1">
      <alignment horizontal="center" vertical="top" wrapText="1"/>
    </xf>
    <xf numFmtId="0" fontId="13" fillId="0" borderId="6" xfId="0" applyFont="1" applyBorder="1" applyAlignment="1">
      <alignment horizontal="center" vertical="top"/>
    </xf>
    <xf numFmtId="0" fontId="13" fillId="0" borderId="2" xfId="0" applyFont="1" applyBorder="1" applyAlignment="1">
      <alignment horizontal="center" vertical="top"/>
    </xf>
    <xf numFmtId="0" fontId="54" fillId="2" borderId="1" xfId="0" applyFont="1" applyFill="1" applyBorder="1" applyAlignment="1">
      <alignment horizontal="center" vertical="center"/>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3" fontId="9" fillId="2" borderId="1" xfId="0" applyNumberFormat="1" applyFont="1" applyFill="1" applyBorder="1" applyAlignment="1">
      <alignment horizontal="center" vertical="center" wrapText="1"/>
    </xf>
    <xf numFmtId="0" fontId="60" fillId="2" borderId="21" xfId="0" applyFont="1" applyFill="1" applyBorder="1" applyAlignment="1">
      <alignment horizontal="center" vertical="center" wrapText="1"/>
    </xf>
    <xf numFmtId="0" fontId="60" fillId="2" borderId="18" xfId="0" applyFont="1" applyFill="1" applyBorder="1" applyAlignment="1">
      <alignment horizontal="center" vertical="center" wrapText="1"/>
    </xf>
    <xf numFmtId="0" fontId="60" fillId="2" borderId="19" xfId="0" applyFont="1" applyFill="1" applyBorder="1" applyAlignment="1">
      <alignment horizontal="center" vertical="center" wrapText="1"/>
    </xf>
    <xf numFmtId="3" fontId="0" fillId="3" borderId="7" xfId="0" applyNumberFormat="1" applyFill="1" applyBorder="1" applyAlignment="1">
      <alignment horizontal="center" vertical="center"/>
    </xf>
    <xf numFmtId="3" fontId="0" fillId="3" borderId="8" xfId="0" applyNumberFormat="1" applyFill="1" applyBorder="1" applyAlignment="1">
      <alignment horizontal="center" vertical="center"/>
    </xf>
    <xf numFmtId="3" fontId="0" fillId="3" borderId="4" xfId="0" applyNumberFormat="1" applyFill="1" applyBorder="1" applyAlignment="1">
      <alignment horizontal="center" vertical="center"/>
    </xf>
    <xf numFmtId="0" fontId="54" fillId="2" borderId="7" xfId="0" applyFont="1" applyFill="1" applyBorder="1" applyAlignment="1">
      <alignment horizontal="center" vertical="center" wrapText="1"/>
    </xf>
    <xf numFmtId="0" fontId="54" fillId="2" borderId="8" xfId="0" applyFont="1" applyFill="1" applyBorder="1" applyAlignment="1">
      <alignment horizontal="center" vertical="center" wrapText="1"/>
    </xf>
    <xf numFmtId="0" fontId="54" fillId="2" borderId="4" xfId="0" applyFont="1" applyFill="1" applyBorder="1" applyAlignment="1">
      <alignment horizontal="center" vertical="center" wrapText="1"/>
    </xf>
    <xf numFmtId="3" fontId="0" fillId="3" borderId="7" xfId="0" applyNumberFormat="1" applyFill="1" applyBorder="1" applyAlignment="1">
      <alignment horizontal="center" vertical="center" wrapText="1"/>
    </xf>
    <xf numFmtId="3" fontId="0" fillId="3" borderId="8" xfId="0" applyNumberFormat="1" applyFill="1" applyBorder="1" applyAlignment="1">
      <alignment horizontal="center" vertical="center" wrapText="1"/>
    </xf>
    <xf numFmtId="3" fontId="0" fillId="3" borderId="4" xfId="0" applyNumberFormat="1" applyFill="1" applyBorder="1" applyAlignment="1">
      <alignment horizontal="center" vertical="center"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4" xfId="0" applyFill="1" applyBorder="1" applyAlignment="1">
      <alignment horizontal="center" vertical="center"/>
    </xf>
    <xf numFmtId="0" fontId="13" fillId="0" borderId="35" xfId="0" applyFont="1" applyBorder="1" applyAlignment="1">
      <alignment horizontal="left" vertical="top" wrapText="1"/>
    </xf>
    <xf numFmtId="0" fontId="13" fillId="0" borderId="36" xfId="0" applyFont="1" applyBorder="1" applyAlignment="1">
      <alignment horizontal="left" vertical="top" wrapText="1"/>
    </xf>
    <xf numFmtId="0" fontId="13" fillId="0" borderId="21" xfId="0" applyFont="1" applyBorder="1" applyAlignment="1">
      <alignment horizontal="center" vertical="top" wrapText="1"/>
    </xf>
    <xf numFmtId="0" fontId="13" fillId="0" borderId="19" xfId="0" applyFont="1" applyBorder="1" applyAlignment="1">
      <alignment horizontal="center" vertical="top" wrapText="1"/>
    </xf>
    <xf numFmtId="0" fontId="13" fillId="0" borderId="7" xfId="0" applyFont="1" applyBorder="1" applyAlignment="1">
      <alignment horizontal="center" vertical="top" wrapText="1"/>
    </xf>
    <xf numFmtId="0" fontId="13" fillId="0" borderId="4" xfId="0" applyFont="1" applyBorder="1" applyAlignment="1">
      <alignment horizontal="center" vertical="top" wrapText="1"/>
    </xf>
    <xf numFmtId="0" fontId="13" fillId="0" borderId="16" xfId="0" applyFont="1" applyBorder="1" applyAlignment="1">
      <alignment horizontal="center" vertical="top" wrapText="1"/>
    </xf>
    <xf numFmtId="0" fontId="13" fillId="0" borderId="29" xfId="0" applyFont="1" applyBorder="1" applyAlignment="1">
      <alignment horizontal="center" vertical="top" wrapText="1"/>
    </xf>
    <xf numFmtId="0" fontId="13" fillId="0" borderId="20" xfId="0" applyFont="1" applyBorder="1" applyAlignment="1">
      <alignment horizontal="center" vertical="top" wrapText="1"/>
    </xf>
    <xf numFmtId="0" fontId="13" fillId="0" borderId="7" xfId="0" applyFont="1" applyBorder="1" applyAlignment="1">
      <alignment horizontal="left" vertical="top" wrapText="1"/>
    </xf>
    <xf numFmtId="0" fontId="13" fillId="0" borderId="4" xfId="0" applyFont="1" applyBorder="1" applyAlignment="1">
      <alignment horizontal="left" vertical="top" wrapText="1"/>
    </xf>
    <xf numFmtId="0" fontId="13" fillId="0" borderId="16" xfId="0" applyFont="1" applyBorder="1" applyAlignment="1">
      <alignment horizontal="center" vertical="top"/>
    </xf>
    <xf numFmtId="0" fontId="13" fillId="0" borderId="20" xfId="0" applyFont="1" applyBorder="1" applyAlignment="1">
      <alignment horizontal="center" vertical="top"/>
    </xf>
    <xf numFmtId="0" fontId="13" fillId="0" borderId="7" xfId="0" applyFont="1" applyBorder="1" applyAlignment="1">
      <alignment horizontal="center" vertical="top"/>
    </xf>
    <xf numFmtId="0" fontId="13" fillId="0" borderId="4" xfId="0" applyFont="1" applyBorder="1" applyAlignment="1">
      <alignment horizontal="center" vertical="top"/>
    </xf>
    <xf numFmtId="3" fontId="9" fillId="2" borderId="1" xfId="0" applyNumberFormat="1" applyFont="1" applyFill="1" applyBorder="1" applyAlignment="1">
      <alignment horizontal="center" vertical="center"/>
    </xf>
    <xf numFmtId="0" fontId="9" fillId="2" borderId="32" xfId="0" applyFont="1" applyFill="1" applyBorder="1" applyAlignment="1">
      <alignment horizontal="center" vertical="center" wrapText="1"/>
    </xf>
    <xf numFmtId="0" fontId="9" fillId="2" borderId="37" xfId="0" applyFont="1" applyFill="1" applyBorder="1" applyAlignment="1">
      <alignment horizontal="center" vertical="center" wrapText="1"/>
    </xf>
    <xf numFmtId="4" fontId="9" fillId="2" borderId="1" xfId="0" applyNumberFormat="1" applyFont="1" applyFill="1" applyBorder="1" applyAlignment="1">
      <alignment horizontal="center" vertical="center" wrapText="1"/>
    </xf>
    <xf numFmtId="4" fontId="9" fillId="2" borderId="9" xfId="0" applyNumberFormat="1" applyFont="1" applyFill="1" applyBorder="1" applyAlignment="1">
      <alignment horizontal="center" vertical="center" wrapText="1"/>
    </xf>
    <xf numFmtId="4" fontId="13" fillId="2" borderId="1" xfId="0" applyNumberFormat="1" applyFont="1" applyFill="1" applyBorder="1" applyAlignment="1">
      <alignment horizontal="center" vertical="center" wrapText="1"/>
    </xf>
    <xf numFmtId="4" fontId="54" fillId="2" borderId="1" xfId="0" applyNumberFormat="1" applyFont="1" applyFill="1" applyBorder="1" applyAlignment="1">
      <alignment horizontal="center" vertical="center" wrapText="1"/>
    </xf>
    <xf numFmtId="0" fontId="13" fillId="0" borderId="46" xfId="0" applyFont="1" applyBorder="1" applyAlignment="1">
      <alignment horizontal="center" vertical="center"/>
    </xf>
    <xf numFmtId="0" fontId="13" fillId="0" borderId="47" xfId="0" applyFont="1" applyBorder="1" applyAlignment="1">
      <alignment horizontal="center" vertical="center"/>
    </xf>
    <xf numFmtId="3" fontId="9" fillId="2" borderId="9" xfId="0" applyNumberFormat="1" applyFont="1" applyFill="1" applyBorder="1" applyAlignment="1">
      <alignment horizontal="center" vertical="center" wrapText="1"/>
    </xf>
    <xf numFmtId="3" fontId="9" fillId="2" borderId="9" xfId="0" applyNumberFormat="1" applyFont="1" applyFill="1" applyBorder="1" applyAlignment="1">
      <alignment horizontal="center" vertical="center"/>
    </xf>
    <xf numFmtId="0" fontId="54" fillId="2" borderId="9" xfId="0" applyFont="1" applyFill="1" applyBorder="1" applyAlignment="1">
      <alignment horizontal="center" vertical="center" wrapText="1"/>
    </xf>
    <xf numFmtId="0" fontId="13" fillId="0" borderId="15" xfId="0" applyFont="1" applyBorder="1" applyAlignment="1">
      <alignment horizontal="center" vertical="center"/>
    </xf>
    <xf numFmtId="0" fontId="13" fillId="0" borderId="25" xfId="0" applyFont="1" applyBorder="1" applyAlignment="1">
      <alignment horizontal="center" vertical="center"/>
    </xf>
    <xf numFmtId="0" fontId="13" fillId="3" borderId="49" xfId="0" applyFont="1" applyFill="1" applyBorder="1" applyAlignment="1">
      <alignment horizontal="center" vertical="center"/>
    </xf>
    <xf numFmtId="0" fontId="0" fillId="0" borderId="50" xfId="0" applyBorder="1" applyAlignment="1">
      <alignment horizontal="center" vertical="center"/>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16" xfId="0" applyFont="1" applyBorder="1" applyAlignment="1">
      <alignment horizontal="center" vertical="center"/>
    </xf>
    <xf numFmtId="0" fontId="20" fillId="0" borderId="20" xfId="0" applyFont="1" applyBorder="1" applyAlignment="1">
      <alignment horizontal="center" vertical="center"/>
    </xf>
    <xf numFmtId="0" fontId="20" fillId="0" borderId="25" xfId="0" applyFont="1" applyBorder="1" applyAlignment="1">
      <alignment horizontal="center" vertical="center" wrapText="1"/>
    </xf>
    <xf numFmtId="0" fontId="41" fillId="0" borderId="28" xfId="0" applyFont="1" applyBorder="1" applyAlignment="1">
      <alignment horizontal="center" vertical="center" wrapText="1"/>
    </xf>
    <xf numFmtId="0" fontId="15" fillId="0" borderId="28" xfId="0" applyFont="1" applyBorder="1" applyAlignment="1">
      <alignment horizontal="center" vertical="center" wrapText="1"/>
    </xf>
    <xf numFmtId="0" fontId="15" fillId="0" borderId="21" xfId="0" applyFont="1" applyBorder="1" applyAlignment="1">
      <alignment horizontal="center" vertical="center" wrapText="1"/>
    </xf>
    <xf numFmtId="0" fontId="15" fillId="0" borderId="18" xfId="0" applyFont="1" applyBorder="1" applyAlignment="1">
      <alignment horizontal="center" vertical="center" wrapText="1"/>
    </xf>
    <xf numFmtId="4" fontId="15" fillId="0" borderId="7"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2" borderId="7" xfId="0" applyFont="1" applyFill="1" applyBorder="1" applyAlignment="1">
      <alignment horizontal="left" vertical="center" wrapText="1"/>
    </xf>
    <xf numFmtId="0" fontId="15" fillId="0" borderId="8" xfId="0" applyFont="1" applyBorder="1" applyAlignment="1">
      <alignment horizontal="center" vertical="center" wrapText="1"/>
    </xf>
    <xf numFmtId="165" fontId="15" fillId="0" borderId="7" xfId="0" applyNumberFormat="1" applyFont="1" applyBorder="1" applyAlignment="1">
      <alignment horizontal="center" vertical="center" wrapText="1"/>
    </xf>
    <xf numFmtId="165" fontId="15" fillId="0" borderId="8" xfId="0" applyNumberFormat="1" applyFont="1" applyBorder="1" applyAlignment="1">
      <alignment horizontal="center" vertical="center" wrapText="1"/>
    </xf>
    <xf numFmtId="165" fontId="15" fillId="0" borderId="7" xfId="0" applyNumberFormat="1" applyFont="1" applyBorder="1" applyAlignment="1">
      <alignment horizontal="center" vertical="center"/>
    </xf>
    <xf numFmtId="0" fontId="15" fillId="0" borderId="4" xfId="0" applyFont="1" applyBorder="1" applyAlignment="1">
      <alignment horizontal="center" vertical="center"/>
    </xf>
    <xf numFmtId="0" fontId="20" fillId="0" borderId="7" xfId="0" applyFont="1" applyBorder="1" applyAlignment="1">
      <alignment horizontal="center" vertical="center"/>
    </xf>
    <xf numFmtId="0" fontId="20" fillId="0" borderId="4" xfId="0" applyFont="1" applyBorder="1" applyAlignment="1">
      <alignment horizontal="center" vertical="center"/>
    </xf>
    <xf numFmtId="0" fontId="15" fillId="0" borderId="19" xfId="0" applyFont="1" applyBorder="1" applyAlignment="1">
      <alignment horizontal="center" vertical="center" wrapText="1"/>
    </xf>
    <xf numFmtId="0" fontId="21" fillId="2" borderId="6" xfId="0" applyFont="1" applyFill="1" applyBorder="1" applyAlignment="1">
      <alignment horizontal="left" vertical="center" wrapText="1"/>
    </xf>
    <xf numFmtId="0" fontId="21" fillId="2" borderId="9" xfId="0" applyFont="1" applyFill="1" applyBorder="1" applyAlignment="1">
      <alignment horizontal="left" vertical="center" wrapText="1"/>
    </xf>
    <xf numFmtId="165" fontId="21" fillId="0" borderId="6" xfId="0" applyNumberFormat="1" applyFont="1" applyBorder="1" applyAlignment="1">
      <alignment horizontal="center" vertical="center" wrapText="1"/>
    </xf>
    <xf numFmtId="165" fontId="21" fillId="0" borderId="9" xfId="0" applyNumberFormat="1" applyFont="1" applyBorder="1" applyAlignment="1">
      <alignment horizontal="center" vertical="center" wrapText="1"/>
    </xf>
    <xf numFmtId="165" fontId="21" fillId="0" borderId="6" xfId="0" applyNumberFormat="1" applyFont="1" applyBorder="1" applyAlignment="1">
      <alignment horizontal="center" vertical="center"/>
    </xf>
    <xf numFmtId="165" fontId="21" fillId="0" borderId="9" xfId="0" applyNumberFormat="1" applyFont="1" applyBorder="1" applyAlignment="1">
      <alignment horizontal="center" vertical="center"/>
    </xf>
    <xf numFmtId="165" fontId="15" fillId="0" borderId="4" xfId="0" applyNumberFormat="1" applyFont="1" applyBorder="1" applyAlignment="1">
      <alignment horizontal="center" vertical="center" wrapText="1"/>
    </xf>
    <xf numFmtId="165" fontId="15" fillId="0" borderId="8" xfId="0" applyNumberFormat="1" applyFont="1" applyBorder="1" applyAlignment="1">
      <alignment horizontal="center" vertical="center"/>
    </xf>
  </cellXfs>
  <cellStyles count="2">
    <cellStyle name="Įprastas" xfId="0" builtinId="0"/>
    <cellStyle name="Kablelis [0]" xfId="1" builtinId="6"/>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38"/>
  <sheetViews>
    <sheetView zoomScale="81" zoomScaleNormal="81" workbookViewId="0">
      <selection activeCell="K37" sqref="K37"/>
    </sheetView>
  </sheetViews>
  <sheetFormatPr defaultRowHeight="15" x14ac:dyDescent="0.25"/>
  <cols>
    <col min="1" max="1" width="29.85546875" style="12" customWidth="1"/>
    <col min="2" max="2" width="25.42578125" style="24" customWidth="1"/>
    <col min="3" max="3" width="20.85546875" style="12" customWidth="1"/>
    <col min="4" max="4" width="24.140625" style="24" customWidth="1"/>
    <col min="5" max="5" width="22.85546875" style="13" customWidth="1"/>
    <col min="6" max="6" width="14.42578125" style="12" customWidth="1"/>
    <col min="7" max="7" width="11.5703125" style="12" customWidth="1"/>
    <col min="8" max="8" width="24.28515625" style="12" customWidth="1"/>
    <col min="9" max="9" width="24.5703125" style="12" customWidth="1"/>
    <col min="10" max="10" width="17.85546875" style="12" customWidth="1"/>
    <col min="11" max="11" width="24.42578125" style="12" customWidth="1"/>
    <col min="12" max="12" width="14.42578125" style="12" customWidth="1"/>
    <col min="13" max="13" width="14.85546875" style="12" customWidth="1"/>
    <col min="14" max="14" width="12.42578125" style="12" customWidth="1"/>
    <col min="15" max="15" width="12" style="12" bestFit="1" customWidth="1"/>
    <col min="16" max="16" width="12.5703125" style="13" customWidth="1"/>
    <col min="17" max="17" width="103.7109375" style="3" customWidth="1"/>
    <col min="18" max="18" width="84.42578125" style="3" customWidth="1"/>
  </cols>
  <sheetData>
    <row r="1" spans="1:107" ht="33.950000000000003" customHeight="1" x14ac:dyDescent="0.25">
      <c r="A1" s="439" t="s">
        <v>0</v>
      </c>
      <c r="B1" s="439"/>
      <c r="C1" s="439"/>
      <c r="D1" s="439"/>
      <c r="E1" s="439"/>
      <c r="F1" s="439"/>
    </row>
    <row r="2" spans="1:107" ht="15.75" thickBot="1" x14ac:dyDescent="0.3"/>
    <row r="3" spans="1:107" ht="32.25" customHeight="1" x14ac:dyDescent="0.25">
      <c r="A3" s="440" t="s">
        <v>1</v>
      </c>
      <c r="B3" s="442" t="s">
        <v>2</v>
      </c>
      <c r="C3" s="444" t="s">
        <v>3</v>
      </c>
      <c r="D3" s="437"/>
      <c r="E3" s="437"/>
      <c r="F3" s="444" t="s">
        <v>4</v>
      </c>
      <c r="G3" s="446" t="s">
        <v>5</v>
      </c>
      <c r="H3" s="446"/>
      <c r="I3" s="427" t="s">
        <v>6</v>
      </c>
      <c r="J3" s="435" t="s">
        <v>7</v>
      </c>
      <c r="K3" s="427" t="s">
        <v>8</v>
      </c>
      <c r="L3" s="437" t="s">
        <v>9</v>
      </c>
      <c r="M3" s="438"/>
      <c r="N3" s="427" t="s">
        <v>10</v>
      </c>
      <c r="O3" s="427" t="s">
        <v>11</v>
      </c>
      <c r="P3" s="427" t="s">
        <v>12</v>
      </c>
      <c r="Q3" s="429" t="s">
        <v>13</v>
      </c>
      <c r="R3" s="431" t="s">
        <v>14</v>
      </c>
    </row>
    <row r="4" spans="1:107" ht="54.75" customHeight="1" x14ac:dyDescent="0.25">
      <c r="A4" s="441"/>
      <c r="B4" s="443"/>
      <c r="C4" s="44" t="s">
        <v>15</v>
      </c>
      <c r="D4" s="25" t="s">
        <v>16</v>
      </c>
      <c r="E4" s="107" t="s">
        <v>17</v>
      </c>
      <c r="F4" s="445"/>
      <c r="G4" s="44" t="s">
        <v>18</v>
      </c>
      <c r="H4" s="44" t="s">
        <v>19</v>
      </c>
      <c r="I4" s="428"/>
      <c r="J4" s="436"/>
      <c r="K4" s="428"/>
      <c r="L4" s="31" t="s">
        <v>20</v>
      </c>
      <c r="M4" s="31" t="s">
        <v>21</v>
      </c>
      <c r="N4" s="428"/>
      <c r="O4" s="428"/>
      <c r="P4" s="428"/>
      <c r="Q4" s="430"/>
      <c r="R4" s="431"/>
    </row>
    <row r="5" spans="1:107" ht="103.5" customHeight="1" x14ac:dyDescent="0.25">
      <c r="A5" s="395" t="s">
        <v>22</v>
      </c>
      <c r="B5" s="390">
        <v>41500000</v>
      </c>
      <c r="C5" s="421" t="s">
        <v>23</v>
      </c>
      <c r="D5" s="390">
        <f>(B5-(B5*0.0411))*0.5/0.5</f>
        <v>39794350</v>
      </c>
      <c r="E5" s="390">
        <f>B5+D5</f>
        <v>81294350</v>
      </c>
      <c r="F5" s="432">
        <f>(B5-(B5*0.0411))+D5</f>
        <v>79588700</v>
      </c>
      <c r="G5" s="20" t="s">
        <v>24</v>
      </c>
      <c r="H5" s="40" t="s">
        <v>25</v>
      </c>
      <c r="I5" s="22" t="s">
        <v>26</v>
      </c>
      <c r="J5" s="20" t="s">
        <v>27</v>
      </c>
      <c r="K5" s="20" t="s">
        <v>28</v>
      </c>
      <c r="L5" s="17">
        <v>0</v>
      </c>
      <c r="M5" s="35" t="s">
        <v>29</v>
      </c>
      <c r="N5" s="17">
        <v>6460</v>
      </c>
      <c r="O5" s="30">
        <v>21534</v>
      </c>
      <c r="P5" s="45" t="s">
        <v>30</v>
      </c>
      <c r="Q5" s="59" t="s">
        <v>31</v>
      </c>
      <c r="R5" s="121" t="s">
        <v>32</v>
      </c>
    </row>
    <row r="6" spans="1:107" ht="87.75" customHeight="1" x14ac:dyDescent="0.25">
      <c r="A6" s="384"/>
      <c r="B6" s="391"/>
      <c r="C6" s="416"/>
      <c r="D6" s="391"/>
      <c r="E6" s="391"/>
      <c r="F6" s="433"/>
      <c r="G6" s="20" t="s">
        <v>33</v>
      </c>
      <c r="H6" s="40" t="s">
        <v>34</v>
      </c>
      <c r="I6" s="22" t="s">
        <v>26</v>
      </c>
      <c r="J6" s="20" t="s">
        <v>27</v>
      </c>
      <c r="K6" s="22" t="s">
        <v>35</v>
      </c>
      <c r="L6" s="17">
        <v>1427274</v>
      </c>
      <c r="M6" s="7">
        <v>2019</v>
      </c>
      <c r="N6" s="17" t="s">
        <v>36</v>
      </c>
      <c r="O6" s="17">
        <v>450061</v>
      </c>
      <c r="P6" s="45" t="s">
        <v>30</v>
      </c>
      <c r="Q6" s="59" t="s">
        <v>37</v>
      </c>
      <c r="R6" s="122" t="s">
        <v>38</v>
      </c>
    </row>
    <row r="7" spans="1:107" ht="96" customHeight="1" x14ac:dyDescent="0.25">
      <c r="A7" s="384"/>
      <c r="B7" s="392"/>
      <c r="C7" s="417"/>
      <c r="D7" s="392"/>
      <c r="E7" s="392"/>
      <c r="F7" s="434"/>
      <c r="G7" s="35" t="s">
        <v>39</v>
      </c>
      <c r="H7" s="41" t="s">
        <v>40</v>
      </c>
      <c r="I7" s="22" t="s">
        <v>26</v>
      </c>
      <c r="J7" s="20" t="s">
        <v>27</v>
      </c>
      <c r="K7" s="67" t="s">
        <v>41</v>
      </c>
      <c r="L7" s="139">
        <v>57091</v>
      </c>
      <c r="M7" s="7">
        <v>2019</v>
      </c>
      <c r="N7" s="35" t="s">
        <v>29</v>
      </c>
      <c r="O7" s="30">
        <v>41405</v>
      </c>
      <c r="P7" s="45" t="s">
        <v>30</v>
      </c>
      <c r="Q7" s="120" t="s">
        <v>42</v>
      </c>
      <c r="R7" s="114"/>
    </row>
    <row r="8" spans="1:107" ht="15" customHeight="1" x14ac:dyDescent="0.25">
      <c r="A8" s="384"/>
      <c r="B8" s="390">
        <v>41500000</v>
      </c>
      <c r="C8" s="421" t="s">
        <v>23</v>
      </c>
      <c r="D8" s="390">
        <f>(B8-(B8*0.0411))*0.5/0.5</f>
        <v>39794350</v>
      </c>
      <c r="E8" s="390">
        <f>B8+D8</f>
        <v>81294350</v>
      </c>
      <c r="F8" s="424">
        <f>(B8-(B8*0.0411))+D8</f>
        <v>79588700</v>
      </c>
      <c r="G8" s="418" t="s">
        <v>24</v>
      </c>
      <c r="H8" s="389" t="s">
        <v>25</v>
      </c>
      <c r="I8" s="418" t="s">
        <v>43</v>
      </c>
      <c r="J8" s="418" t="s">
        <v>44</v>
      </c>
      <c r="K8" s="418" t="s">
        <v>28</v>
      </c>
      <c r="L8" s="419">
        <v>0</v>
      </c>
      <c r="M8" s="420" t="s">
        <v>29</v>
      </c>
      <c r="N8" s="399">
        <v>6460</v>
      </c>
      <c r="O8" s="399">
        <v>21534</v>
      </c>
      <c r="P8" s="395" t="s">
        <v>30</v>
      </c>
      <c r="Q8" s="408" t="s">
        <v>45</v>
      </c>
      <c r="R8" s="411" t="s">
        <v>46</v>
      </c>
    </row>
    <row r="9" spans="1:107" ht="15" customHeight="1" x14ac:dyDescent="0.25">
      <c r="A9" s="384"/>
      <c r="B9" s="391"/>
      <c r="C9" s="416"/>
      <c r="D9" s="391"/>
      <c r="E9" s="391"/>
      <c r="F9" s="425"/>
      <c r="G9" s="418"/>
      <c r="H9" s="389"/>
      <c r="I9" s="418"/>
      <c r="J9" s="418"/>
      <c r="K9" s="418"/>
      <c r="L9" s="419"/>
      <c r="M9" s="420"/>
      <c r="N9" s="407"/>
      <c r="O9" s="407"/>
      <c r="P9" s="384"/>
      <c r="Q9" s="409"/>
      <c r="R9" s="412"/>
    </row>
    <row r="10" spans="1:107" ht="85.5" customHeight="1" x14ac:dyDescent="0.25">
      <c r="A10" s="384"/>
      <c r="B10" s="391"/>
      <c r="C10" s="416"/>
      <c r="D10" s="391"/>
      <c r="E10" s="391"/>
      <c r="F10" s="425"/>
      <c r="G10" s="418"/>
      <c r="H10" s="389"/>
      <c r="I10" s="418"/>
      <c r="J10" s="418"/>
      <c r="K10" s="418"/>
      <c r="L10" s="419"/>
      <c r="M10" s="420"/>
      <c r="N10" s="400"/>
      <c r="O10" s="400"/>
      <c r="P10" s="396"/>
      <c r="Q10" s="410"/>
      <c r="R10" s="413"/>
    </row>
    <row r="11" spans="1:107" s="9" customFormat="1" ht="87" customHeight="1" thickBot="1" x14ac:dyDescent="0.3">
      <c r="A11" s="384"/>
      <c r="B11" s="391"/>
      <c r="C11" s="416"/>
      <c r="D11" s="391"/>
      <c r="E11" s="391"/>
      <c r="F11" s="425"/>
      <c r="G11" s="20" t="s">
        <v>33</v>
      </c>
      <c r="H11" s="40" t="s">
        <v>34</v>
      </c>
      <c r="I11" s="22" t="s">
        <v>43</v>
      </c>
      <c r="J11" s="20" t="s">
        <v>44</v>
      </c>
      <c r="K11" s="22" t="s">
        <v>35</v>
      </c>
      <c r="L11" s="17">
        <v>1427274</v>
      </c>
      <c r="M11" s="7">
        <v>2019</v>
      </c>
      <c r="N11" s="17" t="s">
        <v>36</v>
      </c>
      <c r="O11" s="17">
        <v>450061</v>
      </c>
      <c r="P11" s="45" t="s">
        <v>30</v>
      </c>
      <c r="Q11" s="59" t="s">
        <v>37</v>
      </c>
      <c r="R11" s="122" t="s">
        <v>47</v>
      </c>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row>
    <row r="12" spans="1:107" ht="110.25" customHeight="1" thickBot="1" x14ac:dyDescent="0.3">
      <c r="A12" s="385"/>
      <c r="B12" s="423"/>
      <c r="C12" s="422"/>
      <c r="D12" s="423"/>
      <c r="E12" s="423"/>
      <c r="F12" s="426"/>
      <c r="G12" s="141" t="s">
        <v>39</v>
      </c>
      <c r="H12" s="41" t="s">
        <v>40</v>
      </c>
      <c r="I12" s="22" t="s">
        <v>43</v>
      </c>
      <c r="J12" s="20" t="s">
        <v>44</v>
      </c>
      <c r="K12" s="69" t="s">
        <v>41</v>
      </c>
      <c r="L12" s="139">
        <v>57091</v>
      </c>
      <c r="M12" s="7">
        <v>2019</v>
      </c>
      <c r="N12" s="35" t="s">
        <v>29</v>
      </c>
      <c r="O12" s="30">
        <v>41405</v>
      </c>
      <c r="P12" s="45" t="s">
        <v>30</v>
      </c>
      <c r="Q12" s="120" t="s">
        <v>42</v>
      </c>
      <c r="R12" s="114"/>
      <c r="S12" s="119"/>
      <c r="U12" s="118"/>
    </row>
    <row r="13" spans="1:107" ht="83.25" customHeight="1" thickBot="1" x14ac:dyDescent="0.3">
      <c r="A13" s="383" t="s">
        <v>48</v>
      </c>
      <c r="B13" s="414">
        <v>62000000</v>
      </c>
      <c r="C13" s="415" t="s">
        <v>49</v>
      </c>
      <c r="D13" s="414">
        <f>(B13*0.3)/0.7</f>
        <v>26571428.571428575</v>
      </c>
      <c r="E13" s="414">
        <f>B13+D13</f>
        <v>88571428.571428567</v>
      </c>
      <c r="F13" s="414">
        <f>E13</f>
        <v>88571428.571428567</v>
      </c>
      <c r="G13" s="115" t="s">
        <v>50</v>
      </c>
      <c r="H13" s="116" t="s">
        <v>51</v>
      </c>
      <c r="I13" s="113" t="s">
        <v>26</v>
      </c>
      <c r="J13" s="113" t="s">
        <v>27</v>
      </c>
      <c r="K13" s="113" t="s">
        <v>52</v>
      </c>
      <c r="L13" s="136">
        <v>0</v>
      </c>
      <c r="M13" s="125" t="s">
        <v>29</v>
      </c>
      <c r="N13" s="132">
        <v>25670</v>
      </c>
      <c r="O13" s="136">
        <v>256700</v>
      </c>
      <c r="P13" s="137" t="s">
        <v>30</v>
      </c>
      <c r="Q13" s="117" t="s">
        <v>53</v>
      </c>
      <c r="R13" s="123" t="s">
        <v>54</v>
      </c>
    </row>
    <row r="14" spans="1:107" ht="13.5" customHeight="1" x14ac:dyDescent="0.25">
      <c r="A14" s="384"/>
      <c r="B14" s="391"/>
      <c r="C14" s="416"/>
      <c r="D14" s="391"/>
      <c r="E14" s="391"/>
      <c r="F14" s="391"/>
      <c r="G14" s="395" t="s">
        <v>33</v>
      </c>
      <c r="H14" s="397" t="s">
        <v>34</v>
      </c>
      <c r="I14" s="383" t="s">
        <v>26</v>
      </c>
      <c r="J14" s="395" t="s">
        <v>27</v>
      </c>
      <c r="K14" s="395" t="s">
        <v>35</v>
      </c>
      <c r="L14" s="399">
        <v>56474</v>
      </c>
      <c r="M14" s="401">
        <v>2019</v>
      </c>
      <c r="N14" s="399" t="s">
        <v>36</v>
      </c>
      <c r="O14" s="399">
        <v>33884</v>
      </c>
      <c r="P14" s="403" t="s">
        <v>30</v>
      </c>
      <c r="Q14" s="405" t="s">
        <v>55</v>
      </c>
      <c r="R14" s="393" t="s">
        <v>56</v>
      </c>
    </row>
    <row r="15" spans="1:107" ht="79.5" customHeight="1" x14ac:dyDescent="0.25">
      <c r="A15" s="384"/>
      <c r="B15" s="391"/>
      <c r="C15" s="416"/>
      <c r="D15" s="391"/>
      <c r="E15" s="391"/>
      <c r="F15" s="391"/>
      <c r="G15" s="396"/>
      <c r="H15" s="398"/>
      <c r="I15" s="396"/>
      <c r="J15" s="396"/>
      <c r="K15" s="396"/>
      <c r="L15" s="400"/>
      <c r="M15" s="402"/>
      <c r="N15" s="400"/>
      <c r="O15" s="400"/>
      <c r="P15" s="404"/>
      <c r="Q15" s="406"/>
      <c r="R15" s="394"/>
    </row>
    <row r="16" spans="1:107" ht="61.5" customHeight="1" thickBot="1" x14ac:dyDescent="0.3">
      <c r="A16" s="385"/>
      <c r="B16" s="392"/>
      <c r="C16" s="417"/>
      <c r="D16" s="391"/>
      <c r="E16" s="391"/>
      <c r="F16" s="392"/>
      <c r="G16" s="20" t="s">
        <v>39</v>
      </c>
      <c r="H16" s="41" t="s">
        <v>40</v>
      </c>
      <c r="I16" s="22" t="s">
        <v>26</v>
      </c>
      <c r="J16" s="20" t="s">
        <v>27</v>
      </c>
      <c r="K16" s="22" t="s">
        <v>41</v>
      </c>
      <c r="L16" s="17">
        <v>5647</v>
      </c>
      <c r="M16" s="101">
        <v>2019</v>
      </c>
      <c r="N16" s="138" t="s">
        <v>36</v>
      </c>
      <c r="O16" s="143">
        <v>3388</v>
      </c>
      <c r="P16" s="45" t="s">
        <v>30</v>
      </c>
      <c r="Q16" s="59" t="s">
        <v>57</v>
      </c>
      <c r="R16" s="124" t="s">
        <v>58</v>
      </c>
    </row>
    <row r="17" spans="1:18" ht="302.25" customHeight="1" x14ac:dyDescent="0.25">
      <c r="A17" s="383" t="s">
        <v>59</v>
      </c>
      <c r="B17" s="386">
        <v>13500000</v>
      </c>
      <c r="C17" s="388" t="s">
        <v>60</v>
      </c>
      <c r="D17" s="386">
        <f>(B17*0.3)/0.7</f>
        <v>5785714.2857142864</v>
      </c>
      <c r="E17" s="386">
        <f>B17+D17</f>
        <v>19285714.285714287</v>
      </c>
      <c r="F17" s="386">
        <f>E17</f>
        <v>19285714.285714287</v>
      </c>
      <c r="G17" s="125" t="s">
        <v>33</v>
      </c>
      <c r="H17" s="126" t="s">
        <v>34</v>
      </c>
      <c r="I17" s="71" t="s">
        <v>26</v>
      </c>
      <c r="J17" s="71" t="s">
        <v>27</v>
      </c>
      <c r="K17" s="71" t="s">
        <v>35</v>
      </c>
      <c r="L17" s="132">
        <v>1133300</v>
      </c>
      <c r="M17" s="71">
        <v>2019</v>
      </c>
      <c r="N17" s="136" t="s">
        <v>36</v>
      </c>
      <c r="O17" s="132">
        <v>1121001</v>
      </c>
      <c r="P17" s="127" t="s">
        <v>30</v>
      </c>
      <c r="Q17" s="128" t="s">
        <v>61</v>
      </c>
      <c r="R17" s="123" t="s">
        <v>62</v>
      </c>
    </row>
    <row r="18" spans="1:18" ht="84.75" customHeight="1" x14ac:dyDescent="0.25">
      <c r="A18" s="384"/>
      <c r="B18" s="387"/>
      <c r="C18" s="389"/>
      <c r="D18" s="387"/>
      <c r="E18" s="387"/>
      <c r="F18" s="387"/>
      <c r="G18" s="35" t="s">
        <v>63</v>
      </c>
      <c r="H18" s="53" t="s">
        <v>64</v>
      </c>
      <c r="I18" s="7" t="s">
        <v>26</v>
      </c>
      <c r="J18" s="7" t="s">
        <v>27</v>
      </c>
      <c r="K18" s="35" t="s">
        <v>65</v>
      </c>
      <c r="L18" s="144">
        <v>0</v>
      </c>
      <c r="M18" s="35" t="s">
        <v>29</v>
      </c>
      <c r="N18" s="17">
        <v>6</v>
      </c>
      <c r="O18" s="30">
        <v>21</v>
      </c>
      <c r="P18" s="45" t="s">
        <v>30</v>
      </c>
      <c r="Q18" s="59" t="s">
        <v>66</v>
      </c>
      <c r="R18" s="130" t="s">
        <v>67</v>
      </c>
    </row>
    <row r="19" spans="1:18" ht="48.75" customHeight="1" x14ac:dyDescent="0.25">
      <c r="A19" s="384"/>
      <c r="B19" s="387"/>
      <c r="C19" s="389"/>
      <c r="D19" s="387"/>
      <c r="E19" s="387"/>
      <c r="F19" s="387"/>
      <c r="G19" s="35" t="s">
        <v>39</v>
      </c>
      <c r="H19" s="41" t="s">
        <v>40</v>
      </c>
      <c r="I19" s="7" t="s">
        <v>26</v>
      </c>
      <c r="J19" s="67" t="s">
        <v>27</v>
      </c>
      <c r="K19" s="67" t="s">
        <v>41</v>
      </c>
      <c r="L19" s="30">
        <v>113330</v>
      </c>
      <c r="M19" s="7">
        <v>2019</v>
      </c>
      <c r="N19" s="35" t="s">
        <v>29</v>
      </c>
      <c r="O19" s="30">
        <v>112100</v>
      </c>
      <c r="P19" s="45" t="s">
        <v>30</v>
      </c>
      <c r="Q19" s="39" t="s">
        <v>68</v>
      </c>
      <c r="R19" s="114"/>
    </row>
    <row r="20" spans="1:18" ht="100.5" customHeight="1" thickBot="1" x14ac:dyDescent="0.3">
      <c r="A20" s="384"/>
      <c r="B20" s="387"/>
      <c r="C20" s="389"/>
      <c r="D20" s="387"/>
      <c r="E20" s="387"/>
      <c r="F20" s="387"/>
      <c r="G20" s="140" t="s">
        <v>69</v>
      </c>
      <c r="H20" s="133" t="s">
        <v>70</v>
      </c>
      <c r="I20" s="7" t="s">
        <v>26</v>
      </c>
      <c r="J20" s="140" t="s">
        <v>27</v>
      </c>
      <c r="K20" s="140" t="s">
        <v>71</v>
      </c>
      <c r="L20" s="142">
        <v>0</v>
      </c>
      <c r="M20" s="131" t="s">
        <v>29</v>
      </c>
      <c r="N20" s="142">
        <v>15428</v>
      </c>
      <c r="O20" s="142">
        <v>51428</v>
      </c>
      <c r="P20" s="137" t="s">
        <v>30</v>
      </c>
      <c r="Q20" s="134" t="s">
        <v>72</v>
      </c>
      <c r="R20" s="135" t="s">
        <v>73</v>
      </c>
    </row>
    <row r="21" spans="1:18" ht="305.25" customHeight="1" x14ac:dyDescent="0.25">
      <c r="A21" s="384"/>
      <c r="B21" s="390">
        <v>13500000</v>
      </c>
      <c r="C21" s="388" t="s">
        <v>60</v>
      </c>
      <c r="D21" s="392">
        <f>(B21*0.3)/0.7</f>
        <v>5785714.2857142864</v>
      </c>
      <c r="E21" s="390">
        <f>B21+D21</f>
        <v>19285714.285714287</v>
      </c>
      <c r="F21" s="380">
        <f>E21</f>
        <v>19285714.285714287</v>
      </c>
      <c r="G21" s="35" t="s">
        <v>33</v>
      </c>
      <c r="H21" s="53" t="s">
        <v>34</v>
      </c>
      <c r="I21" s="7" t="s">
        <v>43</v>
      </c>
      <c r="J21" s="7" t="s">
        <v>44</v>
      </c>
      <c r="K21" s="7" t="s">
        <v>35</v>
      </c>
      <c r="L21" s="17">
        <v>1133300</v>
      </c>
      <c r="M21" s="7">
        <v>2019</v>
      </c>
      <c r="N21" s="17" t="s">
        <v>36</v>
      </c>
      <c r="O21" s="30">
        <v>1121001</v>
      </c>
      <c r="P21" s="45" t="s">
        <v>30</v>
      </c>
      <c r="Q21" s="55" t="s">
        <v>74</v>
      </c>
      <c r="R21" s="121" t="s">
        <v>75</v>
      </c>
    </row>
    <row r="22" spans="1:18" ht="92.25" customHeight="1" x14ac:dyDescent="0.25">
      <c r="A22" s="384"/>
      <c r="B22" s="391"/>
      <c r="C22" s="389"/>
      <c r="D22" s="387"/>
      <c r="E22" s="391"/>
      <c r="F22" s="381"/>
      <c r="G22" s="35" t="s">
        <v>63</v>
      </c>
      <c r="H22" s="53" t="s">
        <v>64</v>
      </c>
      <c r="I22" s="7" t="s">
        <v>43</v>
      </c>
      <c r="J22" s="7" t="s">
        <v>44</v>
      </c>
      <c r="K22" s="7" t="s">
        <v>65</v>
      </c>
      <c r="L22" s="17">
        <v>0</v>
      </c>
      <c r="M22" s="35" t="s">
        <v>29</v>
      </c>
      <c r="N22" s="17">
        <v>6</v>
      </c>
      <c r="O22" s="30">
        <v>21</v>
      </c>
      <c r="P22" s="45" t="s">
        <v>30</v>
      </c>
      <c r="Q22" s="129" t="s">
        <v>76</v>
      </c>
      <c r="R22" s="122" t="s">
        <v>77</v>
      </c>
    </row>
    <row r="23" spans="1:18" ht="137.25" customHeight="1" x14ac:dyDescent="0.25">
      <c r="A23" s="384"/>
      <c r="B23" s="391"/>
      <c r="C23" s="389"/>
      <c r="D23" s="387"/>
      <c r="E23" s="391"/>
      <c r="F23" s="381"/>
      <c r="G23" s="101" t="s">
        <v>69</v>
      </c>
      <c r="H23" s="53" t="s">
        <v>70</v>
      </c>
      <c r="I23" s="7" t="s">
        <v>43</v>
      </c>
      <c r="J23" s="7" t="s">
        <v>44</v>
      </c>
      <c r="K23" s="7" t="s">
        <v>71</v>
      </c>
      <c r="L23" s="30">
        <v>0</v>
      </c>
      <c r="M23" s="7" t="s">
        <v>29</v>
      </c>
      <c r="N23" s="30">
        <v>15428</v>
      </c>
      <c r="O23" s="30">
        <v>51428</v>
      </c>
      <c r="P23" s="104" t="s">
        <v>30</v>
      </c>
      <c r="Q23" s="6" t="s">
        <v>78</v>
      </c>
      <c r="R23" s="121" t="s">
        <v>79</v>
      </c>
    </row>
    <row r="24" spans="1:18" ht="49.5" customHeight="1" thickBot="1" x14ac:dyDescent="0.3">
      <c r="A24" s="385"/>
      <c r="B24" s="392"/>
      <c r="C24" s="389"/>
      <c r="D24" s="387"/>
      <c r="E24" s="392"/>
      <c r="F24" s="382"/>
      <c r="G24" s="35" t="s">
        <v>39</v>
      </c>
      <c r="H24" s="41" t="s">
        <v>40</v>
      </c>
      <c r="I24" s="7" t="s">
        <v>43</v>
      </c>
      <c r="J24" s="7" t="s">
        <v>44</v>
      </c>
      <c r="K24" s="67" t="s">
        <v>41</v>
      </c>
      <c r="L24" s="30">
        <v>113330</v>
      </c>
      <c r="M24" s="7">
        <v>2019</v>
      </c>
      <c r="N24" s="35" t="s">
        <v>29</v>
      </c>
      <c r="O24" s="30">
        <v>112100</v>
      </c>
      <c r="P24" s="45" t="s">
        <v>30</v>
      </c>
      <c r="Q24" s="64" t="s">
        <v>80</v>
      </c>
      <c r="R24" s="114"/>
    </row>
    <row r="25" spans="1:18" x14ac:dyDescent="0.25">
      <c r="A25" s="26"/>
      <c r="C25" s="13"/>
    </row>
    <row r="26" spans="1:18" x14ac:dyDescent="0.25">
      <c r="M26" s="19"/>
      <c r="Q26" s="10"/>
    </row>
    <row r="27" spans="1:18" ht="21.75" customHeight="1" x14ac:dyDescent="0.25">
      <c r="A27" s="44" t="s">
        <v>81</v>
      </c>
      <c r="B27" s="21" t="s">
        <v>82</v>
      </c>
      <c r="C27" s="44" t="s">
        <v>83</v>
      </c>
      <c r="D27" s="44" t="s">
        <v>84</v>
      </c>
      <c r="E27" s="44" t="s">
        <v>85</v>
      </c>
      <c r="F27" s="44" t="s">
        <v>86</v>
      </c>
      <c r="G27" s="44" t="s">
        <v>87</v>
      </c>
      <c r="H27" s="44" t="s">
        <v>88</v>
      </c>
      <c r="I27" s="44" t="s">
        <v>89</v>
      </c>
    </row>
    <row r="28" spans="1:18" ht="35.25" customHeight="1" x14ac:dyDescent="0.25">
      <c r="A28" s="22" t="s">
        <v>24</v>
      </c>
      <c r="B28" s="22" t="s">
        <v>25</v>
      </c>
      <c r="C28" s="20" t="s">
        <v>28</v>
      </c>
      <c r="D28" s="32">
        <v>0</v>
      </c>
      <c r="E28" s="20" t="s">
        <v>26</v>
      </c>
      <c r="F28" s="20" t="s">
        <v>27</v>
      </c>
      <c r="G28" s="20" t="s">
        <v>29</v>
      </c>
      <c r="H28" s="33">
        <f>SUM(N5)</f>
        <v>6460</v>
      </c>
      <c r="I28" s="33">
        <f>SUM(O5)</f>
        <v>21534</v>
      </c>
    </row>
    <row r="29" spans="1:18" ht="39" customHeight="1" x14ac:dyDescent="0.25">
      <c r="A29" s="22" t="s">
        <v>24</v>
      </c>
      <c r="B29" s="22" t="s">
        <v>25</v>
      </c>
      <c r="C29" s="20" t="s">
        <v>28</v>
      </c>
      <c r="D29" s="32">
        <v>0</v>
      </c>
      <c r="E29" s="22" t="s">
        <v>43</v>
      </c>
      <c r="F29" s="20" t="s">
        <v>44</v>
      </c>
      <c r="G29" s="20" t="s">
        <v>29</v>
      </c>
      <c r="H29" s="33">
        <f>N8</f>
        <v>6460</v>
      </c>
      <c r="I29" s="33">
        <f>O8</f>
        <v>21534</v>
      </c>
    </row>
    <row r="30" spans="1:18" ht="48.75" customHeight="1" x14ac:dyDescent="0.25">
      <c r="A30" s="22" t="s">
        <v>90</v>
      </c>
      <c r="B30" s="22" t="s">
        <v>51</v>
      </c>
      <c r="C30" s="20" t="s">
        <v>91</v>
      </c>
      <c r="D30" s="32">
        <v>0</v>
      </c>
      <c r="E30" s="20" t="s">
        <v>26</v>
      </c>
      <c r="F30" s="20" t="s">
        <v>27</v>
      </c>
      <c r="G30" s="20" t="s">
        <v>29</v>
      </c>
      <c r="H30" s="33">
        <f>SUM(N13)</f>
        <v>25670</v>
      </c>
      <c r="I30" s="33">
        <f>SUM(O13)</f>
        <v>256700</v>
      </c>
    </row>
    <row r="31" spans="1:18" ht="39" x14ac:dyDescent="0.25">
      <c r="A31" s="22" t="s">
        <v>63</v>
      </c>
      <c r="B31" s="34" t="s">
        <v>64</v>
      </c>
      <c r="C31" s="22" t="s">
        <v>65</v>
      </c>
      <c r="D31" s="32">
        <v>0</v>
      </c>
      <c r="E31" s="20" t="s">
        <v>26</v>
      </c>
      <c r="F31" s="20" t="s">
        <v>27</v>
      </c>
      <c r="G31" s="20" t="s">
        <v>29</v>
      </c>
      <c r="H31" s="17">
        <f>SUM(N18)</f>
        <v>6</v>
      </c>
      <c r="I31" s="17">
        <f>SUM(O18)</f>
        <v>21</v>
      </c>
    </row>
    <row r="32" spans="1:18" ht="39" x14ac:dyDescent="0.25">
      <c r="A32" s="22" t="s">
        <v>63</v>
      </c>
      <c r="B32" s="34" t="s">
        <v>64</v>
      </c>
      <c r="C32" s="22" t="s">
        <v>65</v>
      </c>
      <c r="D32" s="32">
        <v>0</v>
      </c>
      <c r="E32" s="22" t="s">
        <v>43</v>
      </c>
      <c r="F32" s="20" t="s">
        <v>44</v>
      </c>
      <c r="G32" s="20" t="s">
        <v>29</v>
      </c>
      <c r="H32" s="17">
        <f>SUM(N22)</f>
        <v>6</v>
      </c>
      <c r="I32" s="17">
        <f>SUM(O22)</f>
        <v>21</v>
      </c>
    </row>
    <row r="33" spans="1:9" ht="54" customHeight="1" x14ac:dyDescent="0.25">
      <c r="A33" s="22" t="s">
        <v>33</v>
      </c>
      <c r="B33" s="22" t="s">
        <v>34</v>
      </c>
      <c r="C33" s="22" t="s">
        <v>92</v>
      </c>
      <c r="D33" s="29">
        <f>SUM(L6+L14+L17)</f>
        <v>2617048</v>
      </c>
      <c r="E33" s="22" t="s">
        <v>26</v>
      </c>
      <c r="F33" s="20" t="s">
        <v>27</v>
      </c>
      <c r="G33" s="20">
        <v>2019</v>
      </c>
      <c r="H33" s="17" t="s">
        <v>29</v>
      </c>
      <c r="I33" s="30">
        <f>SUM(O6+O14+O17)</f>
        <v>1604946</v>
      </c>
    </row>
    <row r="34" spans="1:9" ht="53.1" customHeight="1" x14ac:dyDescent="0.25">
      <c r="A34" s="22" t="s">
        <v>33</v>
      </c>
      <c r="B34" s="22" t="s">
        <v>34</v>
      </c>
      <c r="C34" s="22" t="s">
        <v>92</v>
      </c>
      <c r="D34" s="29">
        <f>SUM(L11+L21)</f>
        <v>2560574</v>
      </c>
      <c r="E34" s="22" t="s">
        <v>43</v>
      </c>
      <c r="F34" s="20" t="s">
        <v>44</v>
      </c>
      <c r="G34" s="20">
        <v>2019</v>
      </c>
      <c r="H34" s="17" t="s">
        <v>29</v>
      </c>
      <c r="I34" s="30">
        <f>SUM(O11+O21)</f>
        <v>1571062</v>
      </c>
    </row>
    <row r="35" spans="1:9" ht="45.95" customHeight="1" x14ac:dyDescent="0.25">
      <c r="A35" s="22" t="s">
        <v>39</v>
      </c>
      <c r="B35" s="22" t="s">
        <v>40</v>
      </c>
      <c r="C35" s="28" t="s">
        <v>41</v>
      </c>
      <c r="D35" s="29">
        <f>SUM(L7+L16+L19)</f>
        <v>176068</v>
      </c>
      <c r="E35" s="22" t="s">
        <v>26</v>
      </c>
      <c r="F35" s="20" t="s">
        <v>27</v>
      </c>
      <c r="G35" s="20">
        <v>2019</v>
      </c>
      <c r="H35" s="17" t="s">
        <v>29</v>
      </c>
      <c r="I35" s="17">
        <f>SUM(O16+O19+O7)</f>
        <v>156893</v>
      </c>
    </row>
    <row r="36" spans="1:9" ht="58.5" customHeight="1" x14ac:dyDescent="0.25">
      <c r="A36" s="22" t="s">
        <v>39</v>
      </c>
      <c r="B36" s="22" t="s">
        <v>40</v>
      </c>
      <c r="C36" s="28" t="s">
        <v>41</v>
      </c>
      <c r="D36" s="29">
        <f>SUM(L12+L24)</f>
        <v>170421</v>
      </c>
      <c r="E36" s="22" t="s">
        <v>43</v>
      </c>
      <c r="F36" s="20" t="s">
        <v>44</v>
      </c>
      <c r="G36" s="20">
        <v>2019</v>
      </c>
      <c r="H36" s="17" t="s">
        <v>29</v>
      </c>
      <c r="I36" s="17">
        <f>SUM(O12+O24)</f>
        <v>153505</v>
      </c>
    </row>
    <row r="37" spans="1:9" ht="68.25" customHeight="1" x14ac:dyDescent="0.25">
      <c r="A37" s="7" t="s">
        <v>69</v>
      </c>
      <c r="B37" s="7" t="s">
        <v>70</v>
      </c>
      <c r="C37" s="7" t="s">
        <v>71</v>
      </c>
      <c r="D37" s="29">
        <v>0</v>
      </c>
      <c r="E37" s="7" t="s">
        <v>26</v>
      </c>
      <c r="F37" s="7" t="s">
        <v>27</v>
      </c>
      <c r="G37" s="35" t="s">
        <v>29</v>
      </c>
      <c r="H37" s="17">
        <f>SUM(N20)</f>
        <v>15428</v>
      </c>
      <c r="I37" s="17">
        <f>SUM(O20)</f>
        <v>51428</v>
      </c>
    </row>
    <row r="38" spans="1:9" ht="68.25" customHeight="1" x14ac:dyDescent="0.25">
      <c r="A38" s="7" t="s">
        <v>69</v>
      </c>
      <c r="B38" s="7" t="s">
        <v>70</v>
      </c>
      <c r="C38" s="7" t="s">
        <v>71</v>
      </c>
      <c r="D38" s="29">
        <v>0</v>
      </c>
      <c r="E38" s="7" t="s">
        <v>43</v>
      </c>
      <c r="F38" s="7" t="s">
        <v>44</v>
      </c>
      <c r="G38" s="35" t="s">
        <v>29</v>
      </c>
      <c r="H38" s="17">
        <f>SUM(N23)</f>
        <v>15428</v>
      </c>
      <c r="I38" s="17">
        <f>SUM(O23)</f>
        <v>51428</v>
      </c>
    </row>
  </sheetData>
  <mergeCells count="67">
    <mergeCell ref="O3:O4"/>
    <mergeCell ref="A1:F1"/>
    <mergeCell ref="A3:A4"/>
    <mergeCell ref="B3:B4"/>
    <mergeCell ref="C3:E3"/>
    <mergeCell ref="F3:F4"/>
    <mergeCell ref="G3:H3"/>
    <mergeCell ref="H8:H10"/>
    <mergeCell ref="P3:P4"/>
    <mergeCell ref="Q3:Q4"/>
    <mergeCell ref="R3:R4"/>
    <mergeCell ref="A5:A12"/>
    <mergeCell ref="B5:B7"/>
    <mergeCell ref="C5:C7"/>
    <mergeCell ref="D5:D7"/>
    <mergeCell ref="E5:E7"/>
    <mergeCell ref="F5:F7"/>
    <mergeCell ref="B8:B12"/>
    <mergeCell ref="I3:I4"/>
    <mergeCell ref="J3:J4"/>
    <mergeCell ref="K3:K4"/>
    <mergeCell ref="L3:M3"/>
    <mergeCell ref="N3:N4"/>
    <mergeCell ref="C8:C12"/>
    <mergeCell ref="D8:D12"/>
    <mergeCell ref="E8:E12"/>
    <mergeCell ref="F8:F12"/>
    <mergeCell ref="G8:G10"/>
    <mergeCell ref="O8:O10"/>
    <mergeCell ref="P8:P10"/>
    <mergeCell ref="Q8:Q10"/>
    <mergeCell ref="R8:R10"/>
    <mergeCell ref="A13:A16"/>
    <mergeCell ref="B13:B16"/>
    <mergeCell ref="C13:C16"/>
    <mergeCell ref="D13:D16"/>
    <mergeCell ref="E13:E16"/>
    <mergeCell ref="F13:F16"/>
    <mergeCell ref="I8:I10"/>
    <mergeCell ref="J8:J10"/>
    <mergeCell ref="K8:K10"/>
    <mergeCell ref="L8:L10"/>
    <mergeCell ref="M8:M10"/>
    <mergeCell ref="N8:N10"/>
    <mergeCell ref="R14:R15"/>
    <mergeCell ref="G14:G15"/>
    <mergeCell ref="H14:H15"/>
    <mergeCell ref="I14:I15"/>
    <mergeCell ref="J14:J15"/>
    <mergeCell ref="K14:K15"/>
    <mergeCell ref="L14:L15"/>
    <mergeCell ref="M14:M15"/>
    <mergeCell ref="N14:N15"/>
    <mergeCell ref="O14:O15"/>
    <mergeCell ref="P14:P15"/>
    <mergeCell ref="Q14:Q15"/>
    <mergeCell ref="F21:F24"/>
    <mergeCell ref="A17:A24"/>
    <mergeCell ref="B17:B20"/>
    <mergeCell ref="C17:C20"/>
    <mergeCell ref="D17:D20"/>
    <mergeCell ref="E17:E20"/>
    <mergeCell ref="F17:F20"/>
    <mergeCell ref="B21:B24"/>
    <mergeCell ref="C21:C24"/>
    <mergeCell ref="D21:D24"/>
    <mergeCell ref="E21:E24"/>
  </mergeCells>
  <phoneticPr fontId="16"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8"/>
  <sheetViews>
    <sheetView topLeftCell="D22" zoomScale="80" zoomScaleNormal="80" workbookViewId="0">
      <selection activeCell="P26" sqref="P26"/>
    </sheetView>
  </sheetViews>
  <sheetFormatPr defaultRowHeight="15" x14ac:dyDescent="0.25"/>
  <cols>
    <col min="1" max="1" width="29.85546875" style="12" customWidth="1"/>
    <col min="2" max="2" width="29" style="24" customWidth="1"/>
    <col min="3" max="3" width="20.85546875" style="12" customWidth="1"/>
    <col min="4" max="4" width="21.5703125" style="24" customWidth="1"/>
    <col min="5" max="5" width="22.85546875" style="26" customWidth="1"/>
    <col min="6" max="6" width="14.42578125" style="12" customWidth="1"/>
    <col min="7" max="7" width="10.42578125" style="12" customWidth="1"/>
    <col min="8" max="8" width="20.85546875" style="12" customWidth="1"/>
    <col min="9" max="9" width="15.85546875" style="12" customWidth="1"/>
    <col min="10" max="10" width="17.85546875" style="12" customWidth="1"/>
    <col min="11" max="11" width="24.42578125" style="12" customWidth="1"/>
    <col min="12" max="12" width="14.42578125" style="12" customWidth="1"/>
    <col min="13" max="13" width="14.85546875" style="12" customWidth="1"/>
    <col min="14" max="14" width="12.42578125" style="12" customWidth="1"/>
    <col min="15" max="15" width="12" style="12" bestFit="1" customWidth="1"/>
    <col min="16" max="16" width="12.5703125" style="13" customWidth="1"/>
    <col min="17" max="17" width="0.140625" style="3" customWidth="1"/>
    <col min="18" max="18" width="84.42578125" style="3" customWidth="1"/>
  </cols>
  <sheetData>
    <row r="1" spans="1:18" ht="33.950000000000003" customHeight="1" x14ac:dyDescent="0.25">
      <c r="A1" s="11" t="s">
        <v>0</v>
      </c>
      <c r="B1" s="11"/>
      <c r="C1" s="11"/>
      <c r="D1" s="11"/>
      <c r="E1" s="106"/>
    </row>
    <row r="2" spans="1:18" ht="15.75" thickBot="1" x14ac:dyDescent="0.3"/>
    <row r="3" spans="1:18" ht="15" customHeight="1" x14ac:dyDescent="0.25">
      <c r="A3" s="440" t="s">
        <v>93</v>
      </c>
      <c r="B3" s="442" t="s">
        <v>2</v>
      </c>
      <c r="C3" s="444" t="s">
        <v>3</v>
      </c>
      <c r="D3" s="437"/>
      <c r="E3" s="437"/>
      <c r="F3" s="444" t="s">
        <v>4</v>
      </c>
      <c r="G3" s="447" t="s">
        <v>94</v>
      </c>
      <c r="H3" s="447"/>
      <c r="I3" s="427" t="s">
        <v>6</v>
      </c>
      <c r="J3" s="435" t="s">
        <v>7</v>
      </c>
      <c r="K3" s="427" t="s">
        <v>8</v>
      </c>
      <c r="L3" s="437" t="s">
        <v>9</v>
      </c>
      <c r="M3" s="438"/>
      <c r="N3" s="427" t="s">
        <v>10</v>
      </c>
      <c r="O3" s="427" t="s">
        <v>11</v>
      </c>
      <c r="P3" s="427" t="s">
        <v>12</v>
      </c>
      <c r="Q3" s="429" t="s">
        <v>13</v>
      </c>
      <c r="R3" s="431" t="s">
        <v>14</v>
      </c>
    </row>
    <row r="4" spans="1:18" ht="54.75" customHeight="1" x14ac:dyDescent="0.25">
      <c r="A4" s="441"/>
      <c r="B4" s="443"/>
      <c r="C4" s="44" t="s">
        <v>15</v>
      </c>
      <c r="D4" s="25" t="s">
        <v>16</v>
      </c>
      <c r="E4" s="107" t="s">
        <v>17</v>
      </c>
      <c r="F4" s="445"/>
      <c r="G4" s="44" t="s">
        <v>95</v>
      </c>
      <c r="H4" s="44" t="s">
        <v>96</v>
      </c>
      <c r="I4" s="428"/>
      <c r="J4" s="436"/>
      <c r="K4" s="428"/>
      <c r="L4" s="31" t="s">
        <v>20</v>
      </c>
      <c r="M4" s="31" t="s">
        <v>21</v>
      </c>
      <c r="N4" s="428"/>
      <c r="O4" s="428"/>
      <c r="P4" s="428"/>
      <c r="Q4" s="430"/>
      <c r="R4" s="431"/>
    </row>
    <row r="5" spans="1:18" ht="106.5" customHeight="1" x14ac:dyDescent="0.25">
      <c r="A5" s="418" t="s">
        <v>22</v>
      </c>
      <c r="B5" s="387">
        <v>29050000</v>
      </c>
      <c r="C5" s="389" t="s">
        <v>97</v>
      </c>
      <c r="D5" s="387">
        <f>(B5-(B5*0.0411))*0.5/0.5</f>
        <v>27856045</v>
      </c>
      <c r="E5" s="387">
        <f>B5+D5</f>
        <v>56906045</v>
      </c>
      <c r="F5" s="451">
        <f>E5</f>
        <v>56906045</v>
      </c>
      <c r="G5" s="20" t="s">
        <v>24</v>
      </c>
      <c r="H5" s="40" t="s">
        <v>25</v>
      </c>
      <c r="I5" s="22" t="s">
        <v>98</v>
      </c>
      <c r="J5" s="20" t="s">
        <v>27</v>
      </c>
      <c r="K5" s="20" t="s">
        <v>99</v>
      </c>
      <c r="L5" s="37">
        <v>0</v>
      </c>
      <c r="M5" s="37" t="s">
        <v>29</v>
      </c>
      <c r="N5" s="75">
        <v>4620</v>
      </c>
      <c r="O5" s="23">
        <v>15400</v>
      </c>
      <c r="P5" s="5" t="s">
        <v>30</v>
      </c>
      <c r="Q5" s="59" t="s">
        <v>100</v>
      </c>
      <c r="R5" s="39" t="s">
        <v>32</v>
      </c>
    </row>
    <row r="6" spans="1:18" ht="77.25" customHeight="1" x14ac:dyDescent="0.25">
      <c r="A6" s="448"/>
      <c r="B6" s="448"/>
      <c r="C6" s="449"/>
      <c r="D6" s="450"/>
      <c r="E6" s="450"/>
      <c r="F6" s="451"/>
      <c r="G6" s="20" t="s">
        <v>33</v>
      </c>
      <c r="H6" s="40" t="s">
        <v>34</v>
      </c>
      <c r="I6" s="22" t="s">
        <v>98</v>
      </c>
      <c r="J6" s="20" t="s">
        <v>27</v>
      </c>
      <c r="K6" s="22" t="s">
        <v>35</v>
      </c>
      <c r="L6" s="75">
        <v>1020712</v>
      </c>
      <c r="M6" s="7">
        <v>2019</v>
      </c>
      <c r="N6" s="18" t="s">
        <v>36</v>
      </c>
      <c r="O6" s="18">
        <v>321860</v>
      </c>
      <c r="P6" s="5" t="s">
        <v>30</v>
      </c>
      <c r="Q6" s="59" t="s">
        <v>101</v>
      </c>
      <c r="R6" s="64" t="s">
        <v>38</v>
      </c>
    </row>
    <row r="7" spans="1:18" ht="25.5" customHeight="1" x14ac:dyDescent="0.25">
      <c r="A7" s="448"/>
      <c r="B7" s="387">
        <v>53950000</v>
      </c>
      <c r="C7" s="389" t="s">
        <v>97</v>
      </c>
      <c r="D7" s="387">
        <f>(B7-(B7*0.0411))*0.5/0.5</f>
        <v>51732655</v>
      </c>
      <c r="E7" s="387">
        <f>B7+D7</f>
        <v>105682655</v>
      </c>
      <c r="F7" s="453">
        <f>E7</f>
        <v>105682655</v>
      </c>
      <c r="G7" s="418" t="s">
        <v>24</v>
      </c>
      <c r="H7" s="389" t="s">
        <v>25</v>
      </c>
      <c r="I7" s="418" t="s">
        <v>43</v>
      </c>
      <c r="J7" s="418" t="s">
        <v>44</v>
      </c>
      <c r="K7" s="418" t="s">
        <v>99</v>
      </c>
      <c r="L7" s="452">
        <v>0</v>
      </c>
      <c r="M7" s="457" t="s">
        <v>29</v>
      </c>
      <c r="N7" s="452">
        <v>8580</v>
      </c>
      <c r="O7" s="452">
        <v>28600</v>
      </c>
      <c r="P7" s="454" t="s">
        <v>30</v>
      </c>
      <c r="Q7" s="455" t="s">
        <v>102</v>
      </c>
      <c r="R7" s="456" t="s">
        <v>46</v>
      </c>
    </row>
    <row r="8" spans="1:18" ht="89.25" customHeight="1" x14ac:dyDescent="0.25">
      <c r="A8" s="448"/>
      <c r="B8" s="448"/>
      <c r="C8" s="449"/>
      <c r="D8" s="450"/>
      <c r="E8" s="450"/>
      <c r="F8" s="453"/>
      <c r="G8" s="448"/>
      <c r="H8" s="449"/>
      <c r="I8" s="448"/>
      <c r="J8" s="448"/>
      <c r="K8" s="448"/>
      <c r="L8" s="452"/>
      <c r="M8" s="457"/>
      <c r="N8" s="452"/>
      <c r="O8" s="452"/>
      <c r="P8" s="454"/>
      <c r="Q8" s="455"/>
      <c r="R8" s="410"/>
    </row>
    <row r="9" spans="1:18" s="9" customFormat="1" ht="86.25" customHeight="1" thickBot="1" x14ac:dyDescent="0.3">
      <c r="A9" s="448"/>
      <c r="B9" s="448"/>
      <c r="C9" s="449"/>
      <c r="D9" s="450"/>
      <c r="E9" s="450"/>
      <c r="F9" s="453"/>
      <c r="G9" s="20" t="s">
        <v>33</v>
      </c>
      <c r="H9" s="40" t="s">
        <v>34</v>
      </c>
      <c r="I9" s="38" t="s">
        <v>43</v>
      </c>
      <c r="J9" s="20" t="s">
        <v>44</v>
      </c>
      <c r="K9" s="22" t="s">
        <v>35</v>
      </c>
      <c r="L9" s="75">
        <v>1895608</v>
      </c>
      <c r="M9" s="7">
        <v>2019</v>
      </c>
      <c r="N9" s="46" t="s">
        <v>36</v>
      </c>
      <c r="O9" s="18">
        <v>597740</v>
      </c>
      <c r="P9" s="4" t="s">
        <v>30</v>
      </c>
      <c r="Q9" s="55" t="s">
        <v>103</v>
      </c>
      <c r="R9" s="64" t="s">
        <v>47</v>
      </c>
    </row>
    <row r="10" spans="1:18" ht="83.25" customHeight="1" x14ac:dyDescent="0.25">
      <c r="A10" s="418" t="s">
        <v>48</v>
      </c>
      <c r="B10" s="387">
        <v>24800000</v>
      </c>
      <c r="C10" s="389" t="s">
        <v>104</v>
      </c>
      <c r="D10" s="387">
        <f>(B10*0.3)/0.7</f>
        <v>10628571.428571429</v>
      </c>
      <c r="E10" s="387">
        <f>B10+D10</f>
        <v>35428571.428571433</v>
      </c>
      <c r="F10" s="387">
        <f>E10</f>
        <v>35428571.428571433</v>
      </c>
      <c r="G10" s="20" t="s">
        <v>50</v>
      </c>
      <c r="H10" s="40" t="s">
        <v>51</v>
      </c>
      <c r="I10" s="43" t="s">
        <v>98</v>
      </c>
      <c r="J10" s="43" t="s">
        <v>27</v>
      </c>
      <c r="K10" s="14" t="s">
        <v>105</v>
      </c>
      <c r="L10" s="75">
        <v>0</v>
      </c>
      <c r="M10" s="37" t="s">
        <v>29</v>
      </c>
      <c r="N10" s="46">
        <v>10200</v>
      </c>
      <c r="O10" s="18">
        <v>102000</v>
      </c>
      <c r="P10" s="4" t="s">
        <v>30</v>
      </c>
      <c r="Q10" s="42" t="s">
        <v>106</v>
      </c>
      <c r="R10" s="39" t="s">
        <v>54</v>
      </c>
    </row>
    <row r="11" spans="1:18" ht="13.5" customHeight="1" x14ac:dyDescent="0.25">
      <c r="A11" s="418"/>
      <c r="B11" s="418"/>
      <c r="C11" s="389"/>
      <c r="D11" s="450"/>
      <c r="E11" s="448"/>
      <c r="F11" s="448"/>
      <c r="G11" s="418" t="s">
        <v>33</v>
      </c>
      <c r="H11" s="458" t="s">
        <v>34</v>
      </c>
      <c r="I11" s="418" t="s">
        <v>98</v>
      </c>
      <c r="J11" s="418" t="s">
        <v>27</v>
      </c>
      <c r="K11" s="418" t="s">
        <v>35</v>
      </c>
      <c r="L11" s="452">
        <v>22440</v>
      </c>
      <c r="M11" s="420">
        <v>2019</v>
      </c>
      <c r="N11" s="462" t="s">
        <v>36</v>
      </c>
      <c r="O11" s="462">
        <v>15708</v>
      </c>
      <c r="P11" s="463" t="s">
        <v>30</v>
      </c>
      <c r="Q11" s="449" t="s">
        <v>107</v>
      </c>
      <c r="R11" s="464" t="s">
        <v>56</v>
      </c>
    </row>
    <row r="12" spans="1:18" ht="84.75" customHeight="1" x14ac:dyDescent="0.25">
      <c r="A12" s="418"/>
      <c r="B12" s="418"/>
      <c r="C12" s="389"/>
      <c r="D12" s="450"/>
      <c r="E12" s="448"/>
      <c r="F12" s="448"/>
      <c r="G12" s="448"/>
      <c r="H12" s="459"/>
      <c r="I12" s="418"/>
      <c r="J12" s="448"/>
      <c r="K12" s="448"/>
      <c r="L12" s="452"/>
      <c r="M12" s="420"/>
      <c r="N12" s="462"/>
      <c r="O12" s="462"/>
      <c r="P12" s="448"/>
      <c r="Q12" s="449"/>
      <c r="R12" s="464"/>
    </row>
    <row r="13" spans="1:18" ht="48.75" customHeight="1" x14ac:dyDescent="0.25">
      <c r="A13" s="418"/>
      <c r="B13" s="418"/>
      <c r="C13" s="389"/>
      <c r="D13" s="450"/>
      <c r="E13" s="448"/>
      <c r="F13" s="448"/>
      <c r="G13" s="20" t="s">
        <v>39</v>
      </c>
      <c r="H13" s="40" t="s">
        <v>40</v>
      </c>
      <c r="I13" s="22" t="s">
        <v>98</v>
      </c>
      <c r="J13" s="20" t="s">
        <v>27</v>
      </c>
      <c r="K13" s="22" t="s">
        <v>108</v>
      </c>
      <c r="L13" s="75">
        <v>2244</v>
      </c>
      <c r="M13" s="7">
        <v>2019</v>
      </c>
      <c r="N13" s="46" t="s">
        <v>36</v>
      </c>
      <c r="O13" s="18">
        <v>1571</v>
      </c>
      <c r="P13" s="45" t="s">
        <v>30</v>
      </c>
      <c r="Q13" s="59" t="s">
        <v>109</v>
      </c>
      <c r="R13" s="65" t="s">
        <v>58</v>
      </c>
    </row>
    <row r="14" spans="1:18" ht="409.5" x14ac:dyDescent="0.25">
      <c r="A14" s="448"/>
      <c r="B14" s="387">
        <v>37200000</v>
      </c>
      <c r="C14" s="389" t="s">
        <v>104</v>
      </c>
      <c r="D14" s="387">
        <f>(B14*0.3)/0.7</f>
        <v>15942857.142857144</v>
      </c>
      <c r="E14" s="460">
        <f>B14+D14</f>
        <v>53142857.142857142</v>
      </c>
      <c r="F14" s="460">
        <f>E14</f>
        <v>53142857.142857142</v>
      </c>
      <c r="G14" s="20" t="s">
        <v>50</v>
      </c>
      <c r="H14" s="40" t="s">
        <v>51</v>
      </c>
      <c r="I14" s="38" t="s">
        <v>43</v>
      </c>
      <c r="J14" s="22" t="s">
        <v>44</v>
      </c>
      <c r="K14" s="20" t="s">
        <v>105</v>
      </c>
      <c r="L14" s="75">
        <v>0</v>
      </c>
      <c r="M14" s="37" t="s">
        <v>29</v>
      </c>
      <c r="N14" s="46">
        <v>15500</v>
      </c>
      <c r="O14" s="18">
        <v>155000</v>
      </c>
      <c r="P14" s="45" t="s">
        <v>30</v>
      </c>
      <c r="Q14" s="57" t="s">
        <v>110</v>
      </c>
      <c r="R14" s="39" t="s">
        <v>111</v>
      </c>
    </row>
    <row r="15" spans="1:18" ht="85.5" customHeight="1" x14ac:dyDescent="0.25">
      <c r="A15" s="448"/>
      <c r="B15" s="387"/>
      <c r="C15" s="389"/>
      <c r="D15" s="387"/>
      <c r="E15" s="460"/>
      <c r="F15" s="461"/>
      <c r="G15" s="20" t="s">
        <v>33</v>
      </c>
      <c r="H15" s="40" t="s">
        <v>34</v>
      </c>
      <c r="I15" s="38" t="s">
        <v>43</v>
      </c>
      <c r="J15" s="22" t="s">
        <v>44</v>
      </c>
      <c r="K15" s="22" t="s">
        <v>35</v>
      </c>
      <c r="L15" s="75">
        <v>34100</v>
      </c>
      <c r="M15" s="4">
        <v>2019</v>
      </c>
      <c r="N15" s="46" t="s">
        <v>36</v>
      </c>
      <c r="O15" s="18">
        <v>23870</v>
      </c>
      <c r="P15" s="45" t="s">
        <v>30</v>
      </c>
      <c r="Q15" s="59" t="s">
        <v>112</v>
      </c>
      <c r="R15" s="64" t="s">
        <v>113</v>
      </c>
    </row>
    <row r="16" spans="1:18" s="9" customFormat="1" ht="60" customHeight="1" thickBot="1" x14ac:dyDescent="0.3">
      <c r="A16" s="448"/>
      <c r="B16" s="387"/>
      <c r="C16" s="389"/>
      <c r="D16" s="387"/>
      <c r="E16" s="460"/>
      <c r="F16" s="461"/>
      <c r="G16" s="20" t="s">
        <v>114</v>
      </c>
      <c r="H16" s="40" t="s">
        <v>40</v>
      </c>
      <c r="I16" s="38" t="s">
        <v>43</v>
      </c>
      <c r="J16" s="22" t="s">
        <v>44</v>
      </c>
      <c r="K16" s="22" t="s">
        <v>108</v>
      </c>
      <c r="L16" s="75">
        <v>3410</v>
      </c>
      <c r="M16" s="4">
        <v>2019</v>
      </c>
      <c r="N16" s="18" t="s">
        <v>36</v>
      </c>
      <c r="O16" s="18">
        <v>2387</v>
      </c>
      <c r="P16" s="45" t="s">
        <v>30</v>
      </c>
      <c r="Q16" s="60" t="s">
        <v>115</v>
      </c>
      <c r="R16" s="64" t="s">
        <v>116</v>
      </c>
    </row>
    <row r="17" spans="1:18" ht="62.25" customHeight="1" x14ac:dyDescent="0.25">
      <c r="A17" s="396" t="s">
        <v>117</v>
      </c>
      <c r="B17" s="392">
        <v>3493987.8</v>
      </c>
      <c r="C17" s="417" t="s">
        <v>118</v>
      </c>
      <c r="D17" s="392">
        <f>(B17*0.3)/0.7</f>
        <v>1497423.3428571427</v>
      </c>
      <c r="E17" s="382">
        <f>D17+B17</f>
        <v>4991411.1428571427</v>
      </c>
      <c r="F17" s="465">
        <f>E17</f>
        <v>4991411.1428571427</v>
      </c>
      <c r="G17" s="14" t="s">
        <v>33</v>
      </c>
      <c r="H17" s="15" t="s">
        <v>34</v>
      </c>
      <c r="I17" s="43" t="s">
        <v>98</v>
      </c>
      <c r="J17" s="16" t="s">
        <v>27</v>
      </c>
      <c r="K17" s="22" t="s">
        <v>35</v>
      </c>
      <c r="L17" s="75">
        <v>7000</v>
      </c>
      <c r="M17" s="68">
        <v>2019</v>
      </c>
      <c r="N17" s="46" t="s">
        <v>36</v>
      </c>
      <c r="O17" s="46">
        <v>5600</v>
      </c>
      <c r="P17" s="45" t="s">
        <v>30</v>
      </c>
      <c r="Q17" s="58" t="s">
        <v>119</v>
      </c>
      <c r="R17" s="39" t="s">
        <v>120</v>
      </c>
    </row>
    <row r="18" spans="1:18" ht="129" customHeight="1" x14ac:dyDescent="0.25">
      <c r="A18" s="418"/>
      <c r="B18" s="387"/>
      <c r="C18" s="389"/>
      <c r="D18" s="387"/>
      <c r="E18" s="460"/>
      <c r="F18" s="461"/>
      <c r="G18" s="7" t="s">
        <v>69</v>
      </c>
      <c r="H18" s="72" t="s">
        <v>121</v>
      </c>
      <c r="I18" s="7" t="s">
        <v>98</v>
      </c>
      <c r="J18" s="73" t="s">
        <v>27</v>
      </c>
      <c r="K18" s="35" t="s">
        <v>122</v>
      </c>
      <c r="L18" s="75">
        <v>0</v>
      </c>
      <c r="M18" s="37" t="s">
        <v>29</v>
      </c>
      <c r="N18" s="18">
        <v>14</v>
      </c>
      <c r="O18" s="46">
        <v>70</v>
      </c>
      <c r="P18" s="45" t="s">
        <v>30</v>
      </c>
      <c r="Q18" s="61" t="s">
        <v>123</v>
      </c>
      <c r="R18" s="64" t="s">
        <v>124</v>
      </c>
    </row>
    <row r="19" spans="1:18" ht="60" customHeight="1" x14ac:dyDescent="0.25">
      <c r="A19" s="418"/>
      <c r="B19" s="387">
        <v>6478246.5</v>
      </c>
      <c r="C19" s="417" t="s">
        <v>118</v>
      </c>
      <c r="D19" s="387">
        <f>(B19*0.3)/0.7</f>
        <v>2776391.3571428573</v>
      </c>
      <c r="E19" s="460">
        <f>D19+B19</f>
        <v>9254637.8571428582</v>
      </c>
      <c r="F19" s="465">
        <f>E19</f>
        <v>9254637.8571428582</v>
      </c>
      <c r="G19" s="35" t="s">
        <v>33</v>
      </c>
      <c r="H19" s="15" t="s">
        <v>34</v>
      </c>
      <c r="I19" s="49" t="s">
        <v>43</v>
      </c>
      <c r="J19" s="73" t="s">
        <v>44</v>
      </c>
      <c r="K19" s="7" t="s">
        <v>35</v>
      </c>
      <c r="L19" s="29">
        <v>12900</v>
      </c>
      <c r="M19" s="7">
        <v>2019</v>
      </c>
      <c r="N19" s="17" t="s">
        <v>36</v>
      </c>
      <c r="O19" s="30">
        <v>10320</v>
      </c>
      <c r="P19" s="45" t="s">
        <v>30</v>
      </c>
      <c r="Q19" s="61" t="s">
        <v>125</v>
      </c>
      <c r="R19" s="39" t="s">
        <v>126</v>
      </c>
    </row>
    <row r="20" spans="1:18" ht="102.75" customHeight="1" x14ac:dyDescent="0.25">
      <c r="A20" s="418"/>
      <c r="B20" s="387"/>
      <c r="C20" s="389"/>
      <c r="D20" s="387"/>
      <c r="E20" s="460"/>
      <c r="F20" s="461"/>
      <c r="G20" s="7" t="s">
        <v>69</v>
      </c>
      <c r="H20" s="72" t="s">
        <v>121</v>
      </c>
      <c r="I20" s="49" t="s">
        <v>43</v>
      </c>
      <c r="J20" s="73" t="s">
        <v>44</v>
      </c>
      <c r="K20" s="35" t="s">
        <v>122</v>
      </c>
      <c r="L20" s="29">
        <v>0</v>
      </c>
      <c r="M20" s="35" t="s">
        <v>29</v>
      </c>
      <c r="N20" s="17">
        <v>25</v>
      </c>
      <c r="O20" s="30">
        <v>129</v>
      </c>
      <c r="P20" s="45" t="s">
        <v>30</v>
      </c>
      <c r="Q20" s="61" t="s">
        <v>127</v>
      </c>
      <c r="R20" s="64" t="s">
        <v>128</v>
      </c>
    </row>
    <row r="21" spans="1:18" ht="59.25" customHeight="1" x14ac:dyDescent="0.25">
      <c r="A21" s="418"/>
      <c r="B21" s="387">
        <v>5235423</v>
      </c>
      <c r="C21" s="389" t="s">
        <v>129</v>
      </c>
      <c r="D21" s="387">
        <f>B21</f>
        <v>5235423</v>
      </c>
      <c r="E21" s="460">
        <f>D21+B21</f>
        <v>10470846</v>
      </c>
      <c r="F21" s="465">
        <f>E21</f>
        <v>10470846</v>
      </c>
      <c r="G21" s="35" t="s">
        <v>33</v>
      </c>
      <c r="H21" s="15" t="s">
        <v>34</v>
      </c>
      <c r="I21" s="7" t="s">
        <v>98</v>
      </c>
      <c r="J21" s="73" t="s">
        <v>27</v>
      </c>
      <c r="K21" s="50" t="s">
        <v>35</v>
      </c>
      <c r="L21" s="109">
        <v>26000</v>
      </c>
      <c r="M21" s="7">
        <v>2019</v>
      </c>
      <c r="N21" s="17" t="s">
        <v>36</v>
      </c>
      <c r="O21" s="30">
        <v>20800</v>
      </c>
      <c r="P21" s="45" t="s">
        <v>30</v>
      </c>
      <c r="Q21" s="66" t="s">
        <v>130</v>
      </c>
      <c r="R21" s="39" t="s">
        <v>131</v>
      </c>
    </row>
    <row r="22" spans="1:18" ht="93.75" customHeight="1" x14ac:dyDescent="0.25">
      <c r="A22" s="418"/>
      <c r="B22" s="387"/>
      <c r="C22" s="389"/>
      <c r="D22" s="387"/>
      <c r="E22" s="460"/>
      <c r="F22" s="461"/>
      <c r="G22" s="7" t="s">
        <v>69</v>
      </c>
      <c r="H22" s="72" t="s">
        <v>121</v>
      </c>
      <c r="I22" s="7" t="s">
        <v>98</v>
      </c>
      <c r="J22" s="73" t="s">
        <v>27</v>
      </c>
      <c r="K22" s="35" t="s">
        <v>122</v>
      </c>
      <c r="L22" s="29">
        <v>0</v>
      </c>
      <c r="M22" s="35" t="s">
        <v>29</v>
      </c>
      <c r="N22" s="17">
        <v>5</v>
      </c>
      <c r="O22" s="30">
        <v>26</v>
      </c>
      <c r="P22" s="45" t="s">
        <v>30</v>
      </c>
      <c r="Q22" s="39" t="s">
        <v>132</v>
      </c>
      <c r="R22" s="39" t="s">
        <v>133</v>
      </c>
    </row>
    <row r="23" spans="1:18" ht="69.75" customHeight="1" x14ac:dyDescent="0.25">
      <c r="A23" s="418"/>
      <c r="B23" s="387">
        <v>9722928.4000000004</v>
      </c>
      <c r="C23" s="389" t="s">
        <v>129</v>
      </c>
      <c r="D23" s="387">
        <f>B23</f>
        <v>9722928.4000000004</v>
      </c>
      <c r="E23" s="460">
        <f>D23+B23</f>
        <v>19445856.800000001</v>
      </c>
      <c r="F23" s="465">
        <f>E23</f>
        <v>19445856.800000001</v>
      </c>
      <c r="G23" s="35" t="s">
        <v>33</v>
      </c>
      <c r="H23" s="40" t="s">
        <v>34</v>
      </c>
      <c r="I23" s="38" t="s">
        <v>43</v>
      </c>
      <c r="J23" s="73" t="s">
        <v>44</v>
      </c>
      <c r="K23" s="22" t="s">
        <v>35</v>
      </c>
      <c r="L23" s="29">
        <v>48000</v>
      </c>
      <c r="M23" s="7">
        <v>2019</v>
      </c>
      <c r="N23" s="17" t="s">
        <v>36</v>
      </c>
      <c r="O23" s="30">
        <v>38400</v>
      </c>
      <c r="P23" s="45" t="s">
        <v>30</v>
      </c>
      <c r="Q23" s="39" t="s">
        <v>134</v>
      </c>
      <c r="R23" s="39" t="s">
        <v>135</v>
      </c>
    </row>
    <row r="24" spans="1:18" ht="107.25" customHeight="1" x14ac:dyDescent="0.25">
      <c r="A24" s="395"/>
      <c r="B24" s="390"/>
      <c r="C24" s="389"/>
      <c r="D24" s="390"/>
      <c r="E24" s="380"/>
      <c r="F24" s="466"/>
      <c r="G24" s="7" t="s">
        <v>69</v>
      </c>
      <c r="H24" s="72" t="s">
        <v>121</v>
      </c>
      <c r="I24" s="38" t="s">
        <v>43</v>
      </c>
      <c r="J24" s="73" t="s">
        <v>44</v>
      </c>
      <c r="K24" s="35" t="s">
        <v>122</v>
      </c>
      <c r="L24" s="29">
        <v>0</v>
      </c>
      <c r="M24" s="35" t="s">
        <v>29</v>
      </c>
      <c r="N24" s="17">
        <v>9</v>
      </c>
      <c r="O24" s="30">
        <v>48</v>
      </c>
      <c r="P24" s="45" t="s">
        <v>30</v>
      </c>
      <c r="Q24" s="39" t="s">
        <v>136</v>
      </c>
      <c r="R24" s="55" t="s">
        <v>137</v>
      </c>
    </row>
    <row r="25" spans="1:18" ht="246" customHeight="1" x14ac:dyDescent="0.25">
      <c r="A25" s="418" t="s">
        <v>138</v>
      </c>
      <c r="B25" s="387">
        <v>13456616.1</v>
      </c>
      <c r="C25" s="389" t="s">
        <v>139</v>
      </c>
      <c r="D25" s="387">
        <f>B25</f>
        <v>13456616.1</v>
      </c>
      <c r="E25" s="387">
        <f>B25+D25</f>
        <v>26913232.199999999</v>
      </c>
      <c r="F25" s="387">
        <f>E25</f>
        <v>26913232.199999999</v>
      </c>
      <c r="G25" s="20" t="s">
        <v>33</v>
      </c>
      <c r="H25" s="41" t="s">
        <v>34</v>
      </c>
      <c r="I25" s="22" t="s">
        <v>98</v>
      </c>
      <c r="J25" s="22" t="s">
        <v>27</v>
      </c>
      <c r="K25" s="22" t="s">
        <v>35</v>
      </c>
      <c r="L25" s="75">
        <v>1591050</v>
      </c>
      <c r="M25" s="68">
        <v>2019</v>
      </c>
      <c r="N25" s="18" t="s">
        <v>36</v>
      </c>
      <c r="O25" s="46">
        <v>1572300</v>
      </c>
      <c r="P25" s="45" t="s">
        <v>30</v>
      </c>
      <c r="Q25" s="55" t="s">
        <v>140</v>
      </c>
      <c r="R25" s="39" t="s">
        <v>62</v>
      </c>
    </row>
    <row r="26" spans="1:18" ht="65.25" customHeight="1" x14ac:dyDescent="0.25">
      <c r="A26" s="418"/>
      <c r="B26" s="387"/>
      <c r="C26" s="389"/>
      <c r="D26" s="387"/>
      <c r="E26" s="387"/>
      <c r="F26" s="387"/>
      <c r="G26" s="20" t="s">
        <v>63</v>
      </c>
      <c r="H26" s="41" t="s">
        <v>64</v>
      </c>
      <c r="I26" s="22" t="s">
        <v>98</v>
      </c>
      <c r="J26" s="22" t="s">
        <v>27</v>
      </c>
      <c r="K26" s="14" t="s">
        <v>65</v>
      </c>
      <c r="L26" s="74">
        <v>0</v>
      </c>
      <c r="M26" s="37" t="s">
        <v>29</v>
      </c>
      <c r="N26" s="18">
        <v>9</v>
      </c>
      <c r="O26" s="46">
        <v>30</v>
      </c>
      <c r="P26" s="45" t="s">
        <v>30</v>
      </c>
      <c r="Q26" s="62" t="s">
        <v>141</v>
      </c>
      <c r="R26" s="63" t="s">
        <v>67</v>
      </c>
    </row>
    <row r="27" spans="1:18" ht="154.5" customHeight="1" x14ac:dyDescent="0.25">
      <c r="A27" s="418"/>
      <c r="B27" s="387"/>
      <c r="C27" s="389"/>
      <c r="D27" s="387"/>
      <c r="E27" s="387"/>
      <c r="F27" s="387"/>
      <c r="G27" s="7" t="s">
        <v>69</v>
      </c>
      <c r="H27" s="108" t="s">
        <v>70</v>
      </c>
      <c r="I27" s="101" t="s">
        <v>98</v>
      </c>
      <c r="J27" s="101" t="s">
        <v>27</v>
      </c>
      <c r="K27" s="102" t="s">
        <v>142</v>
      </c>
      <c r="L27" s="103">
        <v>0</v>
      </c>
      <c r="M27" s="47" t="s">
        <v>29</v>
      </c>
      <c r="N27" s="103">
        <v>21525</v>
      </c>
      <c r="O27" s="103">
        <v>71750</v>
      </c>
      <c r="P27" s="104" t="s">
        <v>30</v>
      </c>
      <c r="Q27" s="105" t="s">
        <v>143</v>
      </c>
      <c r="R27" s="39" t="s">
        <v>73</v>
      </c>
    </row>
    <row r="28" spans="1:18" ht="243" customHeight="1" x14ac:dyDescent="0.25">
      <c r="A28" s="418"/>
      <c r="B28" s="387">
        <v>13456617.1</v>
      </c>
      <c r="C28" s="389" t="s">
        <v>139</v>
      </c>
      <c r="D28" s="387">
        <f>B28</f>
        <v>13456617.1</v>
      </c>
      <c r="E28" s="387">
        <f>B28+D28</f>
        <v>26913234.199999999</v>
      </c>
      <c r="F28" s="460">
        <f>E28</f>
        <v>26913234.199999999</v>
      </c>
      <c r="G28" s="20" t="s">
        <v>33</v>
      </c>
      <c r="H28" s="41" t="s">
        <v>34</v>
      </c>
      <c r="I28" s="22" t="s">
        <v>43</v>
      </c>
      <c r="J28" s="4" t="s">
        <v>44</v>
      </c>
      <c r="K28" s="22" t="s">
        <v>35</v>
      </c>
      <c r="L28" s="75">
        <v>1591050</v>
      </c>
      <c r="M28" s="68">
        <v>2019</v>
      </c>
      <c r="N28" s="18" t="s">
        <v>36</v>
      </c>
      <c r="O28" s="46">
        <v>1572300</v>
      </c>
      <c r="P28" s="5" t="s">
        <v>30</v>
      </c>
      <c r="Q28" s="55" t="s">
        <v>144</v>
      </c>
      <c r="R28" s="39" t="s">
        <v>75</v>
      </c>
    </row>
    <row r="29" spans="1:18" ht="92.25" customHeight="1" x14ac:dyDescent="0.25">
      <c r="A29" s="418"/>
      <c r="B29" s="387"/>
      <c r="C29" s="389"/>
      <c r="D29" s="387"/>
      <c r="E29" s="387"/>
      <c r="F29" s="461"/>
      <c r="G29" s="35" t="s">
        <v>63</v>
      </c>
      <c r="H29" s="53" t="s">
        <v>64</v>
      </c>
      <c r="I29" s="7" t="s">
        <v>43</v>
      </c>
      <c r="J29" s="7" t="s">
        <v>44</v>
      </c>
      <c r="K29" s="7" t="s">
        <v>65</v>
      </c>
      <c r="L29" s="29">
        <v>0</v>
      </c>
      <c r="M29" s="35" t="s">
        <v>29</v>
      </c>
      <c r="N29" s="17">
        <v>9</v>
      </c>
      <c r="O29" s="30">
        <v>30</v>
      </c>
      <c r="P29" s="45" t="s">
        <v>30</v>
      </c>
      <c r="Q29" s="56" t="s">
        <v>145</v>
      </c>
      <c r="R29" s="64" t="s">
        <v>77</v>
      </c>
    </row>
    <row r="30" spans="1:18" ht="137.25" customHeight="1" x14ac:dyDescent="0.25">
      <c r="A30" s="418"/>
      <c r="B30" s="387"/>
      <c r="C30" s="389"/>
      <c r="D30" s="387"/>
      <c r="E30" s="387"/>
      <c r="F30" s="461"/>
      <c r="G30" s="7" t="s">
        <v>69</v>
      </c>
      <c r="H30" s="53" t="s">
        <v>70</v>
      </c>
      <c r="I30" s="7" t="s">
        <v>43</v>
      </c>
      <c r="J30" s="35" t="s">
        <v>44</v>
      </c>
      <c r="K30" s="7" t="s">
        <v>71</v>
      </c>
      <c r="L30" s="100">
        <v>0</v>
      </c>
      <c r="M30" s="7" t="s">
        <v>29</v>
      </c>
      <c r="N30" s="100">
        <v>21530</v>
      </c>
      <c r="O30" s="100">
        <v>71768</v>
      </c>
      <c r="P30" s="45" t="s">
        <v>30</v>
      </c>
      <c r="Q30" s="6" t="s">
        <v>146</v>
      </c>
      <c r="R30" s="39" t="s">
        <v>79</v>
      </c>
    </row>
    <row r="31" spans="1:18" ht="75" customHeight="1" x14ac:dyDescent="0.25">
      <c r="A31" s="26"/>
      <c r="C31" s="13"/>
    </row>
    <row r="32" spans="1:18" x14ac:dyDescent="0.25">
      <c r="A32" s="26"/>
      <c r="C32" s="13"/>
    </row>
    <row r="33" spans="1:17" x14ac:dyDescent="0.25">
      <c r="M33" s="19"/>
      <c r="Q33" s="10"/>
    </row>
    <row r="34" spans="1:17" ht="44.25" customHeight="1" x14ac:dyDescent="0.25">
      <c r="A34" s="44" t="s">
        <v>81</v>
      </c>
      <c r="B34" s="21" t="s">
        <v>82</v>
      </c>
      <c r="C34" s="44" t="s">
        <v>83</v>
      </c>
      <c r="D34" s="44" t="s">
        <v>84</v>
      </c>
      <c r="E34" s="44" t="s">
        <v>85</v>
      </c>
      <c r="F34" s="44" t="s">
        <v>86</v>
      </c>
      <c r="G34" s="44" t="s">
        <v>87</v>
      </c>
      <c r="H34" s="44" t="s">
        <v>88</v>
      </c>
      <c r="I34" s="44" t="s">
        <v>89</v>
      </c>
    </row>
    <row r="35" spans="1:17" ht="36" customHeight="1" x14ac:dyDescent="0.25">
      <c r="A35" s="22" t="s">
        <v>24</v>
      </c>
      <c r="B35" s="41" t="s">
        <v>25</v>
      </c>
      <c r="C35" s="20" t="s">
        <v>99</v>
      </c>
      <c r="D35" s="32">
        <v>0</v>
      </c>
      <c r="E35" s="7" t="s">
        <v>26</v>
      </c>
      <c r="F35" s="20" t="s">
        <v>27</v>
      </c>
      <c r="G35" s="20"/>
      <c r="H35" s="33">
        <f>SUM(N5)</f>
        <v>4620</v>
      </c>
      <c r="I35" s="33">
        <f>SUM(O5)</f>
        <v>15400</v>
      </c>
    </row>
    <row r="36" spans="1:17" ht="36.75" customHeight="1" x14ac:dyDescent="0.25">
      <c r="A36" s="22" t="s">
        <v>24</v>
      </c>
      <c r="B36" s="41" t="s">
        <v>25</v>
      </c>
      <c r="C36" s="20" t="s">
        <v>99</v>
      </c>
      <c r="D36" s="32">
        <v>0</v>
      </c>
      <c r="E36" s="22" t="s">
        <v>147</v>
      </c>
      <c r="F36" s="20" t="s">
        <v>44</v>
      </c>
      <c r="G36" s="20"/>
      <c r="H36" s="33">
        <f>N7</f>
        <v>8580</v>
      </c>
      <c r="I36" s="33">
        <f>O7</f>
        <v>28600</v>
      </c>
    </row>
    <row r="37" spans="1:17" ht="41.25" customHeight="1" x14ac:dyDescent="0.25">
      <c r="A37" s="22" t="s">
        <v>90</v>
      </c>
      <c r="B37" s="40" t="s">
        <v>51</v>
      </c>
      <c r="C37" s="20" t="s">
        <v>91</v>
      </c>
      <c r="D37" s="32">
        <v>0</v>
      </c>
      <c r="E37" s="7" t="s">
        <v>26</v>
      </c>
      <c r="F37" s="20" t="s">
        <v>27</v>
      </c>
      <c r="G37" s="20"/>
      <c r="H37" s="33">
        <f>SUM(N10)</f>
        <v>10200</v>
      </c>
      <c r="I37" s="33">
        <f>SUM(O10)</f>
        <v>102000</v>
      </c>
    </row>
    <row r="38" spans="1:17" ht="41.25" customHeight="1" x14ac:dyDescent="0.25">
      <c r="A38" s="22" t="s">
        <v>90</v>
      </c>
      <c r="B38" s="40" t="s">
        <v>51</v>
      </c>
      <c r="C38" s="20" t="s">
        <v>91</v>
      </c>
      <c r="D38" s="32">
        <v>0</v>
      </c>
      <c r="E38" s="49" t="s">
        <v>43</v>
      </c>
      <c r="F38" s="20" t="s">
        <v>44</v>
      </c>
      <c r="G38" s="20"/>
      <c r="H38" s="33">
        <f>SUM(N14)</f>
        <v>15500</v>
      </c>
      <c r="I38" s="33">
        <f>SUM(O14)</f>
        <v>155000</v>
      </c>
    </row>
    <row r="39" spans="1:17" ht="45.75" customHeight="1" x14ac:dyDescent="0.25">
      <c r="A39" s="22" t="s">
        <v>63</v>
      </c>
      <c r="B39" s="40" t="s">
        <v>64</v>
      </c>
      <c r="C39" s="22" t="s">
        <v>65</v>
      </c>
      <c r="D39" s="32">
        <v>0</v>
      </c>
      <c r="E39" s="7" t="s">
        <v>26</v>
      </c>
      <c r="F39" s="20" t="s">
        <v>27</v>
      </c>
      <c r="G39" s="20"/>
      <c r="H39" s="17">
        <f>SUM(N26)</f>
        <v>9</v>
      </c>
      <c r="I39" s="17">
        <f>SUM(O26)</f>
        <v>30</v>
      </c>
    </row>
    <row r="40" spans="1:17" ht="49.5" customHeight="1" x14ac:dyDescent="0.25">
      <c r="A40" s="22" t="s">
        <v>63</v>
      </c>
      <c r="B40" s="40" t="s">
        <v>64</v>
      </c>
      <c r="C40" s="22" t="s">
        <v>65</v>
      </c>
      <c r="D40" s="32">
        <v>0</v>
      </c>
      <c r="E40" s="49" t="s">
        <v>43</v>
      </c>
      <c r="F40" s="20" t="s">
        <v>44</v>
      </c>
      <c r="G40" s="20"/>
      <c r="H40" s="17">
        <f>SUM(N29)</f>
        <v>9</v>
      </c>
      <c r="I40" s="17">
        <f>SUM(O29)</f>
        <v>30</v>
      </c>
    </row>
    <row r="41" spans="1:17" ht="62.25" customHeight="1" x14ac:dyDescent="0.25">
      <c r="A41" s="22" t="s">
        <v>33</v>
      </c>
      <c r="B41" s="40" t="s">
        <v>34</v>
      </c>
      <c r="C41" s="22" t="s">
        <v>35</v>
      </c>
      <c r="D41" s="29">
        <f>SUM(L6+L11+L17+L21+L25)</f>
        <v>2667202</v>
      </c>
      <c r="E41" s="7" t="s">
        <v>26</v>
      </c>
      <c r="F41" s="20" t="s">
        <v>27</v>
      </c>
      <c r="G41" s="20">
        <v>2019</v>
      </c>
      <c r="H41" s="17" t="s">
        <v>29</v>
      </c>
      <c r="I41" s="30">
        <f>SUM(O6+O11+O17+O21+O25)</f>
        <v>1936268</v>
      </c>
    </row>
    <row r="42" spans="1:17" ht="81.75" customHeight="1" x14ac:dyDescent="0.25">
      <c r="A42" s="22" t="s">
        <v>33</v>
      </c>
      <c r="B42" s="40" t="s">
        <v>34</v>
      </c>
      <c r="C42" s="22" t="s">
        <v>35</v>
      </c>
      <c r="D42" s="29">
        <f>SUM(L9+L15+L19+L23+L28)</f>
        <v>3581658</v>
      </c>
      <c r="E42" s="49" t="s">
        <v>43</v>
      </c>
      <c r="F42" s="20" t="s">
        <v>44</v>
      </c>
      <c r="G42" s="20">
        <v>2019</v>
      </c>
      <c r="H42" s="17" t="s">
        <v>29</v>
      </c>
      <c r="I42" s="30">
        <f>SUM(O9+O15+O19+O23+O28)</f>
        <v>2242630</v>
      </c>
    </row>
    <row r="43" spans="1:17" ht="45.95" customHeight="1" x14ac:dyDescent="0.25">
      <c r="A43" s="22" t="s">
        <v>39</v>
      </c>
      <c r="B43" s="110" t="s">
        <v>40</v>
      </c>
      <c r="C43" s="28" t="s">
        <v>41</v>
      </c>
      <c r="D43" s="29">
        <f>SUM(L13)</f>
        <v>2244</v>
      </c>
      <c r="E43" s="7" t="s">
        <v>26</v>
      </c>
      <c r="F43" s="20" t="s">
        <v>27</v>
      </c>
      <c r="G43" s="20">
        <v>2019</v>
      </c>
      <c r="H43" s="17" t="s">
        <v>29</v>
      </c>
      <c r="I43" s="17">
        <f>SUM(O13)</f>
        <v>1571</v>
      </c>
      <c r="J43" s="112">
        <f>SUM(D43-I43)</f>
        <v>673</v>
      </c>
    </row>
    <row r="44" spans="1:17" ht="58.5" customHeight="1" x14ac:dyDescent="0.25">
      <c r="A44" s="22" t="s">
        <v>39</v>
      </c>
      <c r="B44" s="110" t="s">
        <v>40</v>
      </c>
      <c r="C44" s="28" t="s">
        <v>41</v>
      </c>
      <c r="D44" s="29">
        <f>SUM(L16)</f>
        <v>3410</v>
      </c>
      <c r="E44" s="49" t="s">
        <v>43</v>
      </c>
      <c r="F44" s="20" t="s">
        <v>44</v>
      </c>
      <c r="G44" s="20">
        <v>2019</v>
      </c>
      <c r="H44" s="17" t="s">
        <v>29</v>
      </c>
      <c r="I44" s="17">
        <f>SUM(O16)</f>
        <v>2387</v>
      </c>
      <c r="J44" s="112">
        <f>SUM(D44-I44)</f>
        <v>1023</v>
      </c>
    </row>
    <row r="45" spans="1:17" ht="56.25" customHeight="1" x14ac:dyDescent="0.25">
      <c r="A45" s="7" t="s">
        <v>69</v>
      </c>
      <c r="B45" s="111" t="s">
        <v>70</v>
      </c>
      <c r="C45" s="7" t="s">
        <v>71</v>
      </c>
      <c r="D45" s="29">
        <v>0</v>
      </c>
      <c r="E45" s="7" t="s">
        <v>26</v>
      </c>
      <c r="F45" s="7" t="s">
        <v>27</v>
      </c>
      <c r="G45" s="35"/>
      <c r="H45" s="17">
        <f>SUM(N27)</f>
        <v>21525</v>
      </c>
      <c r="I45" s="17">
        <f>SUM(O27)</f>
        <v>71750</v>
      </c>
    </row>
    <row r="46" spans="1:17" ht="57.75" customHeight="1" x14ac:dyDescent="0.25">
      <c r="A46" s="7" t="s">
        <v>69</v>
      </c>
      <c r="B46" s="108" t="s">
        <v>70</v>
      </c>
      <c r="C46" s="7" t="s">
        <v>71</v>
      </c>
      <c r="D46" s="29">
        <v>0</v>
      </c>
      <c r="E46" s="49" t="s">
        <v>43</v>
      </c>
      <c r="F46" s="7" t="s">
        <v>44</v>
      </c>
      <c r="G46" s="35"/>
      <c r="H46" s="17">
        <f>SUM(N30)</f>
        <v>21530</v>
      </c>
      <c r="I46" s="17">
        <f>SUM(O30)</f>
        <v>71768</v>
      </c>
    </row>
    <row r="47" spans="1:17" ht="50.25" customHeight="1" x14ac:dyDescent="0.25">
      <c r="A47" s="7" t="s">
        <v>69</v>
      </c>
      <c r="B47" s="72" t="s">
        <v>121</v>
      </c>
      <c r="C47" s="7" t="s">
        <v>148</v>
      </c>
      <c r="D47" s="29">
        <v>0</v>
      </c>
      <c r="E47" s="7" t="s">
        <v>26</v>
      </c>
      <c r="F47" s="7" t="s">
        <v>27</v>
      </c>
      <c r="G47" s="35"/>
      <c r="H47" s="36">
        <f>SUM(N18+N22)</f>
        <v>19</v>
      </c>
      <c r="I47" s="36">
        <f>SUM(O18+O22)</f>
        <v>96</v>
      </c>
    </row>
    <row r="48" spans="1:17" ht="36" customHeight="1" x14ac:dyDescent="0.25">
      <c r="A48" s="7" t="s">
        <v>69</v>
      </c>
      <c r="B48" s="72" t="s">
        <v>121</v>
      </c>
      <c r="C48" s="7" t="s">
        <v>148</v>
      </c>
      <c r="D48" s="29">
        <v>0</v>
      </c>
      <c r="E48" s="49" t="s">
        <v>43</v>
      </c>
      <c r="F48" s="7" t="s">
        <v>44</v>
      </c>
      <c r="G48" s="35"/>
      <c r="H48" s="36">
        <f>SUM(N20+N24)</f>
        <v>34</v>
      </c>
      <c r="I48" s="36">
        <f>SUM(O20+O24)</f>
        <v>177</v>
      </c>
    </row>
  </sheetData>
  <mergeCells count="92">
    <mergeCell ref="F28:F30"/>
    <mergeCell ref="F21:F22"/>
    <mergeCell ref="A25:A30"/>
    <mergeCell ref="B25:B27"/>
    <mergeCell ref="C25:C27"/>
    <mergeCell ref="D25:D27"/>
    <mergeCell ref="E25:E27"/>
    <mergeCell ref="B23:B24"/>
    <mergeCell ref="C23:C24"/>
    <mergeCell ref="D23:D24"/>
    <mergeCell ref="E23:E24"/>
    <mergeCell ref="F23:F24"/>
    <mergeCell ref="F25:F27"/>
    <mergeCell ref="B28:B30"/>
    <mergeCell ref="C28:C30"/>
    <mergeCell ref="D28:D30"/>
    <mergeCell ref="E28:E30"/>
    <mergeCell ref="A17:A24"/>
    <mergeCell ref="B17:B18"/>
    <mergeCell ref="C17:C18"/>
    <mergeCell ref="D17:D18"/>
    <mergeCell ref="E17:E18"/>
    <mergeCell ref="B21:B22"/>
    <mergeCell ref="C21:C22"/>
    <mergeCell ref="D21:D22"/>
    <mergeCell ref="E21:E22"/>
    <mergeCell ref="F17:F18"/>
    <mergeCell ref="B19:B20"/>
    <mergeCell ref="C19:C20"/>
    <mergeCell ref="D19:D20"/>
    <mergeCell ref="E19:E20"/>
    <mergeCell ref="F19:F20"/>
    <mergeCell ref="N11:N12"/>
    <mergeCell ref="O11:O12"/>
    <mergeCell ref="P11:P12"/>
    <mergeCell ref="Q11:Q12"/>
    <mergeCell ref="R11:R12"/>
    <mergeCell ref="B14:B16"/>
    <mergeCell ref="C14:C16"/>
    <mergeCell ref="D14:D16"/>
    <mergeCell ref="E14:E16"/>
    <mergeCell ref="F14:F16"/>
    <mergeCell ref="H11:H12"/>
    <mergeCell ref="I11:I12"/>
    <mergeCell ref="J11:J12"/>
    <mergeCell ref="K11:K12"/>
    <mergeCell ref="L11:L12"/>
    <mergeCell ref="M11:M12"/>
    <mergeCell ref="P7:P8"/>
    <mergeCell ref="Q7:Q8"/>
    <mergeCell ref="R7:R8"/>
    <mergeCell ref="A10:A16"/>
    <mergeCell ref="B10:B13"/>
    <mergeCell ref="C10:C13"/>
    <mergeCell ref="D10:D13"/>
    <mergeCell ref="E10:E13"/>
    <mergeCell ref="F10:F13"/>
    <mergeCell ref="G11:G12"/>
    <mergeCell ref="J7:J8"/>
    <mergeCell ref="K7:K8"/>
    <mergeCell ref="L7:L8"/>
    <mergeCell ref="M7:M8"/>
    <mergeCell ref="N7:N8"/>
    <mergeCell ref="O7:O8"/>
    <mergeCell ref="D7:D9"/>
    <mergeCell ref="E7:E9"/>
    <mergeCell ref="F7:F9"/>
    <mergeCell ref="G7:G8"/>
    <mergeCell ref="H7:H8"/>
    <mergeCell ref="I7:I8"/>
    <mergeCell ref="Q3:Q4"/>
    <mergeCell ref="R3:R4"/>
    <mergeCell ref="A5:A9"/>
    <mergeCell ref="B5:B6"/>
    <mergeCell ref="C5:C6"/>
    <mergeCell ref="D5:D6"/>
    <mergeCell ref="E5:E6"/>
    <mergeCell ref="F5:F6"/>
    <mergeCell ref="B7:B9"/>
    <mergeCell ref="C7:C9"/>
    <mergeCell ref="J3:J4"/>
    <mergeCell ref="K3:K4"/>
    <mergeCell ref="L3:M3"/>
    <mergeCell ref="N3:N4"/>
    <mergeCell ref="O3:O4"/>
    <mergeCell ref="P3:P4"/>
    <mergeCell ref="I3:I4"/>
    <mergeCell ref="A3:A4"/>
    <mergeCell ref="B3:B4"/>
    <mergeCell ref="C3:E3"/>
    <mergeCell ref="F3:F4"/>
    <mergeCell ref="G3:H3"/>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104"/>
  <sheetViews>
    <sheetView tabSelected="1" zoomScale="75" zoomScaleNormal="75" workbookViewId="0">
      <selection activeCell="C12" sqref="C12:C13"/>
    </sheetView>
  </sheetViews>
  <sheetFormatPr defaultColWidth="9.140625" defaultRowHeight="15" x14ac:dyDescent="0.25"/>
  <cols>
    <col min="1" max="1" width="19.85546875" style="152" customWidth="1"/>
    <col min="2" max="2" width="33.5703125" style="154" customWidth="1"/>
    <col min="3" max="3" width="22.7109375" style="217" customWidth="1"/>
    <col min="4" max="4" width="27.28515625" style="152" customWidth="1"/>
    <col min="5" max="5" width="20.42578125" style="152" customWidth="1"/>
    <col min="6" max="6" width="18.5703125" style="152" customWidth="1"/>
    <col min="7" max="7" width="16.85546875" style="152" customWidth="1"/>
    <col min="8" max="8" width="19.7109375" style="152" customWidth="1"/>
    <col min="9" max="9" width="29.28515625" style="152" customWidth="1"/>
    <col min="10" max="10" width="16.42578125" style="152" customWidth="1"/>
    <col min="11" max="11" width="15.140625" style="152" customWidth="1"/>
    <col min="12" max="12" width="22.85546875" style="152" customWidth="1"/>
    <col min="13" max="13" width="17.5703125" style="152" customWidth="1"/>
    <col min="14" max="14" width="10.42578125" style="153" customWidth="1"/>
    <col min="15" max="15" width="11.5703125" style="153" customWidth="1"/>
    <col min="16" max="16" width="12.140625" style="152" customWidth="1"/>
    <col min="17" max="17" width="23.42578125" style="152" customWidth="1"/>
    <col min="18" max="18" width="91.7109375" style="152" customWidth="1"/>
    <col min="19" max="19" width="92.7109375" style="299" customWidth="1"/>
    <col min="20" max="20" width="92.28515625" style="299" customWidth="1"/>
    <col min="21" max="21" width="147.5703125" style="152" customWidth="1"/>
    <col min="22" max="22" width="37" style="152" bestFit="1" customWidth="1"/>
    <col min="23" max="30" width="9.140625" style="152" hidden="1" customWidth="1"/>
    <col min="31" max="16384" width="9.140625" style="152"/>
  </cols>
  <sheetData>
    <row r="1" spans="1:30" ht="12" customHeight="1" x14ac:dyDescent="0.25">
      <c r="A1" s="194" t="s">
        <v>149</v>
      </c>
      <c r="B1" s="232"/>
      <c r="C1" s="236"/>
      <c r="D1" s="233"/>
      <c r="E1" s="233"/>
      <c r="F1" s="233"/>
      <c r="G1" s="233"/>
      <c r="H1" s="233"/>
      <c r="I1" s="233"/>
      <c r="J1" s="233"/>
      <c r="K1" s="233"/>
      <c r="L1" s="233"/>
      <c r="M1" s="233"/>
      <c r="N1" s="234"/>
      <c r="O1" s="234"/>
      <c r="P1" s="233"/>
      <c r="Q1" s="233"/>
      <c r="R1" s="292"/>
      <c r="S1" s="293"/>
      <c r="T1" s="293"/>
      <c r="U1" s="233"/>
      <c r="V1" s="233"/>
      <c r="W1" s="233"/>
      <c r="X1" s="233"/>
      <c r="Y1" s="233"/>
      <c r="Z1" s="233"/>
      <c r="AA1" s="233"/>
      <c r="AB1" s="233"/>
      <c r="AC1" s="233"/>
      <c r="AD1" s="233"/>
    </row>
    <row r="2" spans="1:30" ht="12.75" customHeight="1" x14ac:dyDescent="0.25">
      <c r="A2" s="493" t="s">
        <v>150</v>
      </c>
      <c r="B2" s="493"/>
      <c r="C2" s="493"/>
      <c r="D2" s="493"/>
      <c r="E2" s="493"/>
      <c r="F2" s="493"/>
      <c r="G2" s="493"/>
      <c r="H2" s="493"/>
      <c r="I2" s="493"/>
      <c r="J2" s="233"/>
      <c r="K2" s="233"/>
      <c r="L2" s="233"/>
      <c r="M2" s="233"/>
      <c r="N2" s="234"/>
      <c r="O2" s="234"/>
      <c r="P2" s="233"/>
      <c r="Q2" s="233"/>
      <c r="R2" s="233"/>
      <c r="S2" s="236"/>
      <c r="T2" s="236"/>
      <c r="U2" s="233"/>
      <c r="V2" s="233"/>
      <c r="W2" s="233"/>
      <c r="X2" s="233"/>
      <c r="Y2" s="233"/>
      <c r="Z2" s="233"/>
      <c r="AA2" s="233"/>
      <c r="AB2" s="233"/>
      <c r="AC2" s="233"/>
      <c r="AD2" s="233"/>
    </row>
    <row r="3" spans="1:30" ht="15.75" thickBot="1" x14ac:dyDescent="0.3">
      <c r="A3" s="235" t="s">
        <v>151</v>
      </c>
      <c r="B3" s="232"/>
      <c r="C3" s="236"/>
      <c r="D3" s="233"/>
      <c r="E3" s="233"/>
      <c r="F3" s="233"/>
      <c r="G3" s="233"/>
      <c r="H3" s="233"/>
      <c r="I3" s="233"/>
      <c r="J3" s="233"/>
      <c r="K3" s="233"/>
      <c r="L3" s="233"/>
      <c r="M3" s="233"/>
      <c r="N3" s="234"/>
      <c r="O3" s="234"/>
      <c r="P3" s="233"/>
      <c r="Q3" s="233"/>
      <c r="R3" s="233"/>
      <c r="S3" s="236"/>
      <c r="T3" s="236"/>
      <c r="U3" s="233"/>
      <c r="V3" s="292"/>
      <c r="W3" s="233"/>
      <c r="X3" s="233"/>
      <c r="Y3" s="233"/>
      <c r="Z3" s="233"/>
      <c r="AA3" s="233"/>
      <c r="AB3" s="233"/>
      <c r="AC3" s="233"/>
      <c r="AD3" s="233"/>
    </row>
    <row r="4" spans="1:30" s="201" customFormat="1" ht="15" customHeight="1" x14ac:dyDescent="0.25">
      <c r="A4" s="504" t="s">
        <v>1</v>
      </c>
      <c r="B4" s="510" t="s">
        <v>2</v>
      </c>
      <c r="C4" s="496" t="s">
        <v>152</v>
      </c>
      <c r="D4" s="498" t="s">
        <v>3</v>
      </c>
      <c r="E4" s="499"/>
      <c r="F4" s="499"/>
      <c r="G4" s="498" t="s">
        <v>4</v>
      </c>
      <c r="H4" s="536" t="s">
        <v>5</v>
      </c>
      <c r="I4" s="536"/>
      <c r="J4" s="534" t="s">
        <v>153</v>
      </c>
      <c r="K4" s="536" t="s">
        <v>86</v>
      </c>
      <c r="L4" s="534" t="s">
        <v>154</v>
      </c>
      <c r="M4" s="534" t="s">
        <v>84</v>
      </c>
      <c r="N4" s="534"/>
      <c r="O4" s="534" t="s">
        <v>155</v>
      </c>
      <c r="P4" s="534" t="s">
        <v>89</v>
      </c>
      <c r="Q4" s="539" t="s">
        <v>156</v>
      </c>
      <c r="R4" s="530" t="s">
        <v>228</v>
      </c>
      <c r="S4" s="472" t="s">
        <v>321</v>
      </c>
      <c r="T4" s="472" t="s">
        <v>332</v>
      </c>
      <c r="U4" s="486" t="s">
        <v>313</v>
      </c>
      <c r="V4" s="488" t="s">
        <v>343</v>
      </c>
      <c r="W4" s="315"/>
      <c r="X4" s="279"/>
      <c r="Y4" s="279"/>
      <c r="Z4" s="279"/>
      <c r="AA4" s="279"/>
      <c r="AB4" s="279"/>
      <c r="AC4" s="279"/>
      <c r="AD4" s="362"/>
    </row>
    <row r="5" spans="1:30" s="201" customFormat="1" ht="45.75" customHeight="1" thickBot="1" x14ac:dyDescent="0.3">
      <c r="A5" s="505"/>
      <c r="B5" s="511"/>
      <c r="C5" s="497"/>
      <c r="D5" s="197" t="s">
        <v>15</v>
      </c>
      <c r="E5" s="155" t="s">
        <v>16</v>
      </c>
      <c r="F5" s="156" t="s">
        <v>157</v>
      </c>
      <c r="G5" s="500"/>
      <c r="H5" s="148" t="s">
        <v>158</v>
      </c>
      <c r="I5" s="148" t="s">
        <v>159</v>
      </c>
      <c r="J5" s="535"/>
      <c r="K5" s="537"/>
      <c r="L5" s="535"/>
      <c r="M5" s="149" t="s">
        <v>160</v>
      </c>
      <c r="N5" s="149" t="s">
        <v>161</v>
      </c>
      <c r="O5" s="535"/>
      <c r="P5" s="535"/>
      <c r="Q5" s="540"/>
      <c r="R5" s="531"/>
      <c r="S5" s="472"/>
      <c r="T5" s="472"/>
      <c r="U5" s="487"/>
      <c r="V5" s="489"/>
      <c r="W5" s="315"/>
      <c r="X5" s="279"/>
      <c r="Y5" s="279"/>
      <c r="Z5" s="279"/>
      <c r="AA5" s="279"/>
      <c r="AB5" s="279"/>
      <c r="AC5" s="279"/>
      <c r="AD5" s="362"/>
    </row>
    <row r="6" spans="1:30" s="201" customFormat="1" ht="168" customHeight="1" x14ac:dyDescent="0.25">
      <c r="A6" s="520" t="s">
        <v>162</v>
      </c>
      <c r="B6" s="508">
        <f>F6+F8+F10+F12+F14+F15</f>
        <v>129004607.31578948</v>
      </c>
      <c r="C6" s="517">
        <f>139871-139871</f>
        <v>0</v>
      </c>
      <c r="D6" s="518" t="s">
        <v>314</v>
      </c>
      <c r="E6" s="517">
        <f>C6*0.15/0.85</f>
        <v>0</v>
      </c>
      <c r="F6" s="517">
        <f>C6+E6</f>
        <v>0</v>
      </c>
      <c r="G6" s="517">
        <f>(C6-(C6*0.0411))+E6</f>
        <v>0</v>
      </c>
      <c r="H6" s="320" t="s">
        <v>163</v>
      </c>
      <c r="I6" s="321" t="s">
        <v>164</v>
      </c>
      <c r="J6" s="512" t="s">
        <v>98</v>
      </c>
      <c r="K6" s="512" t="s">
        <v>27</v>
      </c>
      <c r="L6" s="320" t="s">
        <v>165</v>
      </c>
      <c r="M6" s="320">
        <v>0</v>
      </c>
      <c r="N6" s="320" t="s">
        <v>29</v>
      </c>
      <c r="O6" s="321">
        <v>0.03</v>
      </c>
      <c r="P6" s="321">
        <v>0</v>
      </c>
      <c r="Q6" s="322" t="s">
        <v>166</v>
      </c>
      <c r="R6" s="323" t="s">
        <v>167</v>
      </c>
      <c r="S6" s="473"/>
      <c r="T6" s="473"/>
      <c r="U6" s="490" t="s">
        <v>320</v>
      </c>
      <c r="V6" s="482" t="s">
        <v>344</v>
      </c>
      <c r="W6" s="315"/>
      <c r="X6" s="279"/>
      <c r="Y6" s="279"/>
      <c r="Z6" s="279"/>
      <c r="AA6" s="279"/>
      <c r="AB6" s="279"/>
      <c r="AC6" s="279"/>
      <c r="AD6" s="362"/>
    </row>
    <row r="7" spans="1:30" s="201" customFormat="1" ht="103.5" customHeight="1" x14ac:dyDescent="0.25">
      <c r="A7" s="521"/>
      <c r="B7" s="509"/>
      <c r="C7" s="501"/>
      <c r="D7" s="519"/>
      <c r="E7" s="501"/>
      <c r="F7" s="501"/>
      <c r="G7" s="501"/>
      <c r="H7" s="324" t="s">
        <v>168</v>
      </c>
      <c r="I7" s="324" t="s">
        <v>169</v>
      </c>
      <c r="J7" s="513"/>
      <c r="K7" s="513"/>
      <c r="L7" s="324" t="s">
        <v>170</v>
      </c>
      <c r="M7" s="324">
        <v>0</v>
      </c>
      <c r="N7" s="324">
        <v>2021</v>
      </c>
      <c r="O7" s="324" t="s">
        <v>29</v>
      </c>
      <c r="P7" s="324">
        <v>0</v>
      </c>
      <c r="Q7" s="325" t="s">
        <v>166</v>
      </c>
      <c r="R7" s="294" t="s">
        <v>315</v>
      </c>
      <c r="S7" s="474"/>
      <c r="T7" s="474"/>
      <c r="U7" s="491"/>
      <c r="V7" s="483"/>
      <c r="W7" s="315"/>
      <c r="X7" s="279"/>
      <c r="Y7" s="279"/>
      <c r="Z7" s="279"/>
      <c r="AA7" s="279"/>
      <c r="AB7" s="279"/>
      <c r="AC7" s="279"/>
      <c r="AD7" s="362"/>
    </row>
    <row r="8" spans="1:30" s="201" customFormat="1" ht="164.45" customHeight="1" x14ac:dyDescent="0.25">
      <c r="A8" s="521"/>
      <c r="B8" s="509"/>
      <c r="C8" s="501">
        <f>139871-139871</f>
        <v>0</v>
      </c>
      <c r="D8" s="519" t="s">
        <v>316</v>
      </c>
      <c r="E8" s="501">
        <f>C8*0.15/0.85</f>
        <v>0</v>
      </c>
      <c r="F8" s="501">
        <f>C8+E8</f>
        <v>0</v>
      </c>
      <c r="G8" s="501">
        <f>(C8-(C8*0.0411))+E8</f>
        <v>0</v>
      </c>
      <c r="H8" s="326" t="s">
        <v>163</v>
      </c>
      <c r="I8" s="324" t="s">
        <v>164</v>
      </c>
      <c r="J8" s="513" t="s">
        <v>171</v>
      </c>
      <c r="K8" s="513" t="s">
        <v>44</v>
      </c>
      <c r="L8" s="326" t="s">
        <v>172</v>
      </c>
      <c r="M8" s="326">
        <v>0</v>
      </c>
      <c r="N8" s="326" t="s">
        <v>29</v>
      </c>
      <c r="O8" s="324">
        <v>0.03</v>
      </c>
      <c r="P8" s="324">
        <v>0</v>
      </c>
      <c r="Q8" s="325" t="s">
        <v>166</v>
      </c>
      <c r="R8" s="295" t="s">
        <v>317</v>
      </c>
      <c r="S8" s="473"/>
      <c r="T8" s="473"/>
      <c r="U8" s="492" t="s">
        <v>319</v>
      </c>
      <c r="V8" s="484"/>
      <c r="W8" s="315"/>
      <c r="X8" s="279"/>
      <c r="Y8" s="279"/>
      <c r="Z8" s="279"/>
      <c r="AA8" s="279"/>
      <c r="AB8" s="279"/>
      <c r="AC8" s="279"/>
      <c r="AD8" s="362"/>
    </row>
    <row r="9" spans="1:30" s="201" customFormat="1" ht="105.6" customHeight="1" x14ac:dyDescent="0.25">
      <c r="A9" s="521"/>
      <c r="B9" s="509"/>
      <c r="C9" s="501"/>
      <c r="D9" s="519"/>
      <c r="E9" s="501"/>
      <c r="F9" s="501"/>
      <c r="G9" s="501"/>
      <c r="H9" s="324" t="s">
        <v>168</v>
      </c>
      <c r="I9" s="324" t="s">
        <v>169</v>
      </c>
      <c r="J9" s="513"/>
      <c r="K9" s="513"/>
      <c r="L9" s="324" t="s">
        <v>170</v>
      </c>
      <c r="M9" s="324">
        <v>0</v>
      </c>
      <c r="N9" s="324">
        <v>2021</v>
      </c>
      <c r="O9" s="324" t="s">
        <v>29</v>
      </c>
      <c r="P9" s="324">
        <v>0</v>
      </c>
      <c r="Q9" s="325" t="s">
        <v>166</v>
      </c>
      <c r="R9" s="294" t="s">
        <v>315</v>
      </c>
      <c r="S9" s="474"/>
      <c r="T9" s="474"/>
      <c r="U9" s="492"/>
      <c r="V9" s="485"/>
      <c r="W9" s="315"/>
      <c r="X9" s="279"/>
      <c r="Y9" s="279"/>
      <c r="Z9" s="279"/>
      <c r="AA9" s="279"/>
      <c r="AB9" s="279"/>
      <c r="AC9" s="279"/>
      <c r="AD9" s="362"/>
    </row>
    <row r="10" spans="1:30" s="201" customFormat="1" ht="280.14999999999998" customHeight="1" x14ac:dyDescent="0.25">
      <c r="A10" s="521"/>
      <c r="B10" s="509"/>
      <c r="C10" s="502">
        <f>80491772.5-12200129</f>
        <v>68291643.5</v>
      </c>
      <c r="D10" s="503" t="s">
        <v>173</v>
      </c>
      <c r="E10" s="502">
        <f>C10*0.05/0.95</f>
        <v>3594297.0263157901</v>
      </c>
      <c r="F10" s="502">
        <f>C10+E10</f>
        <v>71885940.526315793</v>
      </c>
      <c r="G10" s="502">
        <f>(C10-(C10*0.045621))+E10</f>
        <v>68770407.458202288</v>
      </c>
      <c r="H10" s="199" t="s">
        <v>163</v>
      </c>
      <c r="I10" s="196" t="s">
        <v>164</v>
      </c>
      <c r="J10" s="514" t="s">
        <v>98</v>
      </c>
      <c r="K10" s="514" t="s">
        <v>27</v>
      </c>
      <c r="L10" s="199" t="s">
        <v>165</v>
      </c>
      <c r="M10" s="199">
        <v>0</v>
      </c>
      <c r="N10" s="199" t="s">
        <v>29</v>
      </c>
      <c r="O10" s="164">
        <v>24</v>
      </c>
      <c r="P10" s="229">
        <v>220.8</v>
      </c>
      <c r="Q10" s="198" t="s">
        <v>166</v>
      </c>
      <c r="R10" s="218" t="s">
        <v>309</v>
      </c>
      <c r="S10" s="312"/>
      <c r="T10" s="312"/>
      <c r="U10" s="369" t="s">
        <v>336</v>
      </c>
      <c r="V10" s="277"/>
      <c r="W10" s="316"/>
      <c r="X10" s="289"/>
      <c r="Y10" s="289"/>
      <c r="Z10" s="289"/>
      <c r="AA10" s="289"/>
      <c r="AB10" s="289"/>
      <c r="AC10" s="289"/>
      <c r="AD10" s="363"/>
    </row>
    <row r="11" spans="1:30" s="201" customFormat="1" ht="67.5" customHeight="1" x14ac:dyDescent="0.25">
      <c r="A11" s="521"/>
      <c r="B11" s="509"/>
      <c r="C11" s="502"/>
      <c r="D11" s="503"/>
      <c r="E11" s="502"/>
      <c r="F11" s="502"/>
      <c r="G11" s="502"/>
      <c r="H11" s="196" t="s">
        <v>168</v>
      </c>
      <c r="I11" s="196" t="s">
        <v>169</v>
      </c>
      <c r="J11" s="514"/>
      <c r="K11" s="514"/>
      <c r="L11" s="196" t="s">
        <v>170</v>
      </c>
      <c r="M11" s="230">
        <v>92736</v>
      </c>
      <c r="N11" s="196">
        <v>2021</v>
      </c>
      <c r="O11" s="196" t="s">
        <v>29</v>
      </c>
      <c r="P11" s="196">
        <v>0</v>
      </c>
      <c r="Q11" s="198" t="s">
        <v>166</v>
      </c>
      <c r="R11" s="278" t="s">
        <v>310</v>
      </c>
      <c r="S11" s="312"/>
      <c r="T11" s="312"/>
      <c r="U11" s="343" t="s">
        <v>318</v>
      </c>
      <c r="V11" s="279"/>
      <c r="W11" s="315"/>
      <c r="X11" s="279"/>
      <c r="Y11" s="279"/>
      <c r="Z11" s="279"/>
      <c r="AA11" s="279"/>
      <c r="AB11" s="279"/>
      <c r="AC11" s="279"/>
      <c r="AD11" s="362"/>
    </row>
    <row r="12" spans="1:30" s="201" customFormat="1" ht="338.25" customHeight="1" x14ac:dyDescent="0.25">
      <c r="A12" s="521"/>
      <c r="B12" s="509"/>
      <c r="C12" s="502">
        <f>80491772.5-41860129+1</f>
        <v>38631644.5</v>
      </c>
      <c r="D12" s="503" t="s">
        <v>173</v>
      </c>
      <c r="E12" s="502">
        <f>C12*0.05/0.95</f>
        <v>2033244.4473684214</v>
      </c>
      <c r="F12" s="502">
        <f>C12+E12</f>
        <v>40664888.947368421</v>
      </c>
      <c r="G12" s="502">
        <f>(C12-(C12*0.045355))+E12</f>
        <v>38912750.711070918</v>
      </c>
      <c r="H12" s="199" t="s">
        <v>163</v>
      </c>
      <c r="I12" s="196" t="s">
        <v>164</v>
      </c>
      <c r="J12" s="514" t="s">
        <v>171</v>
      </c>
      <c r="K12" s="514" t="s">
        <v>44</v>
      </c>
      <c r="L12" s="199" t="s">
        <v>172</v>
      </c>
      <c r="M12" s="199">
        <v>0</v>
      </c>
      <c r="N12" s="199" t="s">
        <v>29</v>
      </c>
      <c r="O12" s="164">
        <v>24</v>
      </c>
      <c r="P12" s="229">
        <v>132.4</v>
      </c>
      <c r="Q12" s="198" t="s">
        <v>166</v>
      </c>
      <c r="R12" s="218" t="s">
        <v>174</v>
      </c>
      <c r="S12" s="312"/>
      <c r="T12" s="312"/>
      <c r="U12" s="368" t="s">
        <v>337</v>
      </c>
      <c r="V12" s="280"/>
      <c r="W12" s="317"/>
      <c r="X12" s="290"/>
      <c r="Y12" s="290"/>
      <c r="Z12" s="290"/>
      <c r="AA12" s="290"/>
      <c r="AB12" s="290"/>
      <c r="AC12" s="290"/>
      <c r="AD12" s="364"/>
    </row>
    <row r="13" spans="1:30" s="201" customFormat="1" ht="93.6" customHeight="1" x14ac:dyDescent="0.25">
      <c r="A13" s="521"/>
      <c r="B13" s="509"/>
      <c r="C13" s="502"/>
      <c r="D13" s="503"/>
      <c r="E13" s="502"/>
      <c r="F13" s="502"/>
      <c r="G13" s="502"/>
      <c r="H13" s="196" t="s">
        <v>168</v>
      </c>
      <c r="I13" s="196" t="s">
        <v>169</v>
      </c>
      <c r="J13" s="514"/>
      <c r="K13" s="514"/>
      <c r="L13" s="196" t="s">
        <v>170</v>
      </c>
      <c r="M13" s="230">
        <v>55608</v>
      </c>
      <c r="N13" s="196">
        <v>2021</v>
      </c>
      <c r="O13" s="196" t="s">
        <v>29</v>
      </c>
      <c r="P13" s="196">
        <v>0</v>
      </c>
      <c r="Q13" s="198" t="s">
        <v>166</v>
      </c>
      <c r="R13" s="278" t="s">
        <v>312</v>
      </c>
      <c r="S13" s="312"/>
      <c r="T13" s="312"/>
      <c r="U13" s="344" t="s">
        <v>311</v>
      </c>
      <c r="V13" s="279"/>
      <c r="W13" s="315"/>
      <c r="X13" s="279"/>
      <c r="Y13" s="279"/>
      <c r="Z13" s="279"/>
      <c r="AA13" s="279"/>
      <c r="AB13" s="279"/>
      <c r="AC13" s="279"/>
      <c r="AD13" s="362"/>
    </row>
    <row r="14" spans="1:30" s="201" customFormat="1" ht="266.25" customHeight="1" x14ac:dyDescent="0.25">
      <c r="A14" s="521"/>
      <c r="B14" s="509"/>
      <c r="C14" s="240">
        <f>1645544+12340000</f>
        <v>13985544</v>
      </c>
      <c r="D14" s="239" t="s">
        <v>175</v>
      </c>
      <c r="E14" s="283">
        <f>C14*0.05/0.95+1</f>
        <v>736082.26315789483</v>
      </c>
      <c r="F14" s="240">
        <f>C14+E14</f>
        <v>14721626.263157895</v>
      </c>
      <c r="G14" s="240">
        <f>(C14-(C14*0.07))+E14</f>
        <v>13742638.183157895</v>
      </c>
      <c r="H14" s="164" t="s">
        <v>176</v>
      </c>
      <c r="I14" s="145" t="s">
        <v>177</v>
      </c>
      <c r="J14" s="196" t="s">
        <v>98</v>
      </c>
      <c r="K14" s="196" t="s">
        <v>27</v>
      </c>
      <c r="L14" s="199" t="s">
        <v>178</v>
      </c>
      <c r="M14" s="199">
        <v>0</v>
      </c>
      <c r="N14" s="199" t="s">
        <v>29</v>
      </c>
      <c r="O14" s="164">
        <v>1</v>
      </c>
      <c r="P14" s="229">
        <v>34.380000000000003</v>
      </c>
      <c r="Q14" s="198" t="s">
        <v>166</v>
      </c>
      <c r="R14" s="218" t="s">
        <v>179</v>
      </c>
      <c r="S14" s="313"/>
      <c r="T14" s="313"/>
      <c r="U14" s="345" t="s">
        <v>338</v>
      </c>
      <c r="V14" s="281"/>
      <c r="W14" s="318"/>
      <c r="X14" s="242"/>
      <c r="Y14" s="242"/>
      <c r="Z14" s="242"/>
      <c r="AA14" s="242"/>
      <c r="AB14" s="242"/>
      <c r="AC14" s="242"/>
      <c r="AD14" s="365"/>
    </row>
    <row r="15" spans="1:30" s="201" customFormat="1" ht="256.14999999999998" customHeight="1" x14ac:dyDescent="0.25">
      <c r="A15" s="521"/>
      <c r="B15" s="509"/>
      <c r="C15" s="238">
        <v>1645544</v>
      </c>
      <c r="D15" s="239" t="s">
        <v>180</v>
      </c>
      <c r="E15" s="241">
        <f>C15*0.05/0.95</f>
        <v>86607.578947368442</v>
      </c>
      <c r="F15" s="237">
        <f>C15+E15</f>
        <v>1732151.5789473685</v>
      </c>
      <c r="G15" s="237">
        <f>(C15-(C15*0.07))+E15</f>
        <v>1616963.4989473685</v>
      </c>
      <c r="H15" s="164" t="s">
        <v>176</v>
      </c>
      <c r="I15" s="145" t="s">
        <v>177</v>
      </c>
      <c r="J15" s="196" t="s">
        <v>171</v>
      </c>
      <c r="K15" s="196" t="s">
        <v>44</v>
      </c>
      <c r="L15" s="199" t="s">
        <v>178</v>
      </c>
      <c r="M15" s="199">
        <v>0</v>
      </c>
      <c r="N15" s="199" t="s">
        <v>29</v>
      </c>
      <c r="O15" s="164">
        <v>1</v>
      </c>
      <c r="P15" s="229">
        <v>3.99</v>
      </c>
      <c r="Q15" s="198" t="s">
        <v>166</v>
      </c>
      <c r="R15" s="218" t="s">
        <v>181</v>
      </c>
      <c r="S15" s="313"/>
      <c r="T15" s="313"/>
      <c r="U15" s="346" t="s">
        <v>339</v>
      </c>
      <c r="V15" s="282"/>
      <c r="W15" s="319"/>
      <c r="X15" s="231"/>
      <c r="Y15" s="231"/>
      <c r="Z15" s="231"/>
      <c r="AA15" s="231"/>
      <c r="AB15" s="231"/>
      <c r="AC15" s="231"/>
      <c r="AD15" s="366"/>
    </row>
    <row r="16" spans="1:30" s="306" customFormat="1" ht="170.25" customHeight="1" x14ac:dyDescent="0.25">
      <c r="A16" s="515" t="s">
        <v>182</v>
      </c>
      <c r="B16" s="506">
        <f>F16+F18+F20+F22</f>
        <v>39157894.736842103</v>
      </c>
      <c r="C16" s="506">
        <v>3720000</v>
      </c>
      <c r="D16" s="525" t="s">
        <v>183</v>
      </c>
      <c r="E16" s="529">
        <f>C16*0.05/0.95</f>
        <v>195789.47368421053</v>
      </c>
      <c r="F16" s="529">
        <f>C16+E16</f>
        <v>3915789.4736842103</v>
      </c>
      <c r="G16" s="529">
        <f>(C16-C16*0.0511)+E16</f>
        <v>3725697.4736842103</v>
      </c>
      <c r="H16" s="302" t="s">
        <v>163</v>
      </c>
      <c r="I16" s="303" t="s">
        <v>164</v>
      </c>
      <c r="J16" s="494" t="s">
        <v>98</v>
      </c>
      <c r="K16" s="494" t="s">
        <v>27</v>
      </c>
      <c r="L16" s="309" t="s">
        <v>165</v>
      </c>
      <c r="M16" s="309">
        <v>0</v>
      </c>
      <c r="N16" s="309" t="s">
        <v>29</v>
      </c>
      <c r="O16" s="309">
        <v>4.3600000000000003</v>
      </c>
      <c r="P16" s="309">
        <v>43.6</v>
      </c>
      <c r="Q16" s="304" t="s">
        <v>166</v>
      </c>
      <c r="R16" s="305" t="s">
        <v>184</v>
      </c>
      <c r="S16" s="284" t="s">
        <v>322</v>
      </c>
      <c r="T16" s="350"/>
      <c r="U16" s="347"/>
      <c r="V16" s="300"/>
    </row>
    <row r="17" spans="1:30" s="306" customFormat="1" ht="195" x14ac:dyDescent="0.25">
      <c r="A17" s="516"/>
      <c r="B17" s="507"/>
      <c r="C17" s="507"/>
      <c r="D17" s="522"/>
      <c r="E17" s="524"/>
      <c r="F17" s="524"/>
      <c r="G17" s="524"/>
      <c r="H17" s="196" t="s">
        <v>168</v>
      </c>
      <c r="I17" s="196" t="s">
        <v>169</v>
      </c>
      <c r="J17" s="495"/>
      <c r="K17" s="495"/>
      <c r="L17" s="164" t="s">
        <v>170</v>
      </c>
      <c r="M17" s="193">
        <v>20891</v>
      </c>
      <c r="N17" s="164">
        <v>2021</v>
      </c>
      <c r="O17" s="164" t="s">
        <v>29</v>
      </c>
      <c r="P17" s="193">
        <v>1869</v>
      </c>
      <c r="Q17" s="198" t="s">
        <v>166</v>
      </c>
      <c r="R17" s="307" t="s">
        <v>185</v>
      </c>
      <c r="S17" s="218" t="s">
        <v>323</v>
      </c>
      <c r="T17" s="351"/>
      <c r="U17" s="348"/>
      <c r="V17" s="300"/>
    </row>
    <row r="18" spans="1:30" s="306" customFormat="1" ht="171.75" customHeight="1" x14ac:dyDescent="0.25">
      <c r="A18" s="516"/>
      <c r="B18" s="507"/>
      <c r="C18" s="507">
        <v>3720000</v>
      </c>
      <c r="D18" s="522" t="s">
        <v>186</v>
      </c>
      <c r="E18" s="524">
        <f>C18*0.05/0.95</f>
        <v>195789.47368421053</v>
      </c>
      <c r="F18" s="524">
        <f>C18+E18</f>
        <v>3915789.4736842103</v>
      </c>
      <c r="G18" s="528">
        <f>(C18-(C18*0.0411))+E18</f>
        <v>3762897.4736842103</v>
      </c>
      <c r="H18" s="199" t="s">
        <v>163</v>
      </c>
      <c r="I18" s="196" t="s">
        <v>164</v>
      </c>
      <c r="J18" s="495" t="s">
        <v>171</v>
      </c>
      <c r="K18" s="495" t="s">
        <v>44</v>
      </c>
      <c r="L18" s="164" t="s">
        <v>172</v>
      </c>
      <c r="M18" s="164">
        <v>0</v>
      </c>
      <c r="N18" s="164" t="s">
        <v>29</v>
      </c>
      <c r="O18" s="164">
        <v>4.3600000000000003</v>
      </c>
      <c r="P18" s="164">
        <v>43.6</v>
      </c>
      <c r="Q18" s="198" t="s">
        <v>166</v>
      </c>
      <c r="R18" s="284" t="s">
        <v>187</v>
      </c>
      <c r="S18" s="284" t="s">
        <v>322</v>
      </c>
      <c r="T18" s="350"/>
      <c r="U18" s="347"/>
      <c r="V18" s="300"/>
    </row>
    <row r="19" spans="1:30" s="306" customFormat="1" ht="133.5" customHeight="1" x14ac:dyDescent="0.25">
      <c r="A19" s="516"/>
      <c r="B19" s="507"/>
      <c r="C19" s="507"/>
      <c r="D19" s="522"/>
      <c r="E19" s="524"/>
      <c r="F19" s="524"/>
      <c r="G19" s="528"/>
      <c r="H19" s="196" t="s">
        <v>168</v>
      </c>
      <c r="I19" s="196" t="s">
        <v>169</v>
      </c>
      <c r="J19" s="495"/>
      <c r="K19" s="495"/>
      <c r="L19" s="164" t="s">
        <v>170</v>
      </c>
      <c r="M19" s="193">
        <v>20891</v>
      </c>
      <c r="N19" s="164">
        <v>2021</v>
      </c>
      <c r="O19" s="164" t="s">
        <v>29</v>
      </c>
      <c r="P19" s="193">
        <v>1869</v>
      </c>
      <c r="Q19" s="198" t="s">
        <v>166</v>
      </c>
      <c r="R19" s="307" t="s">
        <v>185</v>
      </c>
      <c r="S19" s="218" t="s">
        <v>323</v>
      </c>
      <c r="T19" s="351"/>
      <c r="U19" s="348"/>
      <c r="V19" s="300"/>
    </row>
    <row r="20" spans="1:30" s="306" customFormat="1" ht="167.25" customHeight="1" x14ac:dyDescent="0.25">
      <c r="A20" s="516"/>
      <c r="B20" s="507"/>
      <c r="C20" s="507">
        <v>14880000</v>
      </c>
      <c r="D20" s="522" t="s">
        <v>188</v>
      </c>
      <c r="E20" s="524">
        <f>C20*0.05/0.95</f>
        <v>783157.89473684214</v>
      </c>
      <c r="F20" s="524">
        <f>C20+E20</f>
        <v>15663157.894736841</v>
      </c>
      <c r="G20" s="528">
        <f>(C20-(C20*0.0411))+E20</f>
        <v>15051589.894736841</v>
      </c>
      <c r="H20" s="199" t="s">
        <v>163</v>
      </c>
      <c r="I20" s="196" t="s">
        <v>164</v>
      </c>
      <c r="J20" s="514" t="s">
        <v>98</v>
      </c>
      <c r="K20" s="514" t="s">
        <v>27</v>
      </c>
      <c r="L20" s="164" t="s">
        <v>165</v>
      </c>
      <c r="M20" s="164">
        <v>0</v>
      </c>
      <c r="N20" s="164" t="s">
        <v>29</v>
      </c>
      <c r="O20" s="164">
        <v>4</v>
      </c>
      <c r="P20" s="164">
        <v>39.549999999999997</v>
      </c>
      <c r="Q20" s="198" t="s">
        <v>166</v>
      </c>
      <c r="R20" s="284" t="s">
        <v>189</v>
      </c>
      <c r="S20" s="284" t="s">
        <v>324</v>
      </c>
      <c r="T20" s="350"/>
      <c r="U20" s="348"/>
      <c r="V20" s="300"/>
    </row>
    <row r="21" spans="1:30" s="306" customFormat="1" ht="195" x14ac:dyDescent="0.25">
      <c r="A21" s="516"/>
      <c r="B21" s="507"/>
      <c r="C21" s="507"/>
      <c r="D21" s="522"/>
      <c r="E21" s="524"/>
      <c r="F21" s="524"/>
      <c r="G21" s="528"/>
      <c r="H21" s="196" t="s">
        <v>168</v>
      </c>
      <c r="I21" s="196" t="s">
        <v>169</v>
      </c>
      <c r="J21" s="514"/>
      <c r="K21" s="514"/>
      <c r="L21" s="164" t="s">
        <v>170</v>
      </c>
      <c r="M21" s="193">
        <v>35986</v>
      </c>
      <c r="N21" s="164">
        <v>2021</v>
      </c>
      <c r="O21" s="164" t="s">
        <v>29</v>
      </c>
      <c r="P21" s="193">
        <v>0</v>
      </c>
      <c r="Q21" s="198" t="s">
        <v>166</v>
      </c>
      <c r="R21" s="308" t="s">
        <v>190</v>
      </c>
      <c r="S21" s="284" t="s">
        <v>325</v>
      </c>
      <c r="T21" s="350"/>
      <c r="U21" s="347"/>
      <c r="V21" s="300"/>
    </row>
    <row r="22" spans="1:30" s="306" customFormat="1" ht="165.75" customHeight="1" x14ac:dyDescent="0.25">
      <c r="A22" s="516"/>
      <c r="B22" s="507"/>
      <c r="C22" s="507">
        <v>14880000</v>
      </c>
      <c r="D22" s="523" t="s">
        <v>188</v>
      </c>
      <c r="E22" s="524">
        <f>C22*0.05/0.95</f>
        <v>783157.89473684214</v>
      </c>
      <c r="F22" s="524">
        <f>C22+E22</f>
        <v>15663157.894736841</v>
      </c>
      <c r="G22" s="528">
        <f>(C22-(C22*0.0411))+E22</f>
        <v>15051589.894736841</v>
      </c>
      <c r="H22" s="199" t="s">
        <v>163</v>
      </c>
      <c r="I22" s="196" t="s">
        <v>164</v>
      </c>
      <c r="J22" s="514" t="s">
        <v>171</v>
      </c>
      <c r="K22" s="514" t="s">
        <v>44</v>
      </c>
      <c r="L22" s="164" t="s">
        <v>165</v>
      </c>
      <c r="M22" s="164">
        <v>0</v>
      </c>
      <c r="N22" s="164" t="s">
        <v>29</v>
      </c>
      <c r="O22" s="164">
        <v>4</v>
      </c>
      <c r="P22" s="164">
        <v>39.549999999999997</v>
      </c>
      <c r="Q22" s="198" t="s">
        <v>166</v>
      </c>
      <c r="R22" s="284" t="s">
        <v>191</v>
      </c>
      <c r="S22" s="284" t="s">
        <v>324</v>
      </c>
      <c r="T22" s="350"/>
      <c r="U22" s="348"/>
      <c r="V22" s="300"/>
    </row>
    <row r="23" spans="1:30" s="306" customFormat="1" ht="195" x14ac:dyDescent="0.25">
      <c r="A23" s="516"/>
      <c r="B23" s="507"/>
      <c r="C23" s="507"/>
      <c r="D23" s="523"/>
      <c r="E23" s="524"/>
      <c r="F23" s="524"/>
      <c r="G23" s="528"/>
      <c r="H23" s="196" t="s">
        <v>168</v>
      </c>
      <c r="I23" s="196" t="s">
        <v>169</v>
      </c>
      <c r="J23" s="514"/>
      <c r="K23" s="514"/>
      <c r="L23" s="164" t="s">
        <v>170</v>
      </c>
      <c r="M23" s="193">
        <v>35986</v>
      </c>
      <c r="N23" s="164">
        <v>2021</v>
      </c>
      <c r="O23" s="164" t="s">
        <v>29</v>
      </c>
      <c r="P23" s="193">
        <v>0</v>
      </c>
      <c r="Q23" s="198" t="s">
        <v>166</v>
      </c>
      <c r="R23" s="308" t="s">
        <v>190</v>
      </c>
      <c r="S23" s="284" t="s">
        <v>326</v>
      </c>
      <c r="T23" s="350"/>
      <c r="U23" s="347"/>
      <c r="V23" s="300"/>
    </row>
    <row r="24" spans="1:30" s="201" customFormat="1" ht="55.5" customHeight="1" x14ac:dyDescent="0.25">
      <c r="A24" s="576" t="s">
        <v>192</v>
      </c>
      <c r="B24" s="578">
        <f>SUM(F24:F53)</f>
        <v>78947368.421052635</v>
      </c>
      <c r="C24" s="527">
        <v>7913431.5</v>
      </c>
      <c r="D24" s="581" t="s">
        <v>193</v>
      </c>
      <c r="E24" s="541">
        <f>C24*0.05/0.95</f>
        <v>416496.39473684214</v>
      </c>
      <c r="F24" s="541">
        <f>C24+E24</f>
        <v>8329927.8947368423</v>
      </c>
      <c r="G24" s="526">
        <f>F24</f>
        <v>8329927.8947368423</v>
      </c>
      <c r="H24" s="164" t="s">
        <v>176</v>
      </c>
      <c r="I24" s="165" t="s">
        <v>194</v>
      </c>
      <c r="J24" s="495" t="s">
        <v>98</v>
      </c>
      <c r="K24" s="495" t="s">
        <v>27</v>
      </c>
      <c r="L24" s="221" t="s">
        <v>178</v>
      </c>
      <c r="M24" s="222">
        <v>0</v>
      </c>
      <c r="N24" s="222" t="s">
        <v>29</v>
      </c>
      <c r="O24" s="222">
        <v>0</v>
      </c>
      <c r="P24" s="164">
        <v>8</v>
      </c>
      <c r="Q24" s="219" t="s">
        <v>166</v>
      </c>
      <c r="R24" s="532" t="s">
        <v>195</v>
      </c>
      <c r="S24" s="476"/>
      <c r="T24" s="473"/>
      <c r="U24" s="479"/>
      <c r="V24" s="467"/>
      <c r="W24" s="288"/>
      <c r="X24" s="288"/>
      <c r="Y24" s="288"/>
      <c r="Z24" s="288"/>
      <c r="AA24" s="288"/>
      <c r="AB24" s="288"/>
      <c r="AC24" s="288"/>
      <c r="AD24" s="367"/>
    </row>
    <row r="25" spans="1:30" s="201" customFormat="1" ht="195" customHeight="1" x14ac:dyDescent="0.25">
      <c r="A25" s="576"/>
      <c r="B25" s="578"/>
      <c r="C25" s="527"/>
      <c r="D25" s="581"/>
      <c r="E25" s="541"/>
      <c r="F25" s="541"/>
      <c r="G25" s="526"/>
      <c r="H25" s="222" t="s">
        <v>163</v>
      </c>
      <c r="I25" s="164" t="s">
        <v>164</v>
      </c>
      <c r="J25" s="495"/>
      <c r="K25" s="495"/>
      <c r="L25" s="222" t="s">
        <v>172</v>
      </c>
      <c r="M25" s="222">
        <v>0</v>
      </c>
      <c r="N25" s="222" t="s">
        <v>29</v>
      </c>
      <c r="O25" s="164">
        <v>3</v>
      </c>
      <c r="P25" s="164">
        <v>29.4</v>
      </c>
      <c r="Q25" s="219" t="s">
        <v>166</v>
      </c>
      <c r="R25" s="532"/>
      <c r="S25" s="477"/>
      <c r="T25" s="474"/>
      <c r="U25" s="480"/>
      <c r="V25" s="468"/>
      <c r="W25" s="288"/>
      <c r="X25" s="288"/>
      <c r="Y25" s="288"/>
      <c r="Z25" s="288"/>
      <c r="AA25" s="288"/>
      <c r="AB25" s="288"/>
      <c r="AC25" s="288"/>
      <c r="AD25" s="367"/>
    </row>
    <row r="26" spans="1:30" s="201" customFormat="1" ht="100.5" customHeight="1" x14ac:dyDescent="0.25">
      <c r="A26" s="576"/>
      <c r="B26" s="578"/>
      <c r="C26" s="527"/>
      <c r="D26" s="581"/>
      <c r="E26" s="541"/>
      <c r="F26" s="541"/>
      <c r="G26" s="526"/>
      <c r="H26" s="164" t="s">
        <v>168</v>
      </c>
      <c r="I26" s="164" t="s">
        <v>169</v>
      </c>
      <c r="J26" s="495"/>
      <c r="K26" s="495"/>
      <c r="L26" s="164" t="s">
        <v>170</v>
      </c>
      <c r="M26" s="193">
        <v>2171</v>
      </c>
      <c r="N26" s="164">
        <v>2021</v>
      </c>
      <c r="O26" s="222" t="s">
        <v>29</v>
      </c>
      <c r="P26" s="164">
        <v>0</v>
      </c>
      <c r="Q26" s="219" t="s">
        <v>166</v>
      </c>
      <c r="R26" s="285" t="s">
        <v>196</v>
      </c>
      <c r="S26" s="314"/>
      <c r="T26" s="312"/>
      <c r="U26" s="349"/>
      <c r="V26" s="310"/>
      <c r="W26" s="288"/>
      <c r="X26" s="288"/>
      <c r="Y26" s="288"/>
      <c r="Z26" s="288"/>
      <c r="AA26" s="288"/>
      <c r="AB26" s="288"/>
      <c r="AC26" s="288"/>
      <c r="AD26" s="367"/>
    </row>
    <row r="27" spans="1:30" s="201" customFormat="1" ht="92.45" customHeight="1" x14ac:dyDescent="0.25">
      <c r="A27" s="576"/>
      <c r="B27" s="578"/>
      <c r="C27" s="527"/>
      <c r="D27" s="581"/>
      <c r="E27" s="541"/>
      <c r="F27" s="541"/>
      <c r="G27" s="526"/>
      <c r="H27" s="223" t="s">
        <v>176</v>
      </c>
      <c r="I27" s="224" t="s">
        <v>197</v>
      </c>
      <c r="J27" s="495"/>
      <c r="K27" s="495"/>
      <c r="L27" s="223" t="s">
        <v>122</v>
      </c>
      <c r="M27" s="223">
        <v>0</v>
      </c>
      <c r="N27" s="223" t="s">
        <v>29</v>
      </c>
      <c r="O27" s="224">
        <f>O28</f>
        <v>9</v>
      </c>
      <c r="P27" s="224">
        <f>P28</f>
        <v>30</v>
      </c>
      <c r="Q27" s="225" t="s">
        <v>198</v>
      </c>
      <c r="R27" s="286" t="s">
        <v>199</v>
      </c>
      <c r="S27" s="301"/>
      <c r="T27" s="352"/>
      <c r="U27" s="311"/>
      <c r="V27" s="311" t="s">
        <v>200</v>
      </c>
      <c r="W27" s="288"/>
      <c r="X27" s="288"/>
      <c r="Y27" s="288"/>
      <c r="Z27" s="288"/>
      <c r="AA27" s="288"/>
      <c r="AB27" s="288"/>
      <c r="AC27" s="288"/>
      <c r="AD27" s="367"/>
    </row>
    <row r="28" spans="1:30" s="201" customFormat="1" ht="100.5" customHeight="1" x14ac:dyDescent="0.25">
      <c r="A28" s="576"/>
      <c r="B28" s="578"/>
      <c r="C28" s="527"/>
      <c r="D28" s="581"/>
      <c r="E28" s="541"/>
      <c r="F28" s="541"/>
      <c r="G28" s="526"/>
      <c r="H28" s="223" t="s">
        <v>176</v>
      </c>
      <c r="I28" s="224" t="s">
        <v>201</v>
      </c>
      <c r="J28" s="495"/>
      <c r="K28" s="495"/>
      <c r="L28" s="223" t="s">
        <v>122</v>
      </c>
      <c r="M28" s="223">
        <v>0</v>
      </c>
      <c r="N28" s="223" t="s">
        <v>29</v>
      </c>
      <c r="O28" s="223">
        <v>9</v>
      </c>
      <c r="P28" s="224">
        <v>30</v>
      </c>
      <c r="Q28" s="225" t="s">
        <v>166</v>
      </c>
      <c r="R28" s="286" t="s">
        <v>202</v>
      </c>
      <c r="S28" s="301"/>
      <c r="T28" s="352"/>
      <c r="U28" s="311"/>
      <c r="V28" s="311" t="s">
        <v>203</v>
      </c>
      <c r="W28" s="288"/>
      <c r="X28" s="288"/>
      <c r="Y28" s="288"/>
      <c r="Z28" s="288"/>
      <c r="AA28" s="288"/>
      <c r="AB28" s="288"/>
      <c r="AC28" s="288"/>
      <c r="AD28" s="367"/>
    </row>
    <row r="29" spans="1:30" s="201" customFormat="1" ht="63.75" customHeight="1" x14ac:dyDescent="0.25">
      <c r="A29" s="576"/>
      <c r="B29" s="578"/>
      <c r="C29" s="527">
        <v>10836568.5</v>
      </c>
      <c r="D29" s="581" t="s">
        <v>204</v>
      </c>
      <c r="E29" s="541">
        <f>C29*0.05/0.95</f>
        <v>570345.71052631584</v>
      </c>
      <c r="F29" s="541">
        <f>C29+E29</f>
        <v>11406914.210526315</v>
      </c>
      <c r="G29" s="526">
        <f>F29</f>
        <v>11406914.210526315</v>
      </c>
      <c r="H29" s="164" t="s">
        <v>176</v>
      </c>
      <c r="I29" s="165" t="s">
        <v>194</v>
      </c>
      <c r="J29" s="495" t="s">
        <v>171</v>
      </c>
      <c r="K29" s="495" t="s">
        <v>44</v>
      </c>
      <c r="L29" s="222" t="s">
        <v>178</v>
      </c>
      <c r="M29" s="222">
        <v>0</v>
      </c>
      <c r="N29" s="222" t="s">
        <v>29</v>
      </c>
      <c r="O29" s="222">
        <v>0</v>
      </c>
      <c r="P29" s="164">
        <v>11</v>
      </c>
      <c r="Q29" s="219" t="s">
        <v>166</v>
      </c>
      <c r="R29" s="532" t="s">
        <v>205</v>
      </c>
      <c r="S29" s="476"/>
      <c r="T29" s="473"/>
      <c r="U29" s="479"/>
      <c r="V29" s="467"/>
      <c r="W29" s="288"/>
      <c r="X29" s="288"/>
      <c r="Y29" s="288"/>
      <c r="Z29" s="288"/>
      <c r="AA29" s="288"/>
      <c r="AB29" s="288"/>
      <c r="AC29" s="288"/>
      <c r="AD29" s="367"/>
    </row>
    <row r="30" spans="1:30" s="201" customFormat="1" ht="195.6" customHeight="1" x14ac:dyDescent="0.25">
      <c r="A30" s="576"/>
      <c r="B30" s="578"/>
      <c r="C30" s="527"/>
      <c r="D30" s="581"/>
      <c r="E30" s="541"/>
      <c r="F30" s="541"/>
      <c r="G30" s="526"/>
      <c r="H30" s="222" t="s">
        <v>163</v>
      </c>
      <c r="I30" s="164" t="s">
        <v>164</v>
      </c>
      <c r="J30" s="495"/>
      <c r="K30" s="495"/>
      <c r="L30" s="164" t="s">
        <v>172</v>
      </c>
      <c r="M30" s="164">
        <v>0</v>
      </c>
      <c r="N30" s="222" t="s">
        <v>29</v>
      </c>
      <c r="O30" s="222">
        <v>4</v>
      </c>
      <c r="P30" s="164">
        <v>40</v>
      </c>
      <c r="Q30" s="219" t="s">
        <v>166</v>
      </c>
      <c r="R30" s="532"/>
      <c r="S30" s="477"/>
      <c r="T30" s="474"/>
      <c r="U30" s="480"/>
      <c r="V30" s="468"/>
      <c r="W30" s="288"/>
      <c r="X30" s="288"/>
      <c r="Y30" s="288"/>
      <c r="Z30" s="288"/>
      <c r="AA30" s="288"/>
      <c r="AB30" s="288"/>
      <c r="AC30" s="288"/>
      <c r="AD30" s="367"/>
    </row>
    <row r="31" spans="1:30" s="201" customFormat="1" ht="91.5" customHeight="1" x14ac:dyDescent="0.25">
      <c r="A31" s="576"/>
      <c r="B31" s="578"/>
      <c r="C31" s="527"/>
      <c r="D31" s="581"/>
      <c r="E31" s="541"/>
      <c r="F31" s="541"/>
      <c r="G31" s="526"/>
      <c r="H31" s="164" t="s">
        <v>168</v>
      </c>
      <c r="I31" s="164" t="s">
        <v>169</v>
      </c>
      <c r="J31" s="495"/>
      <c r="K31" s="495"/>
      <c r="L31" s="164" t="s">
        <v>170</v>
      </c>
      <c r="M31" s="193">
        <v>3007</v>
      </c>
      <c r="N31" s="164">
        <v>2021</v>
      </c>
      <c r="O31" s="222" t="s">
        <v>29</v>
      </c>
      <c r="P31" s="164">
        <v>0</v>
      </c>
      <c r="Q31" s="219" t="s">
        <v>166</v>
      </c>
      <c r="R31" s="285" t="s">
        <v>206</v>
      </c>
      <c r="S31" s="314"/>
      <c r="T31" s="312"/>
      <c r="U31" s="349"/>
      <c r="V31" s="310"/>
      <c r="W31" s="288"/>
      <c r="X31" s="288"/>
      <c r="Y31" s="288"/>
      <c r="Z31" s="288"/>
      <c r="AA31" s="288"/>
      <c r="AB31" s="288"/>
      <c r="AC31" s="288"/>
      <c r="AD31" s="367"/>
    </row>
    <row r="32" spans="1:30" s="201" customFormat="1" ht="91.5" customHeight="1" x14ac:dyDescent="0.25">
      <c r="A32" s="576"/>
      <c r="B32" s="578"/>
      <c r="C32" s="527"/>
      <c r="D32" s="581"/>
      <c r="E32" s="541"/>
      <c r="F32" s="541"/>
      <c r="G32" s="526"/>
      <c r="H32" s="223" t="s">
        <v>207</v>
      </c>
      <c r="I32" s="224" t="s">
        <v>197</v>
      </c>
      <c r="J32" s="495"/>
      <c r="K32" s="495"/>
      <c r="L32" s="223" t="s">
        <v>122</v>
      </c>
      <c r="M32" s="223">
        <v>0</v>
      </c>
      <c r="N32" s="223" t="s">
        <v>29</v>
      </c>
      <c r="O32" s="224">
        <f>O33</f>
        <v>6</v>
      </c>
      <c r="P32" s="224">
        <f>P33</f>
        <v>20</v>
      </c>
      <c r="Q32" s="225" t="s">
        <v>198</v>
      </c>
      <c r="R32" s="286" t="s">
        <v>199</v>
      </c>
      <c r="S32" s="314"/>
      <c r="T32" s="312"/>
      <c r="U32" s="349"/>
      <c r="V32" s="310"/>
      <c r="W32" s="288"/>
      <c r="X32" s="288"/>
      <c r="Y32" s="288"/>
      <c r="Z32" s="288"/>
      <c r="AA32" s="288"/>
      <c r="AB32" s="288"/>
      <c r="AC32" s="288"/>
      <c r="AD32" s="367"/>
    </row>
    <row r="33" spans="1:30" s="201" customFormat="1" ht="91.5" customHeight="1" x14ac:dyDescent="0.25">
      <c r="A33" s="576"/>
      <c r="B33" s="578"/>
      <c r="C33" s="527"/>
      <c r="D33" s="581"/>
      <c r="E33" s="541"/>
      <c r="F33" s="541"/>
      <c r="G33" s="526"/>
      <c r="H33" s="223" t="s">
        <v>208</v>
      </c>
      <c r="I33" s="224" t="s">
        <v>201</v>
      </c>
      <c r="J33" s="495"/>
      <c r="K33" s="495"/>
      <c r="L33" s="223" t="s">
        <v>122</v>
      </c>
      <c r="M33" s="223">
        <v>0</v>
      </c>
      <c r="N33" s="223" t="s">
        <v>29</v>
      </c>
      <c r="O33" s="223">
        <v>6</v>
      </c>
      <c r="P33" s="224">
        <v>20</v>
      </c>
      <c r="Q33" s="219" t="s">
        <v>166</v>
      </c>
      <c r="R33" s="286" t="s">
        <v>209</v>
      </c>
      <c r="S33" s="314"/>
      <c r="T33" s="312"/>
      <c r="U33" s="349"/>
      <c r="V33" s="310"/>
      <c r="W33" s="288"/>
      <c r="X33" s="288"/>
      <c r="Y33" s="288"/>
      <c r="Z33" s="288"/>
      <c r="AA33" s="288"/>
      <c r="AB33" s="288"/>
      <c r="AC33" s="288"/>
      <c r="AD33" s="367"/>
    </row>
    <row r="34" spans="1:30" s="201" customFormat="1" ht="58.5" customHeight="1" x14ac:dyDescent="0.25">
      <c r="A34" s="576"/>
      <c r="B34" s="578"/>
      <c r="C34" s="527">
        <v>6000000</v>
      </c>
      <c r="D34" s="580" t="s">
        <v>210</v>
      </c>
      <c r="E34" s="541">
        <f>C34*0.05/0.95</f>
        <v>315789.47368421056</v>
      </c>
      <c r="F34" s="541">
        <f>C34+E34</f>
        <v>6315789.4736842103</v>
      </c>
      <c r="G34" s="526">
        <f>F34</f>
        <v>6315789.4736842103</v>
      </c>
      <c r="H34" s="164" t="s">
        <v>176</v>
      </c>
      <c r="I34" s="165" t="s">
        <v>194</v>
      </c>
      <c r="J34" s="495" t="s">
        <v>98</v>
      </c>
      <c r="K34" s="495" t="s">
        <v>27</v>
      </c>
      <c r="L34" s="222" t="s">
        <v>178</v>
      </c>
      <c r="M34" s="222">
        <v>0</v>
      </c>
      <c r="N34" s="222" t="s">
        <v>29</v>
      </c>
      <c r="O34" s="222">
        <v>0</v>
      </c>
      <c r="P34" s="164">
        <v>99</v>
      </c>
      <c r="Q34" s="219" t="s">
        <v>166</v>
      </c>
      <c r="R34" s="532" t="s">
        <v>211</v>
      </c>
      <c r="S34" s="476"/>
      <c r="T34" s="473"/>
      <c r="U34" s="479"/>
      <c r="V34" s="467"/>
      <c r="W34" s="288"/>
      <c r="X34" s="288"/>
      <c r="Y34" s="288"/>
      <c r="Z34" s="288"/>
      <c r="AA34" s="288"/>
      <c r="AB34" s="288"/>
      <c r="AC34" s="288"/>
      <c r="AD34" s="367"/>
    </row>
    <row r="35" spans="1:30" s="201" customFormat="1" ht="44.25" customHeight="1" x14ac:dyDescent="0.25">
      <c r="A35" s="576"/>
      <c r="B35" s="578"/>
      <c r="C35" s="527"/>
      <c r="D35" s="580"/>
      <c r="E35" s="541"/>
      <c r="F35" s="541"/>
      <c r="G35" s="526"/>
      <c r="H35" s="538" t="s">
        <v>163</v>
      </c>
      <c r="I35" s="495" t="s">
        <v>164</v>
      </c>
      <c r="J35" s="495"/>
      <c r="K35" s="495"/>
      <c r="L35" s="538" t="s">
        <v>165</v>
      </c>
      <c r="M35" s="538">
        <v>0</v>
      </c>
      <c r="N35" s="538" t="s">
        <v>29</v>
      </c>
      <c r="O35" s="495">
        <v>0</v>
      </c>
      <c r="P35" s="495">
        <v>11</v>
      </c>
      <c r="Q35" s="581" t="s">
        <v>166</v>
      </c>
      <c r="R35" s="533"/>
      <c r="S35" s="478"/>
      <c r="T35" s="475"/>
      <c r="U35" s="481"/>
      <c r="V35" s="469"/>
      <c r="W35" s="288"/>
      <c r="X35" s="288"/>
      <c r="Y35" s="288"/>
      <c r="Z35" s="288"/>
      <c r="AA35" s="288"/>
      <c r="AB35" s="288"/>
      <c r="AC35" s="288"/>
      <c r="AD35" s="367"/>
    </row>
    <row r="36" spans="1:30" s="201" customFormat="1" ht="120" customHeight="1" x14ac:dyDescent="0.25">
      <c r="A36" s="576"/>
      <c r="B36" s="578"/>
      <c r="C36" s="527"/>
      <c r="D36" s="580"/>
      <c r="E36" s="541"/>
      <c r="F36" s="541"/>
      <c r="G36" s="526"/>
      <c r="H36" s="538"/>
      <c r="I36" s="495"/>
      <c r="J36" s="495"/>
      <c r="K36" s="495"/>
      <c r="L36" s="538"/>
      <c r="M36" s="538"/>
      <c r="N36" s="538"/>
      <c r="O36" s="495"/>
      <c r="P36" s="495"/>
      <c r="Q36" s="581"/>
      <c r="R36" s="533"/>
      <c r="S36" s="477"/>
      <c r="T36" s="474"/>
      <c r="U36" s="480"/>
      <c r="V36" s="468"/>
      <c r="W36" s="288"/>
      <c r="X36" s="288"/>
      <c r="Y36" s="288"/>
      <c r="Z36" s="288"/>
      <c r="AA36" s="288"/>
      <c r="AB36" s="288"/>
      <c r="AC36" s="288"/>
      <c r="AD36" s="367"/>
    </row>
    <row r="37" spans="1:30" s="201" customFormat="1" ht="86.25" customHeight="1" x14ac:dyDescent="0.25">
      <c r="A37" s="576"/>
      <c r="B37" s="578"/>
      <c r="C37" s="527"/>
      <c r="D37" s="580"/>
      <c r="E37" s="541"/>
      <c r="F37" s="541"/>
      <c r="G37" s="526"/>
      <c r="H37" s="164" t="s">
        <v>168</v>
      </c>
      <c r="I37" s="164" t="s">
        <v>169</v>
      </c>
      <c r="J37" s="495"/>
      <c r="K37" s="495"/>
      <c r="L37" s="164" t="s">
        <v>170</v>
      </c>
      <c r="M37" s="193">
        <v>9360</v>
      </c>
      <c r="N37" s="164">
        <v>2021</v>
      </c>
      <c r="O37" s="222" t="s">
        <v>29</v>
      </c>
      <c r="P37" s="193">
        <v>2720</v>
      </c>
      <c r="Q37" s="219" t="s">
        <v>166</v>
      </c>
      <c r="R37" s="285" t="s">
        <v>212</v>
      </c>
      <c r="S37" s="314"/>
      <c r="T37" s="312"/>
      <c r="U37" s="349"/>
      <c r="V37" s="310"/>
      <c r="W37" s="288"/>
      <c r="X37" s="288"/>
      <c r="Y37" s="288"/>
      <c r="Z37" s="288"/>
      <c r="AA37" s="288"/>
      <c r="AB37" s="288"/>
      <c r="AC37" s="288"/>
      <c r="AD37" s="367"/>
    </row>
    <row r="38" spans="1:30" s="201" customFormat="1" ht="86.25" customHeight="1" x14ac:dyDescent="0.25">
      <c r="A38" s="576"/>
      <c r="B38" s="578"/>
      <c r="C38" s="527"/>
      <c r="D38" s="580"/>
      <c r="E38" s="541"/>
      <c r="F38" s="541"/>
      <c r="G38" s="526"/>
      <c r="H38" s="223" t="s">
        <v>176</v>
      </c>
      <c r="I38" s="224" t="s">
        <v>197</v>
      </c>
      <c r="J38" s="495"/>
      <c r="K38" s="495"/>
      <c r="L38" s="223" t="s">
        <v>122</v>
      </c>
      <c r="M38" s="223">
        <v>0</v>
      </c>
      <c r="N38" s="223" t="s">
        <v>29</v>
      </c>
      <c r="O38" s="223">
        <f>O39</f>
        <v>3</v>
      </c>
      <c r="P38" s="224">
        <f>P39</f>
        <v>15</v>
      </c>
      <c r="Q38" s="225" t="s">
        <v>198</v>
      </c>
      <c r="R38" s="286" t="s">
        <v>199</v>
      </c>
      <c r="S38" s="301"/>
      <c r="T38" s="352"/>
      <c r="U38" s="311"/>
      <c r="V38" s="310"/>
      <c r="W38" s="288"/>
      <c r="X38" s="288"/>
      <c r="Y38" s="288"/>
      <c r="Z38" s="288"/>
      <c r="AA38" s="288"/>
      <c r="AB38" s="288"/>
      <c r="AC38" s="288"/>
      <c r="AD38" s="367"/>
    </row>
    <row r="39" spans="1:30" s="201" customFormat="1" ht="115.5" customHeight="1" x14ac:dyDescent="0.25">
      <c r="A39" s="576"/>
      <c r="B39" s="578"/>
      <c r="C39" s="527"/>
      <c r="D39" s="580"/>
      <c r="E39" s="541"/>
      <c r="F39" s="541"/>
      <c r="G39" s="526"/>
      <c r="H39" s="223" t="s">
        <v>176</v>
      </c>
      <c r="I39" s="224" t="s">
        <v>201</v>
      </c>
      <c r="J39" s="495"/>
      <c r="K39" s="495"/>
      <c r="L39" s="223" t="s">
        <v>122</v>
      </c>
      <c r="M39" s="223">
        <v>0</v>
      </c>
      <c r="N39" s="223" t="s">
        <v>29</v>
      </c>
      <c r="O39" s="223">
        <v>3</v>
      </c>
      <c r="P39" s="224">
        <v>15</v>
      </c>
      <c r="Q39" s="225" t="s">
        <v>166</v>
      </c>
      <c r="R39" s="286" t="s">
        <v>213</v>
      </c>
      <c r="S39" s="301"/>
      <c r="T39" s="352"/>
      <c r="U39" s="311"/>
      <c r="V39" s="310"/>
      <c r="W39" s="288"/>
      <c r="X39" s="288"/>
      <c r="Y39" s="288"/>
      <c r="Z39" s="288"/>
      <c r="AA39" s="288"/>
      <c r="AB39" s="288"/>
      <c r="AC39" s="288"/>
      <c r="AD39" s="367"/>
    </row>
    <row r="40" spans="1:30" s="201" customFormat="1" ht="62.25" customHeight="1" x14ac:dyDescent="0.25">
      <c r="A40" s="576"/>
      <c r="B40" s="578"/>
      <c r="C40" s="541">
        <v>31500000</v>
      </c>
      <c r="D40" s="580" t="s">
        <v>214</v>
      </c>
      <c r="E40" s="541">
        <f>C40*0.05/0.95</f>
        <v>1657894.7368421054</v>
      </c>
      <c r="F40" s="541">
        <f>C40+E40</f>
        <v>33157894.736842107</v>
      </c>
      <c r="G40" s="575">
        <f>F40</f>
        <v>33157894.736842107</v>
      </c>
      <c r="H40" s="164" t="s">
        <v>176</v>
      </c>
      <c r="I40" s="165" t="s">
        <v>194</v>
      </c>
      <c r="J40" s="495" t="s">
        <v>171</v>
      </c>
      <c r="K40" s="495" t="s">
        <v>44</v>
      </c>
      <c r="L40" s="222" t="s">
        <v>178</v>
      </c>
      <c r="M40" s="222">
        <v>0</v>
      </c>
      <c r="N40" s="222" t="s">
        <v>29</v>
      </c>
      <c r="O40" s="220">
        <v>0</v>
      </c>
      <c r="P40" s="193">
        <v>521</v>
      </c>
      <c r="Q40" s="219" t="s">
        <v>166</v>
      </c>
      <c r="R40" s="532" t="s">
        <v>215</v>
      </c>
      <c r="S40" s="476"/>
      <c r="T40" s="473"/>
      <c r="U40" s="479"/>
      <c r="V40" s="467"/>
      <c r="W40" s="288"/>
      <c r="X40" s="288"/>
      <c r="Y40" s="288"/>
      <c r="Z40" s="288"/>
      <c r="AA40" s="288"/>
      <c r="AB40" s="288"/>
      <c r="AC40" s="288"/>
      <c r="AD40" s="367"/>
    </row>
    <row r="41" spans="1:30" s="201" customFormat="1" ht="39.75" customHeight="1" x14ac:dyDescent="0.25">
      <c r="A41" s="576"/>
      <c r="B41" s="578"/>
      <c r="C41" s="541"/>
      <c r="D41" s="580"/>
      <c r="E41" s="541"/>
      <c r="F41" s="541"/>
      <c r="G41" s="575"/>
      <c r="H41" s="538" t="s">
        <v>163</v>
      </c>
      <c r="I41" s="495" t="s">
        <v>164</v>
      </c>
      <c r="J41" s="495"/>
      <c r="K41" s="495"/>
      <c r="L41" s="538" t="s">
        <v>172</v>
      </c>
      <c r="M41" s="538">
        <v>0</v>
      </c>
      <c r="N41" s="538" t="s">
        <v>29</v>
      </c>
      <c r="O41" s="495">
        <v>0</v>
      </c>
      <c r="P41" s="495">
        <v>58.5</v>
      </c>
      <c r="Q41" s="581" t="s">
        <v>166</v>
      </c>
      <c r="R41" s="533"/>
      <c r="S41" s="478"/>
      <c r="T41" s="475"/>
      <c r="U41" s="481"/>
      <c r="V41" s="469"/>
      <c r="W41" s="288"/>
      <c r="X41" s="288"/>
      <c r="Y41" s="288"/>
      <c r="Z41" s="288"/>
      <c r="AA41" s="288"/>
      <c r="AB41" s="288"/>
      <c r="AC41" s="288"/>
      <c r="AD41" s="367"/>
    </row>
    <row r="42" spans="1:30" s="201" customFormat="1" ht="164.45" customHeight="1" x14ac:dyDescent="0.25">
      <c r="A42" s="576"/>
      <c r="B42" s="578"/>
      <c r="C42" s="541"/>
      <c r="D42" s="580"/>
      <c r="E42" s="541"/>
      <c r="F42" s="541"/>
      <c r="G42" s="575"/>
      <c r="H42" s="538"/>
      <c r="I42" s="495"/>
      <c r="J42" s="495"/>
      <c r="K42" s="495"/>
      <c r="L42" s="538"/>
      <c r="M42" s="538"/>
      <c r="N42" s="538"/>
      <c r="O42" s="495"/>
      <c r="P42" s="495"/>
      <c r="Q42" s="581"/>
      <c r="R42" s="533"/>
      <c r="S42" s="477"/>
      <c r="T42" s="474"/>
      <c r="U42" s="480"/>
      <c r="V42" s="468"/>
      <c r="W42" s="288"/>
      <c r="X42" s="288"/>
      <c r="Y42" s="288"/>
      <c r="Z42" s="288"/>
      <c r="AA42" s="288"/>
      <c r="AB42" s="288"/>
      <c r="AC42" s="288"/>
      <c r="AD42" s="367"/>
    </row>
    <row r="43" spans="1:30" s="201" customFormat="1" ht="93.75" customHeight="1" x14ac:dyDescent="0.25">
      <c r="A43" s="576"/>
      <c r="B43" s="578"/>
      <c r="C43" s="541"/>
      <c r="D43" s="580"/>
      <c r="E43" s="541"/>
      <c r="F43" s="541"/>
      <c r="G43" s="575"/>
      <c r="H43" s="164" t="s">
        <v>168</v>
      </c>
      <c r="I43" s="164" t="s">
        <v>169</v>
      </c>
      <c r="J43" s="495"/>
      <c r="K43" s="495"/>
      <c r="L43" s="164" t="s">
        <v>170</v>
      </c>
      <c r="M43" s="193">
        <v>51660</v>
      </c>
      <c r="N43" s="164">
        <v>2019</v>
      </c>
      <c r="O43" s="222" t="s">
        <v>29</v>
      </c>
      <c r="P43" s="193">
        <v>14520</v>
      </c>
      <c r="Q43" s="219" t="s">
        <v>166</v>
      </c>
      <c r="R43" s="285" t="s">
        <v>216</v>
      </c>
      <c r="S43" s="314"/>
      <c r="T43" s="312"/>
      <c r="U43" s="349"/>
      <c r="V43" s="310"/>
      <c r="W43" s="288"/>
      <c r="X43" s="288"/>
      <c r="Y43" s="288"/>
      <c r="Z43" s="288"/>
      <c r="AA43" s="288"/>
      <c r="AB43" s="288"/>
      <c r="AC43" s="288"/>
      <c r="AD43" s="367"/>
    </row>
    <row r="44" spans="1:30" s="201" customFormat="1" ht="93.75" customHeight="1" x14ac:dyDescent="0.25">
      <c r="A44" s="576"/>
      <c r="B44" s="578"/>
      <c r="C44" s="541"/>
      <c r="D44" s="580"/>
      <c r="E44" s="541"/>
      <c r="F44" s="541"/>
      <c r="G44" s="575"/>
      <c r="H44" s="223" t="s">
        <v>207</v>
      </c>
      <c r="I44" s="224" t="s">
        <v>197</v>
      </c>
      <c r="J44" s="495"/>
      <c r="K44" s="495"/>
      <c r="L44" s="223" t="s">
        <v>122</v>
      </c>
      <c r="M44" s="223">
        <v>0</v>
      </c>
      <c r="N44" s="223" t="s">
        <v>29</v>
      </c>
      <c r="O44" s="223">
        <f>O45</f>
        <v>2</v>
      </c>
      <c r="P44" s="224">
        <f>P45</f>
        <v>10</v>
      </c>
      <c r="Q44" s="225" t="s">
        <v>198</v>
      </c>
      <c r="R44" s="286" t="s">
        <v>199</v>
      </c>
      <c r="S44" s="314"/>
      <c r="T44" s="312"/>
      <c r="U44" s="349"/>
      <c r="V44" s="310"/>
      <c r="W44" s="288"/>
      <c r="X44" s="288"/>
      <c r="Y44" s="288"/>
      <c r="Z44" s="288"/>
      <c r="AA44" s="288"/>
      <c r="AB44" s="288"/>
      <c r="AC44" s="288"/>
      <c r="AD44" s="367"/>
    </row>
    <row r="45" spans="1:30" s="201" customFormat="1" ht="93.75" customHeight="1" x14ac:dyDescent="0.25">
      <c r="A45" s="576"/>
      <c r="B45" s="578"/>
      <c r="C45" s="541"/>
      <c r="D45" s="580"/>
      <c r="E45" s="541"/>
      <c r="F45" s="541"/>
      <c r="G45" s="575"/>
      <c r="H45" s="223" t="s">
        <v>208</v>
      </c>
      <c r="I45" s="224" t="s">
        <v>201</v>
      </c>
      <c r="J45" s="495"/>
      <c r="K45" s="495"/>
      <c r="L45" s="223" t="s">
        <v>122</v>
      </c>
      <c r="M45" s="223">
        <v>0</v>
      </c>
      <c r="N45" s="223" t="s">
        <v>29</v>
      </c>
      <c r="O45" s="223">
        <v>2</v>
      </c>
      <c r="P45" s="224">
        <v>10</v>
      </c>
      <c r="Q45" s="225" t="s">
        <v>166</v>
      </c>
      <c r="R45" s="286" t="s">
        <v>217</v>
      </c>
      <c r="S45" s="314"/>
      <c r="T45" s="312"/>
      <c r="U45" s="349"/>
      <c r="V45" s="310"/>
      <c r="W45" s="288"/>
      <c r="X45" s="288"/>
      <c r="Y45" s="288"/>
      <c r="Z45" s="288"/>
      <c r="AA45" s="288"/>
      <c r="AB45" s="288"/>
      <c r="AC45" s="288"/>
      <c r="AD45" s="367"/>
    </row>
    <row r="46" spans="1:30" s="201" customFormat="1" ht="134.1" customHeight="1" x14ac:dyDescent="0.25">
      <c r="A46" s="576"/>
      <c r="B46" s="578"/>
      <c r="C46" s="541">
        <v>9375000</v>
      </c>
      <c r="D46" s="578" t="s">
        <v>218</v>
      </c>
      <c r="E46" s="541">
        <f>C46*0.05/0.95</f>
        <v>493421.05263157899</v>
      </c>
      <c r="F46" s="541">
        <f>C46+E46</f>
        <v>9868421.0526315793</v>
      </c>
      <c r="G46" s="575">
        <f>F46</f>
        <v>9868421.0526315793</v>
      </c>
      <c r="H46" s="222" t="s">
        <v>163</v>
      </c>
      <c r="I46" s="164" t="s">
        <v>164</v>
      </c>
      <c r="J46" s="495" t="s">
        <v>98</v>
      </c>
      <c r="K46" s="495" t="s">
        <v>27</v>
      </c>
      <c r="L46" s="222" t="s">
        <v>172</v>
      </c>
      <c r="M46" s="222">
        <v>0</v>
      </c>
      <c r="N46" s="222" t="s">
        <v>29</v>
      </c>
      <c r="O46" s="164">
        <v>2.6</v>
      </c>
      <c r="P46" s="164">
        <v>13</v>
      </c>
      <c r="Q46" s="219" t="s">
        <v>166</v>
      </c>
      <c r="R46" s="284" t="s">
        <v>219</v>
      </c>
      <c r="S46" s="314"/>
      <c r="T46" s="312"/>
      <c r="U46" s="349"/>
      <c r="V46" s="310"/>
      <c r="W46" s="288"/>
      <c r="X46" s="288"/>
      <c r="Y46" s="288"/>
      <c r="Z46" s="288"/>
      <c r="AA46" s="288"/>
      <c r="AB46" s="288"/>
      <c r="AC46" s="288"/>
      <c r="AD46" s="367"/>
    </row>
    <row r="47" spans="1:30" s="201" customFormat="1" ht="68.25" customHeight="1" x14ac:dyDescent="0.25">
      <c r="A47" s="576"/>
      <c r="B47" s="578"/>
      <c r="C47" s="541"/>
      <c r="D47" s="578"/>
      <c r="E47" s="541"/>
      <c r="F47" s="541"/>
      <c r="G47" s="575"/>
      <c r="H47" s="164" t="s">
        <v>168</v>
      </c>
      <c r="I47" s="164" t="s">
        <v>169</v>
      </c>
      <c r="J47" s="495"/>
      <c r="K47" s="495"/>
      <c r="L47" s="164" t="s">
        <v>170</v>
      </c>
      <c r="M47" s="164">
        <v>780</v>
      </c>
      <c r="N47" s="164">
        <v>2019</v>
      </c>
      <c r="O47" s="222" t="s">
        <v>29</v>
      </c>
      <c r="P47" s="164">
        <v>312</v>
      </c>
      <c r="Q47" s="219" t="s">
        <v>166</v>
      </c>
      <c r="R47" s="285" t="s">
        <v>220</v>
      </c>
      <c r="S47" s="314"/>
      <c r="T47" s="312"/>
      <c r="U47" s="349"/>
      <c r="V47" s="310"/>
      <c r="W47" s="288"/>
      <c r="X47" s="288"/>
      <c r="Y47" s="288"/>
      <c r="Z47" s="288"/>
      <c r="AA47" s="288"/>
      <c r="AB47" s="288"/>
      <c r="AC47" s="288"/>
      <c r="AD47" s="367"/>
    </row>
    <row r="48" spans="1:30" s="201" customFormat="1" ht="89.1" customHeight="1" x14ac:dyDescent="0.25">
      <c r="A48" s="576"/>
      <c r="B48" s="578"/>
      <c r="C48" s="541"/>
      <c r="D48" s="578"/>
      <c r="E48" s="541"/>
      <c r="F48" s="541"/>
      <c r="G48" s="575"/>
      <c r="H48" s="223" t="s">
        <v>176</v>
      </c>
      <c r="I48" s="224" t="s">
        <v>197</v>
      </c>
      <c r="J48" s="495"/>
      <c r="K48" s="495"/>
      <c r="L48" s="223" t="s">
        <v>122</v>
      </c>
      <c r="M48" s="223">
        <v>0</v>
      </c>
      <c r="N48" s="223" t="s">
        <v>29</v>
      </c>
      <c r="O48" s="224">
        <f>O49</f>
        <v>2</v>
      </c>
      <c r="P48" s="224">
        <f>P49</f>
        <v>10</v>
      </c>
      <c r="Q48" s="225" t="s">
        <v>198</v>
      </c>
      <c r="R48" s="286" t="s">
        <v>199</v>
      </c>
      <c r="S48" s="301"/>
      <c r="T48" s="352"/>
      <c r="U48" s="311"/>
      <c r="V48" s="310"/>
      <c r="W48" s="288"/>
      <c r="X48" s="288"/>
      <c r="Y48" s="288"/>
      <c r="Z48" s="288"/>
      <c r="AA48" s="288"/>
      <c r="AB48" s="288"/>
      <c r="AC48" s="288"/>
      <c r="AD48" s="367"/>
    </row>
    <row r="49" spans="1:30" s="201" customFormat="1" ht="68.25" customHeight="1" x14ac:dyDescent="0.25">
      <c r="A49" s="576"/>
      <c r="B49" s="578"/>
      <c r="C49" s="541"/>
      <c r="D49" s="578"/>
      <c r="E49" s="541"/>
      <c r="F49" s="541"/>
      <c r="G49" s="575"/>
      <c r="H49" s="223" t="s">
        <v>176</v>
      </c>
      <c r="I49" s="224" t="s">
        <v>201</v>
      </c>
      <c r="J49" s="495"/>
      <c r="K49" s="495"/>
      <c r="L49" s="223" t="s">
        <v>122</v>
      </c>
      <c r="M49" s="223">
        <v>0</v>
      </c>
      <c r="N49" s="223" t="s">
        <v>29</v>
      </c>
      <c r="O49" s="223">
        <v>2</v>
      </c>
      <c r="P49" s="224">
        <v>10</v>
      </c>
      <c r="Q49" s="225" t="s">
        <v>166</v>
      </c>
      <c r="R49" s="286" t="s">
        <v>221</v>
      </c>
      <c r="S49" s="301"/>
      <c r="T49" s="352"/>
      <c r="U49" s="311"/>
      <c r="V49" s="310"/>
      <c r="W49" s="288"/>
      <c r="X49" s="288"/>
      <c r="Y49" s="288"/>
      <c r="Z49" s="288"/>
      <c r="AA49" s="288"/>
      <c r="AB49" s="288"/>
      <c r="AC49" s="288"/>
      <c r="AD49" s="367"/>
    </row>
    <row r="50" spans="1:30" s="201" customFormat="1" ht="133.5" customHeight="1" x14ac:dyDescent="0.25">
      <c r="A50" s="576"/>
      <c r="B50" s="578"/>
      <c r="C50" s="541">
        <v>9375000</v>
      </c>
      <c r="D50" s="578" t="s">
        <v>188</v>
      </c>
      <c r="E50" s="541">
        <f>C50*0.05/0.95</f>
        <v>493421.05263157899</v>
      </c>
      <c r="F50" s="541">
        <f>C50+E50</f>
        <v>9868421.0526315793</v>
      </c>
      <c r="G50" s="575">
        <f>F50</f>
        <v>9868421.0526315793</v>
      </c>
      <c r="H50" s="222" t="s">
        <v>163</v>
      </c>
      <c r="I50" s="164" t="s">
        <v>164</v>
      </c>
      <c r="J50" s="495" t="s">
        <v>171</v>
      </c>
      <c r="K50" s="495" t="s">
        <v>44</v>
      </c>
      <c r="L50" s="222" t="s">
        <v>172</v>
      </c>
      <c r="M50" s="222">
        <v>0</v>
      </c>
      <c r="N50" s="222" t="s">
        <v>29</v>
      </c>
      <c r="O50" s="164">
        <v>2.6</v>
      </c>
      <c r="P50" s="164">
        <v>13</v>
      </c>
      <c r="Q50" s="219" t="s">
        <v>166</v>
      </c>
      <c r="R50" s="284" t="s">
        <v>219</v>
      </c>
      <c r="S50" s="314"/>
      <c r="T50" s="312"/>
      <c r="U50" s="349"/>
      <c r="V50" s="310"/>
      <c r="W50" s="288"/>
      <c r="X50" s="288"/>
      <c r="Y50" s="288"/>
      <c r="Z50" s="288"/>
      <c r="AA50" s="288"/>
      <c r="AB50" s="288"/>
      <c r="AC50" s="288"/>
      <c r="AD50" s="367"/>
    </row>
    <row r="51" spans="1:30" s="201" customFormat="1" ht="68.25" customHeight="1" x14ac:dyDescent="0.25">
      <c r="A51" s="576"/>
      <c r="B51" s="578"/>
      <c r="C51" s="541"/>
      <c r="D51" s="578"/>
      <c r="E51" s="541"/>
      <c r="F51" s="541"/>
      <c r="G51" s="575"/>
      <c r="H51" s="164" t="s">
        <v>168</v>
      </c>
      <c r="I51" s="164" t="s">
        <v>169</v>
      </c>
      <c r="J51" s="495"/>
      <c r="K51" s="495"/>
      <c r="L51" s="164" t="s">
        <v>170</v>
      </c>
      <c r="M51" s="164">
        <v>780</v>
      </c>
      <c r="N51" s="164">
        <v>2021</v>
      </c>
      <c r="O51" s="222" t="s">
        <v>29</v>
      </c>
      <c r="P51" s="164">
        <v>312</v>
      </c>
      <c r="Q51" s="219" t="s">
        <v>166</v>
      </c>
      <c r="R51" s="285" t="s">
        <v>222</v>
      </c>
      <c r="S51" s="314"/>
      <c r="T51" s="312"/>
      <c r="U51" s="349"/>
      <c r="V51" s="310"/>
      <c r="W51" s="288"/>
      <c r="X51" s="288"/>
      <c r="Y51" s="288"/>
      <c r="Z51" s="288"/>
      <c r="AA51" s="288"/>
      <c r="AB51" s="288"/>
      <c r="AC51" s="288"/>
      <c r="AD51" s="367"/>
    </row>
    <row r="52" spans="1:30" s="201" customFormat="1" ht="80.099999999999994" customHeight="1" x14ac:dyDescent="0.25">
      <c r="A52" s="576"/>
      <c r="B52" s="578"/>
      <c r="C52" s="541"/>
      <c r="D52" s="578"/>
      <c r="E52" s="541"/>
      <c r="F52" s="541"/>
      <c r="G52" s="575"/>
      <c r="H52" s="223" t="s">
        <v>207</v>
      </c>
      <c r="I52" s="224" t="s">
        <v>197</v>
      </c>
      <c r="J52" s="495"/>
      <c r="K52" s="495"/>
      <c r="L52" s="223" t="s">
        <v>122</v>
      </c>
      <c r="M52" s="223">
        <v>0</v>
      </c>
      <c r="N52" s="223" t="s">
        <v>29</v>
      </c>
      <c r="O52" s="224">
        <f>O53</f>
        <v>2</v>
      </c>
      <c r="P52" s="224">
        <f>P53</f>
        <v>10</v>
      </c>
      <c r="Q52" s="225" t="s">
        <v>198</v>
      </c>
      <c r="R52" s="286" t="s">
        <v>199</v>
      </c>
      <c r="S52" s="314"/>
      <c r="T52" s="312"/>
      <c r="U52" s="349"/>
      <c r="V52" s="310"/>
      <c r="W52" s="288"/>
      <c r="X52" s="288"/>
      <c r="Y52" s="288"/>
      <c r="Z52" s="288"/>
      <c r="AA52" s="288"/>
      <c r="AB52" s="288"/>
      <c r="AC52" s="288"/>
      <c r="AD52" s="367"/>
    </row>
    <row r="53" spans="1:30" s="201" customFormat="1" ht="91.5" customHeight="1" thickBot="1" x14ac:dyDescent="0.3">
      <c r="A53" s="577"/>
      <c r="B53" s="579"/>
      <c r="C53" s="584"/>
      <c r="D53" s="579"/>
      <c r="E53" s="584"/>
      <c r="F53" s="584"/>
      <c r="G53" s="585"/>
      <c r="H53" s="226" t="s">
        <v>208</v>
      </c>
      <c r="I53" s="227" t="s">
        <v>201</v>
      </c>
      <c r="J53" s="586"/>
      <c r="K53" s="586"/>
      <c r="L53" s="226" t="s">
        <v>122</v>
      </c>
      <c r="M53" s="226">
        <v>0</v>
      </c>
      <c r="N53" s="226" t="s">
        <v>29</v>
      </c>
      <c r="O53" s="226">
        <v>2</v>
      </c>
      <c r="P53" s="227">
        <v>10</v>
      </c>
      <c r="Q53" s="228" t="s">
        <v>166</v>
      </c>
      <c r="R53" s="287" t="s">
        <v>221</v>
      </c>
      <c r="S53" s="314"/>
      <c r="T53" s="312"/>
      <c r="U53" s="349"/>
      <c r="V53" s="310"/>
      <c r="W53" s="288"/>
      <c r="X53" s="288"/>
      <c r="Y53" s="288"/>
      <c r="Z53" s="288"/>
      <c r="AA53" s="288"/>
      <c r="AB53" s="288"/>
      <c r="AC53" s="288"/>
      <c r="AD53" s="367"/>
    </row>
    <row r="54" spans="1:30" s="201" customFormat="1" ht="17.25" customHeight="1" x14ac:dyDescent="0.25">
      <c r="A54" s="233"/>
      <c r="B54" s="232" t="s">
        <v>223</v>
      </c>
      <c r="C54" s="245">
        <f>C8+C12+C15+C18+C22+C29+C40+C50</f>
        <v>110588757</v>
      </c>
      <c r="D54" s="246"/>
      <c r="E54" s="247">
        <f>E8+E12+E15+E18+E22+E29+E40+E50</f>
        <v>5820460.8947368432</v>
      </c>
      <c r="F54" s="247">
        <f>F8+F12+F15+F18+F22+F29+F40+F50</f>
        <v>116409217.89473686</v>
      </c>
      <c r="G54" s="247">
        <f>G8+G12+G15+G18+G22+G29+G40+G50</f>
        <v>113777431.57843935</v>
      </c>
      <c r="H54" s="158"/>
      <c r="I54" s="159"/>
      <c r="J54" s="159"/>
      <c r="K54" s="158"/>
      <c r="L54" s="233"/>
      <c r="M54" s="248">
        <f>SUM(M6:M53)</f>
        <v>329856</v>
      </c>
      <c r="N54" s="234"/>
      <c r="O54" s="249">
        <f>SUM(O6:O53)</f>
        <v>126.97999999999999</v>
      </c>
      <c r="P54" s="250">
        <f>SUM(P6:P53)</f>
        <v>23153.77</v>
      </c>
      <c r="Q54" s="233"/>
      <c r="R54" s="233"/>
      <c r="S54" s="236"/>
      <c r="T54" s="236"/>
      <c r="U54" s="233"/>
    </row>
    <row r="55" spans="1:30" s="201" customFormat="1" ht="14.25" customHeight="1" x14ac:dyDescent="0.25">
      <c r="A55" s="233"/>
      <c r="B55" s="232" t="s">
        <v>98</v>
      </c>
      <c r="C55" s="245">
        <f>C6+C10+C14+C16+C20+C24+C34+C46</f>
        <v>124165619</v>
      </c>
      <c r="D55" s="246"/>
      <c r="E55" s="247">
        <f>E6+E10+E14+E16+E20+E24+E34+E46</f>
        <v>6535033.578947369</v>
      </c>
      <c r="F55" s="247">
        <f>F6+F10+F14+F16+F20+F24+F34+F46</f>
        <v>130700652.57894737</v>
      </c>
      <c r="G55" s="247">
        <f>G6+G10+G14+G16+G20+G24+G34+G46</f>
        <v>125804471.43083385</v>
      </c>
      <c r="H55" s="158"/>
      <c r="I55" s="159"/>
      <c r="J55" s="159"/>
      <c r="K55" s="233"/>
      <c r="L55" s="233"/>
      <c r="M55" s="248"/>
      <c r="N55" s="234"/>
      <c r="O55" s="234"/>
      <c r="P55" s="250"/>
      <c r="Q55" s="233"/>
      <c r="R55" s="233"/>
      <c r="S55" s="236"/>
      <c r="T55" s="236"/>
      <c r="U55" s="233"/>
    </row>
    <row r="56" spans="1:30" x14ac:dyDescent="0.25">
      <c r="A56" s="235"/>
      <c r="B56" s="232"/>
      <c r="C56" s="291">
        <f>SUM(C6:C53)</f>
        <v>234754376</v>
      </c>
      <c r="D56" s="233"/>
      <c r="E56" s="233"/>
      <c r="F56" s="233"/>
      <c r="G56" s="233"/>
      <c r="H56" s="233"/>
      <c r="I56" s="233"/>
      <c r="J56" s="233"/>
      <c r="K56" s="233"/>
      <c r="L56" s="233"/>
      <c r="M56" s="233"/>
      <c r="N56" s="234"/>
      <c r="O56" s="234"/>
      <c r="P56" s="233"/>
      <c r="Q56" s="233"/>
      <c r="R56" s="233"/>
      <c r="S56" s="236"/>
      <c r="T56" s="236"/>
      <c r="U56" s="233"/>
    </row>
    <row r="57" spans="1:30" x14ac:dyDescent="0.25">
      <c r="A57" s="235"/>
      <c r="B57" s="232"/>
      <c r="C57" s="291"/>
      <c r="D57" s="233"/>
      <c r="E57" s="233"/>
      <c r="F57" s="233"/>
      <c r="G57" s="233"/>
      <c r="H57" s="233"/>
      <c r="I57" s="233"/>
      <c r="J57" s="233"/>
      <c r="K57" s="233"/>
      <c r="L57" s="233"/>
      <c r="M57" s="233"/>
      <c r="N57" s="234"/>
      <c r="O57" s="234"/>
      <c r="P57" s="233"/>
      <c r="Q57" s="233"/>
      <c r="R57" s="233"/>
      <c r="S57" s="236"/>
      <c r="T57" s="236"/>
      <c r="U57" s="233"/>
    </row>
    <row r="58" spans="1:30" customFormat="1" ht="31.5" customHeight="1" thickBot="1" x14ac:dyDescent="0.3">
      <c r="A58" t="s">
        <v>224</v>
      </c>
      <c r="S58" s="296"/>
      <c r="T58" s="296"/>
    </row>
    <row r="59" spans="1:30" customFormat="1" ht="44.25" customHeight="1" x14ac:dyDescent="0.25">
      <c r="A59" s="560" t="s">
        <v>225</v>
      </c>
      <c r="B59" s="562" t="s">
        <v>226</v>
      </c>
      <c r="C59" s="564" t="s">
        <v>152</v>
      </c>
      <c r="D59" s="566" t="s">
        <v>3</v>
      </c>
      <c r="E59" s="567"/>
      <c r="F59" s="568"/>
      <c r="G59" s="569" t="s">
        <v>227</v>
      </c>
      <c r="H59" s="571" t="s">
        <v>5</v>
      </c>
      <c r="I59" s="572"/>
      <c r="J59" s="564" t="s">
        <v>153</v>
      </c>
      <c r="K59" s="573" t="s">
        <v>86</v>
      </c>
      <c r="L59" s="564" t="s">
        <v>154</v>
      </c>
      <c r="M59" s="566" t="s">
        <v>84</v>
      </c>
      <c r="N59" s="568"/>
      <c r="O59" s="564" t="s">
        <v>88</v>
      </c>
      <c r="P59" s="564" t="s">
        <v>89</v>
      </c>
      <c r="Q59" s="564" t="s">
        <v>156</v>
      </c>
      <c r="R59" s="587" t="s">
        <v>228</v>
      </c>
      <c r="S59" s="470" t="s">
        <v>321</v>
      </c>
      <c r="T59" s="470" t="s">
        <v>332</v>
      </c>
      <c r="U59" s="589" t="s">
        <v>313</v>
      </c>
      <c r="V59" s="582" t="s">
        <v>343</v>
      </c>
      <c r="W59" s="276"/>
      <c r="X59" s="276"/>
      <c r="Y59" s="276"/>
      <c r="Z59" s="276"/>
      <c r="AA59" s="276"/>
      <c r="AB59" s="276"/>
      <c r="AC59" s="276"/>
      <c r="AD59" s="276"/>
    </row>
    <row r="60" spans="1:30" s="9" customFormat="1" ht="32.25" customHeight="1" thickBot="1" x14ac:dyDescent="0.3">
      <c r="A60" s="561"/>
      <c r="B60" s="563"/>
      <c r="C60" s="565"/>
      <c r="D60" s="167" t="s">
        <v>15</v>
      </c>
      <c r="E60" s="168" t="s">
        <v>229</v>
      </c>
      <c r="F60" s="169" t="s">
        <v>230</v>
      </c>
      <c r="G60" s="570"/>
      <c r="H60" s="355" t="s">
        <v>158</v>
      </c>
      <c r="I60" s="356" t="s">
        <v>159</v>
      </c>
      <c r="J60" s="565"/>
      <c r="K60" s="574"/>
      <c r="L60" s="565"/>
      <c r="M60" s="170" t="s">
        <v>160</v>
      </c>
      <c r="N60" s="170" t="s">
        <v>161</v>
      </c>
      <c r="O60" s="565"/>
      <c r="P60" s="565"/>
      <c r="Q60" s="565"/>
      <c r="R60" s="588"/>
      <c r="S60" s="471"/>
      <c r="T60" s="471"/>
      <c r="U60" s="590"/>
      <c r="V60" s="583"/>
      <c r="W60" s="276"/>
      <c r="X60" s="276"/>
      <c r="Y60" s="276"/>
      <c r="Z60" s="276"/>
      <c r="AA60" s="276"/>
      <c r="AB60" s="276"/>
      <c r="AC60" s="276"/>
      <c r="AD60" s="276"/>
    </row>
    <row r="61" spans="1:30" customFormat="1" ht="86.25" customHeight="1" x14ac:dyDescent="0.25">
      <c r="A61" s="542" t="s">
        <v>231</v>
      </c>
      <c r="B61" s="545">
        <f>C61+E61</f>
        <v>3401475.789473684</v>
      </c>
      <c r="C61" s="545">
        <f>14704300-11472898</f>
        <v>3231402</v>
      </c>
      <c r="D61" s="548" t="s">
        <v>232</v>
      </c>
      <c r="E61" s="551">
        <f>C61*5/95</f>
        <v>170073.78947368421</v>
      </c>
      <c r="F61" s="545">
        <f>C61+E61</f>
        <v>3401475.789473684</v>
      </c>
      <c r="G61" s="545">
        <f>F61</f>
        <v>3401475.789473684</v>
      </c>
      <c r="H61" s="327" t="s">
        <v>207</v>
      </c>
      <c r="I61" s="328" t="s">
        <v>197</v>
      </c>
      <c r="J61" s="554" t="s">
        <v>171</v>
      </c>
      <c r="K61" s="557" t="s">
        <v>44</v>
      </c>
      <c r="L61" s="329" t="s">
        <v>122</v>
      </c>
      <c r="M61" s="329">
        <v>0</v>
      </c>
      <c r="N61" s="329" t="s">
        <v>29</v>
      </c>
      <c r="O61" s="330">
        <v>60</v>
      </c>
      <c r="P61" s="370">
        <v>23</v>
      </c>
      <c r="Q61" s="331" t="s">
        <v>198</v>
      </c>
      <c r="R61" s="332" t="s">
        <v>327</v>
      </c>
      <c r="S61" s="353" t="s">
        <v>328</v>
      </c>
      <c r="T61" s="332" t="s">
        <v>333</v>
      </c>
      <c r="U61" s="376" t="s">
        <v>340</v>
      </c>
      <c r="V61" s="379" t="s">
        <v>344</v>
      </c>
      <c r="W61" s="276"/>
      <c r="X61" s="276"/>
      <c r="Y61" s="276"/>
      <c r="Z61" s="276"/>
      <c r="AA61" s="276"/>
      <c r="AB61" s="276"/>
      <c r="AC61" s="276"/>
      <c r="AD61" s="276"/>
    </row>
    <row r="62" spans="1:30" customFormat="1" ht="162" customHeight="1" x14ac:dyDescent="0.25">
      <c r="A62" s="543"/>
      <c r="B62" s="546"/>
      <c r="C62" s="546"/>
      <c r="D62" s="549"/>
      <c r="E62" s="552"/>
      <c r="F62" s="546"/>
      <c r="G62" s="546"/>
      <c r="H62" s="333" t="s">
        <v>233</v>
      </c>
      <c r="I62" s="216" t="s">
        <v>234</v>
      </c>
      <c r="J62" s="555"/>
      <c r="K62" s="558"/>
      <c r="L62" s="333" t="s">
        <v>122</v>
      </c>
      <c r="M62" s="327">
        <v>0</v>
      </c>
      <c r="N62" s="327" t="s">
        <v>29</v>
      </c>
      <c r="O62" s="334">
        <v>60</v>
      </c>
      <c r="P62" s="371">
        <v>23</v>
      </c>
      <c r="Q62" s="335" t="s">
        <v>198</v>
      </c>
      <c r="R62" s="336" t="s">
        <v>329</v>
      </c>
      <c r="S62" s="297" t="s">
        <v>330</v>
      </c>
      <c r="T62" s="336" t="s">
        <v>334</v>
      </c>
      <c r="U62" s="375" t="s">
        <v>341</v>
      </c>
      <c r="V62" s="276"/>
      <c r="W62" s="276"/>
      <c r="X62" s="276"/>
      <c r="Y62" s="276"/>
      <c r="Z62" s="276"/>
      <c r="AA62" s="276"/>
      <c r="AB62" s="276"/>
      <c r="AC62" s="276"/>
      <c r="AD62" s="276"/>
    </row>
    <row r="63" spans="1:30" customFormat="1" ht="95.25" customHeight="1" thickBot="1" x14ac:dyDescent="0.3">
      <c r="A63" s="544"/>
      <c r="B63" s="547"/>
      <c r="C63" s="547"/>
      <c r="D63" s="550"/>
      <c r="E63" s="553"/>
      <c r="F63" s="547"/>
      <c r="G63" s="547"/>
      <c r="H63" s="337" t="s">
        <v>235</v>
      </c>
      <c r="I63" s="338" t="s">
        <v>236</v>
      </c>
      <c r="J63" s="556"/>
      <c r="K63" s="559"/>
      <c r="L63" s="339" t="s">
        <v>35</v>
      </c>
      <c r="M63" s="337">
        <v>0</v>
      </c>
      <c r="N63" s="337">
        <v>2021</v>
      </c>
      <c r="O63" s="340" t="s">
        <v>29</v>
      </c>
      <c r="P63" s="372">
        <v>50370</v>
      </c>
      <c r="Q63" s="341" t="s">
        <v>30</v>
      </c>
      <c r="R63" s="342" t="s">
        <v>237</v>
      </c>
      <c r="S63" s="354" t="s">
        <v>331</v>
      </c>
      <c r="T63" s="342" t="s">
        <v>335</v>
      </c>
      <c r="U63" s="374" t="s">
        <v>342</v>
      </c>
      <c r="V63" s="276"/>
      <c r="W63" s="276"/>
      <c r="X63" s="276"/>
      <c r="Y63" s="276"/>
      <c r="Z63" s="276"/>
      <c r="AA63" s="276"/>
      <c r="AB63" s="276"/>
      <c r="AC63" s="276"/>
      <c r="AD63" s="276"/>
    </row>
    <row r="64" spans="1:30" customFormat="1" ht="31.5" customHeight="1" x14ac:dyDescent="0.25">
      <c r="A64" s="171"/>
      <c r="B64" s="251" t="s">
        <v>223</v>
      </c>
      <c r="C64" s="252">
        <f>C61</f>
        <v>3231402</v>
      </c>
      <c r="D64" s="253"/>
      <c r="E64" s="253">
        <f>E61</f>
        <v>170073.78947368421</v>
      </c>
      <c r="F64" s="200">
        <f>F61</f>
        <v>3401475.789473684</v>
      </c>
      <c r="G64" s="252">
        <f>G61</f>
        <v>3401475.789473684</v>
      </c>
      <c r="H64" s="172"/>
      <c r="I64" s="173"/>
      <c r="J64" s="174"/>
      <c r="K64" s="175"/>
      <c r="L64" s="174"/>
      <c r="M64" s="254">
        <f>SUM(M61:M63)</f>
        <v>0</v>
      </c>
      <c r="N64" s="254"/>
      <c r="O64" s="251">
        <f>SUM(O61:O63)</f>
        <v>120</v>
      </c>
      <c r="P64" s="246">
        <f>SUM(P61:P63)</f>
        <v>50416</v>
      </c>
      <c r="Q64" s="174"/>
      <c r="R64" s="176"/>
      <c r="S64" s="298"/>
      <c r="T64" s="298"/>
    </row>
    <row r="65" spans="1:21" ht="17.25" customHeight="1" thickBot="1" x14ac:dyDescent="0.3">
      <c r="A65" s="255"/>
      <c r="B65" s="256"/>
      <c r="C65" s="257"/>
      <c r="D65" s="251"/>
      <c r="E65" s="258"/>
      <c r="F65" s="234"/>
      <c r="G65" s="234"/>
      <c r="H65" s="158"/>
      <c r="I65" s="159"/>
      <c r="J65" s="159"/>
      <c r="K65" s="158"/>
      <c r="L65" s="233" t="s">
        <v>238</v>
      </c>
      <c r="M65" s="248">
        <f>M54+M64</f>
        <v>329856</v>
      </c>
      <c r="N65" s="234"/>
      <c r="O65" s="259">
        <f>O54+O64</f>
        <v>246.98</v>
      </c>
      <c r="P65" s="260">
        <f>P54+P64</f>
        <v>73569.77</v>
      </c>
      <c r="Q65" s="233"/>
      <c r="R65" s="233"/>
      <c r="S65" s="236"/>
      <c r="T65" s="236"/>
      <c r="U65" s="233"/>
    </row>
    <row r="66" spans="1:21" ht="72" customHeight="1" x14ac:dyDescent="0.25">
      <c r="A66" s="203" t="s">
        <v>239</v>
      </c>
      <c r="B66" s="204" t="s">
        <v>240</v>
      </c>
      <c r="C66" s="204" t="s">
        <v>241</v>
      </c>
      <c r="D66" s="204" t="s">
        <v>242</v>
      </c>
      <c r="E66" s="204" t="s">
        <v>153</v>
      </c>
      <c r="F66" s="204" t="s">
        <v>86</v>
      </c>
      <c r="G66" s="204" t="s">
        <v>243</v>
      </c>
      <c r="H66" s="204" t="s">
        <v>155</v>
      </c>
      <c r="I66" s="205" t="s">
        <v>244</v>
      </c>
      <c r="J66" s="206" t="s">
        <v>89</v>
      </c>
      <c r="K66" s="205" t="s">
        <v>244</v>
      </c>
      <c r="L66" s="207" t="s">
        <v>245</v>
      </c>
      <c r="M66" s="233"/>
      <c r="N66" s="233"/>
      <c r="O66" s="234"/>
      <c r="P66" s="234"/>
    </row>
    <row r="67" spans="1:21" ht="125.25" customHeight="1" x14ac:dyDescent="0.25">
      <c r="A67" s="150" t="str">
        <f>H6</f>
        <v>RCO22</v>
      </c>
      <c r="B67" s="196" t="str">
        <f>I6</f>
        <v>Additional production capacity for renewable energy (of which: electricity, thermal)(papildomi atsinaujinančiosios energijos gamybos pajėgumai (iš kurių: elektros, šiluminės energijos pajėgumai)</v>
      </c>
      <c r="C67" s="261" t="str">
        <f>L6</f>
        <v xml:space="preserve">MW </v>
      </c>
      <c r="D67" s="237">
        <v>0</v>
      </c>
      <c r="E67" s="239" t="s">
        <v>98</v>
      </c>
      <c r="F67" s="239" t="s">
        <v>27</v>
      </c>
      <c r="G67" s="199" t="s">
        <v>29</v>
      </c>
      <c r="H67" s="262">
        <f>O6+O10+O16+O20+O25+O35+O46</f>
        <v>37.99</v>
      </c>
      <c r="I67" s="262"/>
      <c r="J67" s="359">
        <f>P6+P10+P16+P20+P25+P35+P46</f>
        <v>357.35</v>
      </c>
      <c r="K67" s="202"/>
      <c r="L67" s="208"/>
      <c r="M67" s="233"/>
      <c r="N67" s="233"/>
      <c r="O67" s="234"/>
      <c r="P67" s="234"/>
    </row>
    <row r="68" spans="1:21" ht="110.25" customHeight="1" x14ac:dyDescent="0.25">
      <c r="A68" s="150" t="str">
        <f>H8</f>
        <v>RCO22</v>
      </c>
      <c r="B68" s="196" t="str">
        <f>I8</f>
        <v>Additional production capacity for renewable energy (of which: electricity, thermal)(papildomi atsinaujinančiosios energijos gamybos pajėgumai (iš kurių: elektros, šiluminės energijos pajėgumai)</v>
      </c>
      <c r="C68" s="261" t="str">
        <f>L8</f>
        <v>MW</v>
      </c>
      <c r="D68" s="237">
        <v>0</v>
      </c>
      <c r="E68" s="239" t="s">
        <v>171</v>
      </c>
      <c r="F68" s="239" t="s">
        <v>44</v>
      </c>
      <c r="G68" s="199" t="s">
        <v>29</v>
      </c>
      <c r="H68" s="262">
        <f>O8+O12+O18+O22+O30+O41+O50</f>
        <v>38.99</v>
      </c>
      <c r="I68" s="262"/>
      <c r="J68" s="359">
        <f>P8+P12+P18+P22+P30+P41+P50</f>
        <v>327.05</v>
      </c>
      <c r="K68" s="263"/>
      <c r="L68" s="264"/>
      <c r="M68" s="233"/>
      <c r="N68" s="233"/>
      <c r="O68" s="234"/>
      <c r="P68" s="234"/>
    </row>
    <row r="69" spans="1:21" ht="87" customHeight="1" x14ac:dyDescent="0.25">
      <c r="A69" s="151" t="str">
        <f>H14</f>
        <v>specific output</v>
      </c>
      <c r="B69" s="145" t="str">
        <f>I14</f>
        <v>Solutions for electricity storage (elektros energijos kaupimo sprendimai)</v>
      </c>
      <c r="C69" s="196" t="str">
        <f>L14</f>
        <v>MWh</v>
      </c>
      <c r="D69" s="146">
        <v>0</v>
      </c>
      <c r="E69" s="196" t="s">
        <v>98</v>
      </c>
      <c r="F69" s="196" t="s">
        <v>27</v>
      </c>
      <c r="G69" s="199" t="s">
        <v>29</v>
      </c>
      <c r="H69" s="147">
        <f>O14</f>
        <v>1</v>
      </c>
      <c r="I69" s="147"/>
      <c r="J69" s="360">
        <f>P14</f>
        <v>34.380000000000003</v>
      </c>
      <c r="K69" s="263"/>
      <c r="L69" s="265"/>
      <c r="M69" s="233"/>
      <c r="N69" s="233"/>
      <c r="O69" s="234"/>
      <c r="P69" s="234"/>
    </row>
    <row r="70" spans="1:21" ht="50.25" customHeight="1" x14ac:dyDescent="0.25">
      <c r="A70" s="151" t="str">
        <f>H15</f>
        <v>specific output</v>
      </c>
      <c r="B70" s="145" t="str">
        <f>I15</f>
        <v>Solutions for electricity storage (elektros energijos kaupimo sprendimai)</v>
      </c>
      <c r="C70" s="196" t="str">
        <f>L15</f>
        <v>MWh</v>
      </c>
      <c r="D70" s="146">
        <v>0</v>
      </c>
      <c r="E70" s="196" t="s">
        <v>171</v>
      </c>
      <c r="F70" s="199" t="s">
        <v>44</v>
      </c>
      <c r="G70" s="199" t="s">
        <v>29</v>
      </c>
      <c r="H70" s="146">
        <f>O15</f>
        <v>1</v>
      </c>
      <c r="I70" s="146"/>
      <c r="J70" s="361">
        <f>P15</f>
        <v>3.99</v>
      </c>
      <c r="K70" s="263"/>
      <c r="L70" s="265"/>
      <c r="M70" s="233"/>
      <c r="N70" s="233"/>
      <c r="O70" s="234"/>
      <c r="P70" s="234"/>
    </row>
    <row r="71" spans="1:21" ht="50.25" customHeight="1" x14ac:dyDescent="0.25">
      <c r="A71" s="166" t="str">
        <f>H24</f>
        <v>specific output</v>
      </c>
      <c r="B71" s="165" t="str">
        <f>I24</f>
        <v>solutions for thermal energy storage (šiluminės energijos kaupimo sprendimai)</v>
      </c>
      <c r="C71" s="196" t="str">
        <f>L24</f>
        <v>MWh</v>
      </c>
      <c r="D71" s="146">
        <v>0</v>
      </c>
      <c r="E71" s="196" t="s">
        <v>98</v>
      </c>
      <c r="F71" s="199" t="s">
        <v>27</v>
      </c>
      <c r="G71" s="199" t="s">
        <v>29</v>
      </c>
      <c r="H71" s="193">
        <f>O24+O34</f>
        <v>0</v>
      </c>
      <c r="I71" s="178"/>
      <c r="J71" s="146">
        <f>P24+P34</f>
        <v>107</v>
      </c>
      <c r="K71" s="263"/>
      <c r="L71" s="265"/>
      <c r="M71" s="233"/>
      <c r="N71" s="233"/>
      <c r="O71" s="234"/>
      <c r="P71" s="234"/>
    </row>
    <row r="72" spans="1:21" ht="50.25" customHeight="1" x14ac:dyDescent="0.25">
      <c r="A72" s="166" t="str">
        <f>H29</f>
        <v>specific output</v>
      </c>
      <c r="B72" s="165" t="str">
        <f>I29</f>
        <v>solutions for thermal energy storage (šiluminės energijos kaupimo sprendimai)</v>
      </c>
      <c r="C72" s="196" t="str">
        <f>L29</f>
        <v>MWh</v>
      </c>
      <c r="D72" s="146">
        <v>0</v>
      </c>
      <c r="E72" s="196" t="s">
        <v>171</v>
      </c>
      <c r="F72" s="199" t="s">
        <v>44</v>
      </c>
      <c r="G72" s="199" t="s">
        <v>29</v>
      </c>
      <c r="H72" s="193">
        <f>O29+O40</f>
        <v>0</v>
      </c>
      <c r="I72" s="178"/>
      <c r="J72" s="193">
        <f>P29+P40</f>
        <v>532</v>
      </c>
      <c r="K72" s="263"/>
      <c r="L72" s="265"/>
      <c r="M72" s="233"/>
      <c r="N72" s="233"/>
      <c r="O72" s="234"/>
      <c r="P72" s="234"/>
    </row>
    <row r="73" spans="1:21" ht="71.25" customHeight="1" x14ac:dyDescent="0.25">
      <c r="A73" s="151" t="str">
        <f>H7</f>
        <v>RCR29</v>
      </c>
      <c r="B73" s="196" t="str">
        <f>I7</f>
        <v>Estimated greenhouse gas emissions (numatomas išmetamas šiltnamio efektą sukeliančių dujų kiekis)</v>
      </c>
      <c r="C73" s="239" t="str">
        <f>L7</f>
        <v>tons of CO2eq/year</v>
      </c>
      <c r="D73" s="240">
        <f>M7+M11+M17+M21+M26+M37+M47</f>
        <v>161924</v>
      </c>
      <c r="E73" s="239" t="s">
        <v>98</v>
      </c>
      <c r="F73" s="239" t="s">
        <v>27</v>
      </c>
      <c r="G73" s="239">
        <f>N7</f>
        <v>2021</v>
      </c>
      <c r="H73" s="237" t="s">
        <v>29</v>
      </c>
      <c r="I73" s="237"/>
      <c r="J73" s="237">
        <f>P7+P11+P17+P21+P26+P37+P47</f>
        <v>4901</v>
      </c>
      <c r="K73" s="263"/>
      <c r="L73" s="265"/>
      <c r="M73" s="233"/>
      <c r="N73" s="233"/>
      <c r="O73" s="234"/>
      <c r="P73" s="234"/>
    </row>
    <row r="74" spans="1:21" ht="74.25" customHeight="1" x14ac:dyDescent="0.25">
      <c r="A74" s="151" t="str">
        <f>H9</f>
        <v>RCR29</v>
      </c>
      <c r="B74" s="196" t="str">
        <f>I9</f>
        <v>Estimated greenhouse gas emissions (numatomas išmetamas šiltnamio efektą sukeliančių dujų kiekis)</v>
      </c>
      <c r="C74" s="239" t="str">
        <f>L9</f>
        <v>tons of CO2eq/year</v>
      </c>
      <c r="D74" s="240">
        <f>M9+M13+M19+M23+M31+M43+M51</f>
        <v>167932</v>
      </c>
      <c r="E74" s="196" t="s">
        <v>171</v>
      </c>
      <c r="F74" s="239" t="s">
        <v>44</v>
      </c>
      <c r="G74" s="239">
        <f>N9</f>
        <v>2021</v>
      </c>
      <c r="H74" s="237" t="s">
        <v>29</v>
      </c>
      <c r="I74" s="237"/>
      <c r="J74" s="237">
        <f>P9+P13+P19+P23+P31+P43+P51</f>
        <v>16701</v>
      </c>
      <c r="K74" s="263"/>
      <c r="L74" s="265"/>
      <c r="M74" s="233"/>
      <c r="N74" s="233"/>
      <c r="O74" s="234"/>
      <c r="P74" s="234"/>
    </row>
    <row r="75" spans="1:21" ht="74.25" customHeight="1" x14ac:dyDescent="0.25">
      <c r="A75" s="357" t="str">
        <f>H48</f>
        <v>specific output</v>
      </c>
      <c r="B75" s="164" t="str">
        <f>I27</f>
        <v>Enterprises supported (of which: micro, small, medium, large)(Paramą gavusios įmonės (iš kurių: labai mažos, mažosios, vidutinės ir didelės)</v>
      </c>
      <c r="C75" s="239" t="str">
        <f>L27</f>
        <v>enterprises</v>
      </c>
      <c r="D75" s="238">
        <f>M27</f>
        <v>0</v>
      </c>
      <c r="E75" s="269" t="s">
        <v>98</v>
      </c>
      <c r="F75" s="239" t="s">
        <v>27</v>
      </c>
      <c r="G75" s="239" t="s">
        <v>29</v>
      </c>
      <c r="H75" s="237">
        <f>O27+O38+O48</f>
        <v>14</v>
      </c>
      <c r="I75" s="238">
        <f>H75/2</f>
        <v>7</v>
      </c>
      <c r="J75" s="238">
        <f>P27+P38+P48</f>
        <v>55</v>
      </c>
      <c r="K75" s="238">
        <f>J75/2</f>
        <v>27.5</v>
      </c>
      <c r="L75" s="244" t="s">
        <v>246</v>
      </c>
      <c r="M75" s="233" t="s">
        <v>151</v>
      </c>
      <c r="N75" s="233"/>
      <c r="O75" s="234"/>
      <c r="P75" s="234"/>
    </row>
    <row r="76" spans="1:21" ht="83.25" customHeight="1" x14ac:dyDescent="0.25">
      <c r="A76" s="209" t="str">
        <f t="shared" ref="A76:B77" si="0">H61</f>
        <v>RCO01</v>
      </c>
      <c r="B76" s="195" t="str">
        <f t="shared" si="0"/>
        <v>Enterprises supported (of which: micro, small, medium, large)(Paramą gavusios įmonės (iš kurių: labai mažos, mažosios, vidutinės ir didelės)</v>
      </c>
      <c r="C76" s="239" t="str">
        <f>L61</f>
        <v>enterprises</v>
      </c>
      <c r="D76" s="239">
        <v>0</v>
      </c>
      <c r="E76" s="177" t="s">
        <v>43</v>
      </c>
      <c r="F76" s="239" t="s">
        <v>247</v>
      </c>
      <c r="G76" s="239" t="s">
        <v>29</v>
      </c>
      <c r="H76" s="266">
        <f>O32+O44+O52+O61</f>
        <v>70</v>
      </c>
      <c r="I76" s="266">
        <f>(O32+O44+O52)/2+O62</f>
        <v>65</v>
      </c>
      <c r="J76" s="266">
        <f>P32+P44+P52+P61</f>
        <v>63</v>
      </c>
      <c r="K76" s="377">
        <f>(P32+P44+P52)/2+P61</f>
        <v>43</v>
      </c>
      <c r="L76" s="244" t="s">
        <v>248</v>
      </c>
      <c r="M76" s="267" t="s">
        <v>249</v>
      </c>
      <c r="N76" s="233"/>
      <c r="O76" s="234"/>
      <c r="P76" s="234"/>
    </row>
    <row r="77" spans="1:21" ht="50.25" customHeight="1" x14ac:dyDescent="0.25">
      <c r="A77" s="209" t="str">
        <f t="shared" si="0"/>
        <v>RCO02</v>
      </c>
      <c r="B77" s="195" t="str">
        <f t="shared" si="0"/>
        <v>Enterprises supported by grants (Paramą dotacijomis gavusios įmonės)</v>
      </c>
      <c r="C77" s="239" t="str">
        <f>L62</f>
        <v>enterprises</v>
      </c>
      <c r="D77" s="239">
        <v>0</v>
      </c>
      <c r="E77" s="177" t="s">
        <v>43</v>
      </c>
      <c r="F77" s="239" t="s">
        <v>247</v>
      </c>
      <c r="G77" s="239" t="s">
        <v>29</v>
      </c>
      <c r="H77" s="266">
        <f>O62</f>
        <v>60</v>
      </c>
      <c r="I77" s="266">
        <f>H77</f>
        <v>60</v>
      </c>
      <c r="J77" s="266">
        <f>P62</f>
        <v>23</v>
      </c>
      <c r="K77" s="378">
        <f>J77</f>
        <v>23</v>
      </c>
      <c r="L77" s="268" t="s">
        <v>250</v>
      </c>
      <c r="M77" s="267" t="s">
        <v>224</v>
      </c>
      <c r="N77" s="233"/>
      <c r="O77" s="234"/>
      <c r="P77" s="234"/>
    </row>
    <row r="78" spans="1:21" ht="50.25" customHeight="1" x14ac:dyDescent="0.25">
      <c r="A78" s="209" t="str">
        <f>H49</f>
        <v>specific output</v>
      </c>
      <c r="B78" s="216" t="str">
        <f>I28</f>
        <v>Enterprises supported by financial instruments (Paramą finansiniais instrumentais gavusios įmonės)</v>
      </c>
      <c r="C78" s="239" t="str">
        <f>L28</f>
        <v>enterprises</v>
      </c>
      <c r="D78" s="269">
        <v>0</v>
      </c>
      <c r="E78" s="269" t="s">
        <v>98</v>
      </c>
      <c r="F78" s="269" t="s">
        <v>27</v>
      </c>
      <c r="G78" s="269" t="s">
        <v>29</v>
      </c>
      <c r="H78" s="266">
        <f>O28+O39+O49</f>
        <v>14</v>
      </c>
      <c r="I78" s="266">
        <f>H78/2</f>
        <v>7</v>
      </c>
      <c r="J78" s="266">
        <f>P28+P39+P49</f>
        <v>55</v>
      </c>
      <c r="K78" s="238">
        <f>J78/2</f>
        <v>27.5</v>
      </c>
      <c r="L78" s="244" t="s">
        <v>246</v>
      </c>
      <c r="M78" s="233" t="s">
        <v>151</v>
      </c>
      <c r="N78" s="233"/>
      <c r="O78" s="234"/>
      <c r="P78" s="234"/>
    </row>
    <row r="79" spans="1:21" ht="50.25" customHeight="1" x14ac:dyDescent="0.25">
      <c r="A79" s="209" t="str">
        <f>H33</f>
        <v>RCO03</v>
      </c>
      <c r="B79" s="195" t="str">
        <f>I33</f>
        <v>Enterprises supported by financial instruments (Paramą finansiniais instrumentais gavusios įmonės)</v>
      </c>
      <c r="C79" s="239" t="str">
        <f>L33</f>
        <v>enterprises</v>
      </c>
      <c r="D79" s="239">
        <v>0</v>
      </c>
      <c r="E79" s="358" t="s">
        <v>43</v>
      </c>
      <c r="F79" s="269" t="s">
        <v>247</v>
      </c>
      <c r="G79" s="269" t="s">
        <v>29</v>
      </c>
      <c r="H79" s="266">
        <f>O33+O45+O53</f>
        <v>10</v>
      </c>
      <c r="I79" s="266">
        <f>H79/2</f>
        <v>5</v>
      </c>
      <c r="J79" s="266">
        <f>P33+P45+P53</f>
        <v>40</v>
      </c>
      <c r="K79" s="269">
        <f>J79/2</f>
        <v>20</v>
      </c>
      <c r="L79" s="244" t="s">
        <v>246</v>
      </c>
      <c r="M79" s="233" t="s">
        <v>151</v>
      </c>
      <c r="N79" s="233"/>
      <c r="O79" s="234"/>
      <c r="P79" s="234"/>
    </row>
    <row r="80" spans="1:21" ht="98.25" customHeight="1" thickBot="1" x14ac:dyDescent="0.3">
      <c r="A80" s="210" t="str">
        <f>H63</f>
        <v>RCR31</v>
      </c>
      <c r="B80" s="211" t="str">
        <f>I63</f>
        <v>Production of renewable energy (visas pagamintas atsinaujinančios energijos kiekis (iš kurio: elektros, šiluminės energijos kiekis)</v>
      </c>
      <c r="C80" s="211" t="str">
        <f>L63</f>
        <v>MWh/year</v>
      </c>
      <c r="D80" s="212">
        <f>SUM(N69)</f>
        <v>0</v>
      </c>
      <c r="E80" s="213" t="s">
        <v>43</v>
      </c>
      <c r="F80" s="157" t="s">
        <v>247</v>
      </c>
      <c r="G80" s="212">
        <v>2021</v>
      </c>
      <c r="H80" s="212" t="s">
        <v>29</v>
      </c>
      <c r="I80" s="212"/>
      <c r="J80" s="373">
        <f>P63</f>
        <v>50370</v>
      </c>
      <c r="K80" s="270"/>
      <c r="L80" s="271"/>
      <c r="M80" s="233"/>
      <c r="N80" s="233"/>
      <c r="O80" s="234"/>
      <c r="P80" s="234"/>
    </row>
    <row r="81" spans="1:16" ht="31.5" customHeight="1" x14ac:dyDescent="0.25">
      <c r="A81" s="233"/>
      <c r="B81" s="232"/>
      <c r="C81" s="233"/>
      <c r="D81" s="248">
        <f>SUM(D67:D80)</f>
        <v>329856</v>
      </c>
      <c r="E81" s="233"/>
      <c r="F81" s="233"/>
      <c r="G81" s="233"/>
      <c r="H81" s="232">
        <f>SUM(H67:H80)</f>
        <v>246.98000000000002</v>
      </c>
      <c r="I81" s="248"/>
      <c r="J81" s="250">
        <f>SUM(J67:J80)</f>
        <v>73569.77</v>
      </c>
      <c r="K81" s="233"/>
      <c r="L81" s="233"/>
      <c r="M81" s="233"/>
      <c r="N81" s="234"/>
      <c r="O81" s="234"/>
      <c r="P81" s="233"/>
    </row>
    <row r="82" spans="1:16" ht="50.25" customHeight="1" x14ac:dyDescent="0.25">
      <c r="A82" s="233"/>
      <c r="B82" s="232"/>
      <c r="C82" s="233"/>
      <c r="D82" s="233"/>
      <c r="E82" s="233"/>
      <c r="F82" s="233"/>
      <c r="G82" s="233"/>
      <c r="H82" s="233"/>
      <c r="I82" s="233"/>
      <c r="J82" s="233" t="b">
        <f>J81=P65</f>
        <v>1</v>
      </c>
    </row>
    <row r="83" spans="1:16" ht="50.25" customHeight="1" x14ac:dyDescent="0.25">
      <c r="A83" s="233"/>
      <c r="B83" s="232"/>
      <c r="C83" s="251"/>
      <c r="D83" s="272"/>
      <c r="E83" s="267"/>
      <c r="F83" s="234"/>
      <c r="G83" s="233"/>
      <c r="H83" s="243"/>
      <c r="I83" s="243"/>
      <c r="J83" s="233"/>
    </row>
    <row r="84" spans="1:16" ht="50.25" customHeight="1" x14ac:dyDescent="0.25">
      <c r="A84" s="233"/>
      <c r="B84" s="232"/>
      <c r="C84" s="251"/>
      <c r="D84" s="272"/>
      <c r="E84" s="267"/>
      <c r="F84" s="234"/>
      <c r="G84" s="233"/>
      <c r="H84" s="243"/>
      <c r="I84" s="243"/>
      <c r="J84" s="233"/>
    </row>
    <row r="85" spans="1:16" ht="50.25" customHeight="1" x14ac:dyDescent="0.25">
      <c r="A85" s="233"/>
      <c r="B85" s="232"/>
      <c r="C85" s="251"/>
      <c r="D85" s="272"/>
      <c r="E85" s="267"/>
      <c r="F85" s="234"/>
      <c r="G85" s="233"/>
      <c r="H85" s="243"/>
      <c r="I85" s="243"/>
      <c r="J85" s="233"/>
    </row>
    <row r="86" spans="1:16" ht="50.25" customHeight="1" x14ac:dyDescent="0.25">
      <c r="A86" s="233"/>
      <c r="B86" s="232"/>
      <c r="C86" s="251"/>
      <c r="D86" s="272"/>
      <c r="E86" s="267"/>
      <c r="F86" s="234"/>
      <c r="G86" s="233"/>
      <c r="H86" s="243"/>
      <c r="I86" s="243"/>
      <c r="J86" s="233"/>
    </row>
    <row r="87" spans="1:16" ht="50.25" customHeight="1" x14ac:dyDescent="0.25">
      <c r="A87" s="233"/>
      <c r="B87" s="232"/>
      <c r="C87" s="251"/>
      <c r="D87" s="272"/>
      <c r="E87" s="267"/>
      <c r="F87" s="234"/>
      <c r="G87" s="233"/>
      <c r="H87" s="243"/>
      <c r="I87" s="243"/>
      <c r="J87" s="233"/>
    </row>
    <row r="88" spans="1:16" ht="50.25" customHeight="1" x14ac:dyDescent="0.25">
      <c r="A88" s="233"/>
      <c r="B88" s="232"/>
      <c r="C88" s="251"/>
      <c r="D88" s="272"/>
      <c r="E88" s="267"/>
      <c r="F88" s="234"/>
      <c r="G88" s="233"/>
      <c r="H88" s="243"/>
      <c r="I88" s="243"/>
      <c r="J88" s="163"/>
    </row>
    <row r="89" spans="1:16" ht="50.25" customHeight="1" x14ac:dyDescent="0.25">
      <c r="A89" s="233"/>
      <c r="B89" s="232"/>
      <c r="C89" s="251"/>
      <c r="D89" s="272"/>
      <c r="E89" s="267"/>
      <c r="F89" s="234"/>
      <c r="G89" s="233"/>
      <c r="H89" s="243"/>
      <c r="I89" s="243"/>
      <c r="J89" s="233"/>
    </row>
    <row r="90" spans="1:16" ht="50.25" customHeight="1" x14ac:dyDescent="0.25">
      <c r="A90" s="233"/>
      <c r="B90" s="232"/>
      <c r="C90" s="251"/>
      <c r="D90" s="272"/>
      <c r="E90" s="267"/>
      <c r="F90" s="234"/>
      <c r="G90" s="233"/>
      <c r="H90" s="243"/>
      <c r="I90" s="243"/>
      <c r="J90" s="233"/>
    </row>
    <row r="91" spans="1:16" ht="50.25" customHeight="1" x14ac:dyDescent="0.25">
      <c r="A91" s="160"/>
      <c r="B91" s="161"/>
      <c r="C91" s="160"/>
      <c r="D91" s="160"/>
      <c r="E91" s="162"/>
      <c r="F91" s="162"/>
      <c r="G91" s="162"/>
      <c r="H91" s="162"/>
      <c r="I91" s="160"/>
      <c r="J91" s="233"/>
    </row>
    <row r="92" spans="1:16" ht="50.25" customHeight="1" x14ac:dyDescent="0.25">
      <c r="A92" s="233"/>
      <c r="B92" s="232"/>
      <c r="C92" s="233"/>
      <c r="D92" s="233"/>
      <c r="E92" s="233"/>
      <c r="F92" s="233"/>
      <c r="G92" s="233"/>
      <c r="H92" s="233"/>
      <c r="I92" s="233"/>
      <c r="J92" s="233"/>
    </row>
    <row r="93" spans="1:16" ht="50.25" customHeight="1" x14ac:dyDescent="0.25">
      <c r="A93" s="233"/>
      <c r="B93" s="232"/>
      <c r="C93" s="255"/>
      <c r="D93" s="255"/>
      <c r="E93" s="255"/>
      <c r="F93" s="255"/>
      <c r="G93" s="255"/>
      <c r="H93" s="255"/>
      <c r="I93" s="255"/>
      <c r="J93" s="233"/>
    </row>
    <row r="94" spans="1:16" ht="50.25" customHeight="1" x14ac:dyDescent="0.25">
      <c r="A94" s="233"/>
      <c r="B94" s="232"/>
      <c r="C94" s="233"/>
      <c r="D94" s="233"/>
      <c r="E94" s="233"/>
      <c r="F94" s="233"/>
      <c r="G94" s="233"/>
      <c r="H94" s="233"/>
      <c r="I94" s="233"/>
      <c r="J94" s="233"/>
    </row>
    <row r="95" spans="1:16" ht="50.25" customHeight="1" x14ac:dyDescent="0.25">
      <c r="A95" s="233"/>
      <c r="B95" s="232"/>
      <c r="C95" s="233"/>
      <c r="D95" s="233"/>
      <c r="E95" s="233"/>
      <c r="F95" s="233"/>
      <c r="G95" s="233"/>
      <c r="H95" s="233"/>
      <c r="I95" s="233"/>
      <c r="J95" s="233"/>
    </row>
    <row r="96" spans="1:16" x14ac:dyDescent="0.25">
      <c r="A96" s="233"/>
      <c r="B96" s="232"/>
      <c r="C96" s="243"/>
      <c r="D96" s="233"/>
      <c r="E96" s="233"/>
      <c r="F96" s="233"/>
      <c r="G96" s="233"/>
      <c r="H96" s="233"/>
      <c r="I96" s="233"/>
      <c r="J96" s="233"/>
    </row>
    <row r="97" spans="1:10" x14ac:dyDescent="0.25">
      <c r="A97" s="233"/>
      <c r="B97" s="232"/>
      <c r="C97" s="233"/>
      <c r="D97" s="233"/>
      <c r="E97" s="233"/>
      <c r="F97" s="233"/>
      <c r="G97" s="233"/>
      <c r="H97" s="233"/>
      <c r="I97" s="233"/>
      <c r="J97" s="233"/>
    </row>
    <row r="98" spans="1:10" x14ac:dyDescent="0.25">
      <c r="C98" s="243"/>
    </row>
    <row r="99" spans="1:10" x14ac:dyDescent="0.25">
      <c r="C99" s="233"/>
    </row>
    <row r="100" spans="1:10" x14ac:dyDescent="0.25">
      <c r="C100" s="233"/>
    </row>
    <row r="101" spans="1:10" x14ac:dyDescent="0.25">
      <c r="C101" s="233"/>
    </row>
    <row r="102" spans="1:10" x14ac:dyDescent="0.25">
      <c r="C102" s="233"/>
    </row>
    <row r="103" spans="1:10" x14ac:dyDescent="0.25">
      <c r="C103" s="233"/>
    </row>
    <row r="104" spans="1:10" x14ac:dyDescent="0.25">
      <c r="C104" s="233"/>
    </row>
  </sheetData>
  <mergeCells count="194">
    <mergeCell ref="R40:R42"/>
    <mergeCell ref="Q35:Q36"/>
    <mergeCell ref="K20:K21"/>
    <mergeCell ref="K22:K23"/>
    <mergeCell ref="L41:L42"/>
    <mergeCell ref="M41:M42"/>
    <mergeCell ref="N41:N42"/>
    <mergeCell ref="O41:O42"/>
    <mergeCell ref="P41:P42"/>
    <mergeCell ref="Q41:Q42"/>
    <mergeCell ref="R29:R30"/>
    <mergeCell ref="K46:K49"/>
    <mergeCell ref="K40:K45"/>
    <mergeCell ref="D40:D45"/>
    <mergeCell ref="C40:C45"/>
    <mergeCell ref="H41:H42"/>
    <mergeCell ref="I41:I42"/>
    <mergeCell ref="K12:K13"/>
    <mergeCell ref="J18:J19"/>
    <mergeCell ref="J22:J23"/>
    <mergeCell ref="J16:J17"/>
    <mergeCell ref="D24:D28"/>
    <mergeCell ref="E24:E28"/>
    <mergeCell ref="F24:F28"/>
    <mergeCell ref="G24:G28"/>
    <mergeCell ref="C46:C49"/>
    <mergeCell ref="D46:D49"/>
    <mergeCell ref="E46:E49"/>
    <mergeCell ref="F46:F49"/>
    <mergeCell ref="G46:G49"/>
    <mergeCell ref="J46:J49"/>
    <mergeCell ref="J34:J39"/>
    <mergeCell ref="K34:K39"/>
    <mergeCell ref="E22:E23"/>
    <mergeCell ref="C18:C19"/>
    <mergeCell ref="V59:V60"/>
    <mergeCell ref="C50:C53"/>
    <mergeCell ref="D50:D53"/>
    <mergeCell ref="E50:E53"/>
    <mergeCell ref="F50:F53"/>
    <mergeCell ref="G50:G53"/>
    <mergeCell ref="J50:J53"/>
    <mergeCell ref="K50:K53"/>
    <mergeCell ref="M59:N59"/>
    <mergeCell ref="O59:O60"/>
    <mergeCell ref="P59:P60"/>
    <mergeCell ref="Q59:Q60"/>
    <mergeCell ref="R59:R60"/>
    <mergeCell ref="L59:L60"/>
    <mergeCell ref="U59:U60"/>
    <mergeCell ref="A59:A60"/>
    <mergeCell ref="B59:B60"/>
    <mergeCell ref="C59:C60"/>
    <mergeCell ref="D59:F59"/>
    <mergeCell ref="G59:G60"/>
    <mergeCell ref="H59:I59"/>
    <mergeCell ref="J59:J60"/>
    <mergeCell ref="K59:K60"/>
    <mergeCell ref="E40:E45"/>
    <mergeCell ref="F40:F45"/>
    <mergeCell ref="G40:G45"/>
    <mergeCell ref="A24:A53"/>
    <mergeCell ref="B24:B53"/>
    <mergeCell ref="C34:C39"/>
    <mergeCell ref="D34:D39"/>
    <mergeCell ref="E34:E39"/>
    <mergeCell ref="F34:F39"/>
    <mergeCell ref="G34:G39"/>
    <mergeCell ref="J24:J28"/>
    <mergeCell ref="K24:K28"/>
    <mergeCell ref="C29:C33"/>
    <mergeCell ref="D29:D33"/>
    <mergeCell ref="E29:E33"/>
    <mergeCell ref="J40:J45"/>
    <mergeCell ref="A61:A63"/>
    <mergeCell ref="B61:B63"/>
    <mergeCell ref="C61:C63"/>
    <mergeCell ref="D61:D63"/>
    <mergeCell ref="E61:E63"/>
    <mergeCell ref="F61:F63"/>
    <mergeCell ref="G61:G63"/>
    <mergeCell ref="J61:J63"/>
    <mergeCell ref="K61:K63"/>
    <mergeCell ref="R4:R5"/>
    <mergeCell ref="F16:F17"/>
    <mergeCell ref="G16:G17"/>
    <mergeCell ref="E18:E19"/>
    <mergeCell ref="R34:R36"/>
    <mergeCell ref="P4:P5"/>
    <mergeCell ref="K4:K5"/>
    <mergeCell ref="H4:I4"/>
    <mergeCell ref="I35:I36"/>
    <mergeCell ref="H35:H36"/>
    <mergeCell ref="M4:N4"/>
    <mergeCell ref="Q4:Q5"/>
    <mergeCell ref="J4:J5"/>
    <mergeCell ref="R24:R25"/>
    <mergeCell ref="L35:L36"/>
    <mergeCell ref="M35:M36"/>
    <mergeCell ref="O35:O36"/>
    <mergeCell ref="P35:P36"/>
    <mergeCell ref="O4:O5"/>
    <mergeCell ref="L4:L5"/>
    <mergeCell ref="F29:F33"/>
    <mergeCell ref="N35:N36"/>
    <mergeCell ref="K10:K11"/>
    <mergeCell ref="G20:G21"/>
    <mergeCell ref="J8:J9"/>
    <mergeCell ref="J12:J13"/>
    <mergeCell ref="K6:K7"/>
    <mergeCell ref="K8:K9"/>
    <mergeCell ref="J20:J21"/>
    <mergeCell ref="G29:G33"/>
    <mergeCell ref="J29:J33"/>
    <mergeCell ref="K29:K33"/>
    <mergeCell ref="C24:C28"/>
    <mergeCell ref="F22:F23"/>
    <mergeCell ref="G22:G23"/>
    <mergeCell ref="G6:G7"/>
    <mergeCell ref="F6:F7"/>
    <mergeCell ref="G10:G11"/>
    <mergeCell ref="G12:G13"/>
    <mergeCell ref="F18:F19"/>
    <mergeCell ref="G18:G19"/>
    <mergeCell ref="E16:E17"/>
    <mergeCell ref="E12:E13"/>
    <mergeCell ref="A16:A23"/>
    <mergeCell ref="C6:C7"/>
    <mergeCell ref="D6:D7"/>
    <mergeCell ref="D8:D9"/>
    <mergeCell ref="C8:C9"/>
    <mergeCell ref="E8:E9"/>
    <mergeCell ref="F8:F9"/>
    <mergeCell ref="A6:A15"/>
    <mergeCell ref="E6:E7"/>
    <mergeCell ref="D20:D21"/>
    <mergeCell ref="D22:D23"/>
    <mergeCell ref="C20:C21"/>
    <mergeCell ref="C22:C23"/>
    <mergeCell ref="E20:E21"/>
    <mergeCell ref="D16:D17"/>
    <mergeCell ref="D18:D19"/>
    <mergeCell ref="F20:F21"/>
    <mergeCell ref="C10:C11"/>
    <mergeCell ref="C12:C13"/>
    <mergeCell ref="C16:C17"/>
    <mergeCell ref="V6:V7"/>
    <mergeCell ref="V8:V9"/>
    <mergeCell ref="U4:U5"/>
    <mergeCell ref="V4:V5"/>
    <mergeCell ref="U6:U7"/>
    <mergeCell ref="U8:U9"/>
    <mergeCell ref="A2:I2"/>
    <mergeCell ref="K16:K17"/>
    <mergeCell ref="K18:K19"/>
    <mergeCell ref="C4:C5"/>
    <mergeCell ref="D4:F4"/>
    <mergeCell ref="G4:G5"/>
    <mergeCell ref="G8:G9"/>
    <mergeCell ref="E10:E11"/>
    <mergeCell ref="D10:D11"/>
    <mergeCell ref="A4:A5"/>
    <mergeCell ref="B16:B23"/>
    <mergeCell ref="B6:B15"/>
    <mergeCell ref="B4:B5"/>
    <mergeCell ref="F10:F11"/>
    <mergeCell ref="F12:F13"/>
    <mergeCell ref="D12:D13"/>
    <mergeCell ref="J6:J7"/>
    <mergeCell ref="J10:J11"/>
    <mergeCell ref="V24:V25"/>
    <mergeCell ref="V29:V30"/>
    <mergeCell ref="V34:V36"/>
    <mergeCell ref="V40:V42"/>
    <mergeCell ref="S59:S60"/>
    <mergeCell ref="T4:T5"/>
    <mergeCell ref="T6:T7"/>
    <mergeCell ref="T8:T9"/>
    <mergeCell ref="T24:T25"/>
    <mergeCell ref="T29:T30"/>
    <mergeCell ref="T34:T36"/>
    <mergeCell ref="T40:T42"/>
    <mergeCell ref="T59:T60"/>
    <mergeCell ref="S4:S5"/>
    <mergeCell ref="S24:S25"/>
    <mergeCell ref="S29:S30"/>
    <mergeCell ref="S34:S36"/>
    <mergeCell ref="S40:S42"/>
    <mergeCell ref="S6:S7"/>
    <mergeCell ref="S8:S9"/>
    <mergeCell ref="U24:U25"/>
    <mergeCell ref="U29:U30"/>
    <mergeCell ref="U34:U36"/>
    <mergeCell ref="U40:U42"/>
  </mergeCells>
  <phoneticPr fontId="16" type="noConversion"/>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19"/>
  <sheetViews>
    <sheetView topLeftCell="A16" zoomScale="80" zoomScaleNormal="80" workbookViewId="0">
      <selection activeCell="A5" sqref="A5:A8"/>
    </sheetView>
  </sheetViews>
  <sheetFormatPr defaultRowHeight="15" x14ac:dyDescent="0.25"/>
  <cols>
    <col min="1" max="1" width="18.42578125" style="1" customWidth="1"/>
    <col min="2" max="2" width="20.5703125" style="1" customWidth="1"/>
    <col min="3" max="3" width="43.42578125" style="1" customWidth="1"/>
    <col min="4" max="4" width="17.42578125" style="1" customWidth="1"/>
    <col min="5" max="5" width="20.5703125" style="1" customWidth="1"/>
    <col min="6" max="6" width="13.42578125" style="1" bestFit="1" customWidth="1"/>
    <col min="7" max="7" width="11.42578125" style="1" customWidth="1"/>
    <col min="8" max="8" width="15.5703125" style="1" customWidth="1"/>
    <col min="9" max="9" width="15.85546875" style="1" customWidth="1"/>
    <col min="10" max="10" width="9.140625" style="1"/>
    <col min="11" max="11" width="14.42578125" style="1" customWidth="1"/>
    <col min="12" max="12" width="9.140625" style="1"/>
    <col min="13" max="13" width="8.5703125" style="1" customWidth="1"/>
    <col min="14" max="14" width="11.85546875" style="1" customWidth="1"/>
    <col min="15" max="15" width="11.42578125" style="1" customWidth="1"/>
    <col min="16" max="16" width="17.85546875" style="1" customWidth="1"/>
    <col min="17" max="17" width="0.140625" style="1" customWidth="1"/>
    <col min="18" max="18" width="66.5703125" style="54" customWidth="1"/>
  </cols>
  <sheetData>
    <row r="1" spans="1:19" ht="21" x14ac:dyDescent="0.35">
      <c r="A1" s="2" t="s">
        <v>251</v>
      </c>
      <c r="B1" s="2"/>
      <c r="C1" s="2"/>
      <c r="D1" s="2"/>
      <c r="E1" s="2"/>
      <c r="F1" s="2"/>
      <c r="G1" s="2"/>
      <c r="H1" s="2"/>
      <c r="I1" s="2"/>
      <c r="J1" s="2"/>
      <c r="K1" s="2"/>
      <c r="L1" s="233"/>
      <c r="M1" s="233"/>
      <c r="N1" s="233"/>
      <c r="O1" s="233"/>
      <c r="P1" s="233"/>
      <c r="Q1" s="233"/>
    </row>
    <row r="2" spans="1:19" ht="15.75" thickBot="1" x14ac:dyDescent="0.3">
      <c r="A2" s="233"/>
      <c r="B2" s="233"/>
      <c r="C2" s="233"/>
      <c r="D2" s="233"/>
      <c r="E2" s="233"/>
      <c r="F2" s="233"/>
      <c r="G2" s="233"/>
      <c r="H2" s="233"/>
      <c r="I2" s="233"/>
      <c r="J2" s="233"/>
      <c r="K2" s="233"/>
      <c r="L2" s="233"/>
      <c r="M2" s="233"/>
      <c r="N2" s="233"/>
      <c r="O2" s="233"/>
      <c r="P2" s="233"/>
      <c r="Q2" s="233"/>
    </row>
    <row r="3" spans="1:19" ht="14.85" customHeight="1" thickBot="1" x14ac:dyDescent="0.3">
      <c r="A3" s="593" t="s">
        <v>93</v>
      </c>
      <c r="B3" s="591" t="s">
        <v>252</v>
      </c>
      <c r="C3" s="595" t="s">
        <v>3</v>
      </c>
      <c r="D3" s="596"/>
      <c r="E3" s="597"/>
      <c r="F3" s="598" t="s">
        <v>4</v>
      </c>
      <c r="G3" s="600" t="s">
        <v>5</v>
      </c>
      <c r="H3" s="601"/>
      <c r="I3" s="591" t="s">
        <v>153</v>
      </c>
      <c r="J3" s="615" t="s">
        <v>86</v>
      </c>
      <c r="K3" s="591" t="s">
        <v>154</v>
      </c>
      <c r="L3" s="595" t="s">
        <v>84</v>
      </c>
      <c r="M3" s="597"/>
      <c r="N3" s="591" t="s">
        <v>88</v>
      </c>
      <c r="O3" s="591" t="s">
        <v>89</v>
      </c>
      <c r="P3" s="591" t="s">
        <v>253</v>
      </c>
      <c r="Q3" s="429" t="s">
        <v>13</v>
      </c>
      <c r="R3" s="603" t="s">
        <v>14</v>
      </c>
    </row>
    <row r="4" spans="1:19" ht="75.95" customHeight="1" thickBot="1" x14ac:dyDescent="0.3">
      <c r="A4" s="594"/>
      <c r="B4" s="592"/>
      <c r="C4" s="85" t="s">
        <v>15</v>
      </c>
      <c r="D4" s="86" t="s">
        <v>254</v>
      </c>
      <c r="E4" s="87" t="s">
        <v>255</v>
      </c>
      <c r="F4" s="599"/>
      <c r="G4" s="88" t="s">
        <v>18</v>
      </c>
      <c r="H4" s="88" t="s">
        <v>19</v>
      </c>
      <c r="I4" s="592"/>
      <c r="J4" s="616"/>
      <c r="K4" s="592"/>
      <c r="L4" s="89" t="s">
        <v>160</v>
      </c>
      <c r="M4" s="89" t="s">
        <v>161</v>
      </c>
      <c r="N4" s="592"/>
      <c r="O4" s="592"/>
      <c r="P4" s="592"/>
      <c r="Q4" s="602"/>
      <c r="R4" s="604"/>
    </row>
    <row r="5" spans="1:19" ht="100.5" customHeight="1" x14ac:dyDescent="0.25">
      <c r="A5" s="605" t="s">
        <v>256</v>
      </c>
      <c r="B5" s="607">
        <v>8750000</v>
      </c>
      <c r="C5" s="609" t="s">
        <v>257</v>
      </c>
      <c r="D5" s="607">
        <f>B5</f>
        <v>8750000</v>
      </c>
      <c r="E5" s="611">
        <f>B5+D5</f>
        <v>17500000</v>
      </c>
      <c r="F5" s="613">
        <f>E5</f>
        <v>17500000</v>
      </c>
      <c r="G5" s="37" t="s">
        <v>258</v>
      </c>
      <c r="H5" s="4" t="s">
        <v>259</v>
      </c>
      <c r="I5" s="4" t="s">
        <v>98</v>
      </c>
      <c r="J5" s="4" t="s">
        <v>27</v>
      </c>
      <c r="K5" s="4" t="s">
        <v>260</v>
      </c>
      <c r="L5" s="37">
        <v>26250</v>
      </c>
      <c r="M5" s="37">
        <v>2021</v>
      </c>
      <c r="N5" s="70" t="s">
        <v>29</v>
      </c>
      <c r="O5" s="77">
        <v>26250</v>
      </c>
      <c r="P5" s="77" t="s">
        <v>30</v>
      </c>
      <c r="Q5" s="80" t="s">
        <v>261</v>
      </c>
      <c r="R5" s="59" t="s">
        <v>262</v>
      </c>
      <c r="S5" s="92"/>
    </row>
    <row r="6" spans="1:19" ht="168" customHeight="1" thickBot="1" x14ac:dyDescent="0.3">
      <c r="A6" s="606"/>
      <c r="B6" s="608"/>
      <c r="C6" s="406"/>
      <c r="D6" s="610"/>
      <c r="E6" s="612"/>
      <c r="F6" s="614"/>
      <c r="G6" s="8" t="s">
        <v>69</v>
      </c>
      <c r="H6" s="8" t="s">
        <v>263</v>
      </c>
      <c r="I6" s="8" t="s">
        <v>98</v>
      </c>
      <c r="J6" s="8" t="s">
        <v>27</v>
      </c>
      <c r="K6" s="8" t="s">
        <v>264</v>
      </c>
      <c r="L6" s="76">
        <v>0</v>
      </c>
      <c r="M6" s="76" t="s">
        <v>29</v>
      </c>
      <c r="N6" s="8">
        <v>78</v>
      </c>
      <c r="O6" s="8">
        <v>391</v>
      </c>
      <c r="P6" s="47" t="s">
        <v>30</v>
      </c>
      <c r="Q6" s="66" t="s">
        <v>265</v>
      </c>
      <c r="R6" s="99" t="s">
        <v>266</v>
      </c>
      <c r="S6" s="92"/>
    </row>
    <row r="7" spans="1:19" ht="89.25" customHeight="1" x14ac:dyDescent="0.25">
      <c r="A7" s="606"/>
      <c r="B7" s="612">
        <v>16250000</v>
      </c>
      <c r="C7" s="609" t="s">
        <v>257</v>
      </c>
      <c r="D7" s="607">
        <f>B7</f>
        <v>16250000</v>
      </c>
      <c r="E7" s="611">
        <f>B7+D7</f>
        <v>32500000</v>
      </c>
      <c r="F7" s="625">
        <f>E7</f>
        <v>32500000</v>
      </c>
      <c r="G7" s="52" t="s">
        <v>258</v>
      </c>
      <c r="H7" s="78" t="s">
        <v>259</v>
      </c>
      <c r="I7" s="48" t="s">
        <v>43</v>
      </c>
      <c r="J7" s="48" t="s">
        <v>44</v>
      </c>
      <c r="K7" s="48" t="s">
        <v>260</v>
      </c>
      <c r="L7" s="52">
        <v>50800</v>
      </c>
      <c r="M7" s="52">
        <v>2021</v>
      </c>
      <c r="N7" s="79" t="s">
        <v>29</v>
      </c>
      <c r="O7" s="48">
        <v>50800</v>
      </c>
      <c r="P7" s="96" t="s">
        <v>30</v>
      </c>
      <c r="Q7" s="81" t="s">
        <v>267</v>
      </c>
      <c r="R7" s="97" t="s">
        <v>268</v>
      </c>
      <c r="S7" s="92"/>
    </row>
    <row r="8" spans="1:19" ht="137.25" customHeight="1" thickBot="1" x14ac:dyDescent="0.3">
      <c r="A8" s="606"/>
      <c r="B8" s="612"/>
      <c r="C8" s="406"/>
      <c r="D8" s="610"/>
      <c r="E8" s="612"/>
      <c r="F8" s="614"/>
      <c r="G8" s="8" t="s">
        <v>69</v>
      </c>
      <c r="H8" s="8" t="s">
        <v>263</v>
      </c>
      <c r="I8" s="8" t="s">
        <v>43</v>
      </c>
      <c r="J8" s="8" t="s">
        <v>44</v>
      </c>
      <c r="K8" s="8" t="s">
        <v>264</v>
      </c>
      <c r="L8" s="76">
        <v>0</v>
      </c>
      <c r="M8" s="76" t="s">
        <v>29</v>
      </c>
      <c r="N8" s="8">
        <v>153</v>
      </c>
      <c r="O8" s="8">
        <v>767</v>
      </c>
      <c r="P8" s="8" t="s">
        <v>30</v>
      </c>
      <c r="Q8" s="66" t="s">
        <v>269</v>
      </c>
      <c r="R8" s="98" t="s">
        <v>270</v>
      </c>
      <c r="S8" s="92"/>
    </row>
    <row r="9" spans="1:19" ht="118.5" customHeight="1" x14ac:dyDescent="0.25">
      <c r="A9" s="605" t="s">
        <v>271</v>
      </c>
      <c r="B9" s="611">
        <v>8750000</v>
      </c>
      <c r="C9" s="618" t="s">
        <v>257</v>
      </c>
      <c r="D9" s="620">
        <f>B9</f>
        <v>8750000</v>
      </c>
      <c r="E9" s="622">
        <f>B9+D9</f>
        <v>17500000</v>
      </c>
      <c r="F9" s="625">
        <f>E9</f>
        <v>17500000</v>
      </c>
      <c r="G9" s="52" t="s">
        <v>258</v>
      </c>
      <c r="H9" s="48" t="s">
        <v>259</v>
      </c>
      <c r="I9" s="48" t="s">
        <v>98</v>
      </c>
      <c r="J9" s="48" t="s">
        <v>27</v>
      </c>
      <c r="K9" s="48" t="s">
        <v>260</v>
      </c>
      <c r="L9" s="52">
        <v>28600</v>
      </c>
      <c r="M9" s="52">
        <v>2021</v>
      </c>
      <c r="N9" s="52" t="s">
        <v>29</v>
      </c>
      <c r="O9" s="48">
        <v>28600</v>
      </c>
      <c r="P9" s="48" t="s">
        <v>30</v>
      </c>
      <c r="Q9" s="80" t="s">
        <v>272</v>
      </c>
      <c r="R9" s="95" t="s">
        <v>273</v>
      </c>
      <c r="S9" s="92"/>
    </row>
    <row r="10" spans="1:19" ht="165.75" customHeight="1" thickBot="1" x14ac:dyDescent="0.3">
      <c r="A10" s="606"/>
      <c r="B10" s="608"/>
      <c r="C10" s="619"/>
      <c r="D10" s="621"/>
      <c r="E10" s="623"/>
      <c r="F10" s="614"/>
      <c r="G10" s="47" t="s">
        <v>69</v>
      </c>
      <c r="H10" s="8" t="s">
        <v>263</v>
      </c>
      <c r="I10" s="8" t="s">
        <v>98</v>
      </c>
      <c r="J10" s="8" t="s">
        <v>27</v>
      </c>
      <c r="K10" s="47" t="s">
        <v>264</v>
      </c>
      <c r="L10" s="51">
        <v>0</v>
      </c>
      <c r="M10" s="51" t="s">
        <v>29</v>
      </c>
      <c r="N10" s="47">
        <v>100</v>
      </c>
      <c r="O10" s="47">
        <v>498</v>
      </c>
      <c r="P10" s="47" t="s">
        <v>30</v>
      </c>
      <c r="Q10" s="82" t="s">
        <v>274</v>
      </c>
      <c r="R10" s="94" t="s">
        <v>275</v>
      </c>
    </row>
    <row r="11" spans="1:19" ht="120.75" customHeight="1" x14ac:dyDescent="0.25">
      <c r="A11" s="606"/>
      <c r="B11" s="611">
        <v>16250000</v>
      </c>
      <c r="C11" s="618" t="s">
        <v>257</v>
      </c>
      <c r="D11" s="620">
        <f>B11</f>
        <v>16250000</v>
      </c>
      <c r="E11" s="622">
        <f>B11+D11</f>
        <v>32500000</v>
      </c>
      <c r="F11" s="613">
        <f>E11</f>
        <v>32500000</v>
      </c>
      <c r="G11" s="70" t="s">
        <v>276</v>
      </c>
      <c r="H11" s="48" t="s">
        <v>259</v>
      </c>
      <c r="I11" s="48" t="s">
        <v>43</v>
      </c>
      <c r="J11" s="48" t="s">
        <v>44</v>
      </c>
      <c r="K11" s="77" t="s">
        <v>260</v>
      </c>
      <c r="L11" s="70">
        <v>53104</v>
      </c>
      <c r="M11" s="70">
        <v>2021</v>
      </c>
      <c r="N11" s="70" t="s">
        <v>29</v>
      </c>
      <c r="O11" s="77">
        <v>53104</v>
      </c>
      <c r="P11" s="77" t="s">
        <v>30</v>
      </c>
      <c r="Q11" s="83" t="s">
        <v>277</v>
      </c>
      <c r="R11" s="93" t="s">
        <v>278</v>
      </c>
    </row>
    <row r="12" spans="1:19" ht="213.75" customHeight="1" thickBot="1" x14ac:dyDescent="0.3">
      <c r="A12" s="617"/>
      <c r="B12" s="624"/>
      <c r="C12" s="619"/>
      <c r="D12" s="621"/>
      <c r="E12" s="623"/>
      <c r="F12" s="614"/>
      <c r="G12" s="8" t="s">
        <v>69</v>
      </c>
      <c r="H12" s="8" t="s">
        <v>263</v>
      </c>
      <c r="I12" s="8" t="s">
        <v>43</v>
      </c>
      <c r="J12" s="8" t="s">
        <v>44</v>
      </c>
      <c r="K12" s="47" t="s">
        <v>264</v>
      </c>
      <c r="L12" s="76">
        <v>0</v>
      </c>
      <c r="M12" s="51" t="s">
        <v>29</v>
      </c>
      <c r="N12" s="47">
        <v>185</v>
      </c>
      <c r="O12" s="47">
        <v>925</v>
      </c>
      <c r="P12" s="47" t="s">
        <v>30</v>
      </c>
      <c r="Q12" s="84" t="s">
        <v>279</v>
      </c>
      <c r="R12" s="91" t="s">
        <v>280</v>
      </c>
      <c r="S12" s="92"/>
    </row>
    <row r="13" spans="1:19" ht="130.5" customHeight="1" x14ac:dyDescent="0.25">
      <c r="A13" s="233"/>
      <c r="B13" s="233"/>
      <c r="C13" s="233"/>
      <c r="D13" s="233"/>
      <c r="E13" s="233"/>
      <c r="F13" s="233"/>
      <c r="G13" s="233"/>
      <c r="H13" s="233"/>
      <c r="I13" s="233"/>
      <c r="J13" s="233"/>
      <c r="K13" s="273"/>
      <c r="L13" s="233"/>
      <c r="M13" s="273"/>
      <c r="N13" s="273"/>
      <c r="O13" s="273"/>
      <c r="P13" s="273"/>
      <c r="Q13" s="243"/>
      <c r="R13" s="90"/>
    </row>
    <row r="14" spans="1:19" ht="42" customHeight="1" x14ac:dyDescent="0.25">
      <c r="A14" s="16" t="s">
        <v>81</v>
      </c>
      <c r="B14" s="27" t="s">
        <v>82</v>
      </c>
      <c r="C14" s="16" t="s">
        <v>83</v>
      </c>
      <c r="D14" s="16" t="s">
        <v>84</v>
      </c>
      <c r="E14" s="16" t="s">
        <v>85</v>
      </c>
      <c r="F14" s="16" t="s">
        <v>86</v>
      </c>
      <c r="G14" s="16" t="s">
        <v>87</v>
      </c>
      <c r="H14" s="16" t="s">
        <v>88</v>
      </c>
      <c r="I14" s="16" t="s">
        <v>89</v>
      </c>
      <c r="J14" s="233"/>
      <c r="K14" s="233"/>
      <c r="L14" s="233"/>
      <c r="M14" s="233"/>
      <c r="N14" s="233"/>
      <c r="O14" s="233"/>
      <c r="P14" s="233"/>
      <c r="Q14" s="233"/>
    </row>
    <row r="15" spans="1:19" ht="42" customHeight="1" x14ac:dyDescent="0.25">
      <c r="A15" s="4" t="s">
        <v>69</v>
      </c>
      <c r="B15" s="4" t="s">
        <v>263</v>
      </c>
      <c r="C15" s="4" t="s">
        <v>264</v>
      </c>
      <c r="D15" s="239">
        <v>0</v>
      </c>
      <c r="E15" s="4" t="s">
        <v>98</v>
      </c>
      <c r="F15" s="239" t="s">
        <v>27</v>
      </c>
      <c r="G15" s="239" t="s">
        <v>29</v>
      </c>
      <c r="H15" s="274">
        <f>SUM(N6,N10)</f>
        <v>178</v>
      </c>
      <c r="I15" s="274">
        <f>SUM(O6,O10)</f>
        <v>889</v>
      </c>
      <c r="J15" s="233"/>
      <c r="K15" s="233"/>
      <c r="L15" s="233"/>
      <c r="M15" s="233"/>
      <c r="N15" s="233"/>
      <c r="O15" s="233"/>
      <c r="P15" s="233"/>
      <c r="Q15" s="233"/>
    </row>
    <row r="16" spans="1:19" ht="54.75" customHeight="1" x14ac:dyDescent="0.25">
      <c r="A16" s="4" t="s">
        <v>69</v>
      </c>
      <c r="B16" s="4" t="s">
        <v>263</v>
      </c>
      <c r="C16" s="4" t="s">
        <v>264</v>
      </c>
      <c r="D16" s="239">
        <v>0</v>
      </c>
      <c r="E16" s="4" t="s">
        <v>43</v>
      </c>
      <c r="F16" s="239" t="s">
        <v>44</v>
      </c>
      <c r="G16" s="239" t="s">
        <v>29</v>
      </c>
      <c r="H16" s="274">
        <f>SUM(N8,N12)</f>
        <v>338</v>
      </c>
      <c r="I16" s="274">
        <f>SUM(O8,O12)</f>
        <v>1692</v>
      </c>
      <c r="J16" s="233"/>
      <c r="K16" s="233"/>
      <c r="L16" s="233"/>
      <c r="M16" s="233"/>
      <c r="N16" s="233"/>
      <c r="O16" s="233"/>
      <c r="P16" s="233"/>
      <c r="Q16" s="233"/>
    </row>
    <row r="17" spans="1:9" ht="45.75" customHeight="1" x14ac:dyDescent="0.25">
      <c r="A17" s="239" t="s">
        <v>258</v>
      </c>
      <c r="B17" s="4" t="s">
        <v>259</v>
      </c>
      <c r="C17" s="4" t="s">
        <v>260</v>
      </c>
      <c r="D17" s="274">
        <f>SUM(L5,L9)</f>
        <v>54850</v>
      </c>
      <c r="E17" s="239" t="s">
        <v>281</v>
      </c>
      <c r="F17" s="239" t="s">
        <v>27</v>
      </c>
      <c r="G17" s="239">
        <v>2019</v>
      </c>
      <c r="H17" s="274" t="s">
        <v>29</v>
      </c>
      <c r="I17" s="274">
        <f>SUM(O5,O9)</f>
        <v>54850</v>
      </c>
    </row>
    <row r="18" spans="1:9" ht="55.5" customHeight="1" x14ac:dyDescent="0.25">
      <c r="A18" s="239" t="s">
        <v>258</v>
      </c>
      <c r="B18" s="4" t="s">
        <v>259</v>
      </c>
      <c r="C18" s="4" t="s">
        <v>260</v>
      </c>
      <c r="D18" s="274">
        <f>SUM(L7,L11)</f>
        <v>103904</v>
      </c>
      <c r="E18" s="4" t="s">
        <v>43</v>
      </c>
      <c r="F18" s="239" t="s">
        <v>44</v>
      </c>
      <c r="G18" s="239">
        <v>2019</v>
      </c>
      <c r="H18" s="274" t="s">
        <v>29</v>
      </c>
      <c r="I18" s="274">
        <f>SUM(O7,O11)</f>
        <v>103904</v>
      </c>
    </row>
    <row r="19" spans="1:9" x14ac:dyDescent="0.25">
      <c r="A19" s="275"/>
      <c r="B19" s="243"/>
      <c r="C19" s="233"/>
      <c r="D19" s="233"/>
      <c r="E19" s="233"/>
      <c r="F19" s="233"/>
      <c r="G19" s="233"/>
      <c r="H19" s="233"/>
      <c r="I19" s="233"/>
    </row>
  </sheetData>
  <mergeCells count="36">
    <mergeCell ref="F11:F12"/>
    <mergeCell ref="D7:D8"/>
    <mergeCell ref="E7:E8"/>
    <mergeCell ref="F7:F8"/>
    <mergeCell ref="F9:F10"/>
    <mergeCell ref="A9:A12"/>
    <mergeCell ref="B9:B10"/>
    <mergeCell ref="C9:C10"/>
    <mergeCell ref="D9:D10"/>
    <mergeCell ref="E9:E10"/>
    <mergeCell ref="B11:B12"/>
    <mergeCell ref="C11:C12"/>
    <mergeCell ref="D11:D12"/>
    <mergeCell ref="E11:E12"/>
    <mergeCell ref="Q3:Q4"/>
    <mergeCell ref="R3:R4"/>
    <mergeCell ref="A5:A8"/>
    <mergeCell ref="B5:B6"/>
    <mergeCell ref="C5:C6"/>
    <mergeCell ref="D5:D6"/>
    <mergeCell ref="E5:E6"/>
    <mergeCell ref="F5:F6"/>
    <mergeCell ref="B7:B8"/>
    <mergeCell ref="C7:C8"/>
    <mergeCell ref="J3:J4"/>
    <mergeCell ref="K3:K4"/>
    <mergeCell ref="L3:M3"/>
    <mergeCell ref="N3:N4"/>
    <mergeCell ref="O3:O4"/>
    <mergeCell ref="P3:P4"/>
    <mergeCell ref="I3:I4"/>
    <mergeCell ref="A3:A4"/>
    <mergeCell ref="B3:B4"/>
    <mergeCell ref="C3:E3"/>
    <mergeCell ref="F3:F4"/>
    <mergeCell ref="G3:H3"/>
  </mergeCells>
  <phoneticPr fontId="16"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19"/>
  <sheetViews>
    <sheetView zoomScale="75" zoomScaleNormal="75" workbookViewId="0">
      <selection activeCell="C34" sqref="C34"/>
    </sheetView>
  </sheetViews>
  <sheetFormatPr defaultColWidth="9.140625" defaultRowHeight="15.75" x14ac:dyDescent="0.25"/>
  <cols>
    <col min="1" max="1" width="9.140625" style="191"/>
    <col min="2" max="2" width="37.85546875" style="181" customWidth="1"/>
    <col min="3" max="3" width="75.42578125" style="181" customWidth="1"/>
    <col min="4" max="4" width="36.85546875" style="191" customWidth="1"/>
    <col min="5" max="16384" width="9.140625" style="181"/>
  </cols>
  <sheetData>
    <row r="1" spans="1:3" s="181" customFormat="1" x14ac:dyDescent="0.25">
      <c r="A1" s="179" t="s">
        <v>282</v>
      </c>
      <c r="B1" s="180" t="s">
        <v>283</v>
      </c>
      <c r="C1" s="180" t="s">
        <v>284</v>
      </c>
    </row>
    <row r="2" spans="1:3" s="181" customFormat="1" x14ac:dyDescent="0.25">
      <c r="A2" s="182">
        <v>1</v>
      </c>
      <c r="B2" s="183" t="s">
        <v>239</v>
      </c>
      <c r="C2" s="184" t="s">
        <v>285</v>
      </c>
    </row>
    <row r="3" spans="1:3" s="181" customFormat="1" x14ac:dyDescent="0.25">
      <c r="A3" s="182">
        <f>A2+1</f>
        <v>2</v>
      </c>
      <c r="B3" s="183" t="s">
        <v>240</v>
      </c>
      <c r="C3" s="185" t="s">
        <v>286</v>
      </c>
    </row>
    <row r="4" spans="1:3" s="181" customFormat="1" x14ac:dyDescent="0.25">
      <c r="A4" s="182">
        <f t="shared" ref="A4:A19" si="0">A3+1</f>
        <v>3</v>
      </c>
      <c r="B4" s="183" t="s">
        <v>83</v>
      </c>
      <c r="C4" s="184" t="s">
        <v>178</v>
      </c>
    </row>
    <row r="5" spans="1:3" s="181" customFormat="1" x14ac:dyDescent="0.25">
      <c r="A5" s="182">
        <f t="shared" si="0"/>
        <v>4</v>
      </c>
      <c r="B5" s="183" t="s">
        <v>287</v>
      </c>
      <c r="C5" s="184" t="s">
        <v>288</v>
      </c>
    </row>
    <row r="6" spans="1:3" s="181" customFormat="1" x14ac:dyDescent="0.25">
      <c r="A6" s="182">
        <f t="shared" si="0"/>
        <v>5</v>
      </c>
      <c r="B6" s="183" t="s">
        <v>84</v>
      </c>
      <c r="C6" s="186">
        <v>0</v>
      </c>
    </row>
    <row r="7" spans="1:3" s="181" customFormat="1" x14ac:dyDescent="0.25">
      <c r="A7" s="182">
        <f t="shared" si="0"/>
        <v>6</v>
      </c>
      <c r="B7" s="183" t="s">
        <v>88</v>
      </c>
      <c r="C7" s="187" t="s">
        <v>289</v>
      </c>
    </row>
    <row r="8" spans="1:3" s="181" customFormat="1" x14ac:dyDescent="0.25">
      <c r="A8" s="182">
        <f t="shared" si="0"/>
        <v>7</v>
      </c>
      <c r="B8" s="183" t="s">
        <v>89</v>
      </c>
      <c r="C8" s="187" t="s">
        <v>290</v>
      </c>
    </row>
    <row r="9" spans="1:3" s="181" customFormat="1" x14ac:dyDescent="0.25">
      <c r="A9" s="182">
        <f t="shared" si="0"/>
        <v>8</v>
      </c>
      <c r="B9" s="183" t="s">
        <v>291</v>
      </c>
      <c r="C9" s="184" t="s">
        <v>292</v>
      </c>
    </row>
    <row r="10" spans="1:3" s="181" customFormat="1" x14ac:dyDescent="0.25">
      <c r="A10" s="182">
        <f t="shared" si="0"/>
        <v>9</v>
      </c>
      <c r="B10" s="183" t="s">
        <v>293</v>
      </c>
      <c r="C10" s="184" t="s">
        <v>294</v>
      </c>
    </row>
    <row r="11" spans="1:3" s="181" customFormat="1" x14ac:dyDescent="0.25">
      <c r="A11" s="182">
        <f t="shared" si="0"/>
        <v>10</v>
      </c>
      <c r="B11" s="183" t="s">
        <v>295</v>
      </c>
      <c r="C11" s="188" t="s">
        <v>296</v>
      </c>
    </row>
    <row r="12" spans="1:3" s="181" customFormat="1" x14ac:dyDescent="0.25">
      <c r="A12" s="182">
        <f t="shared" si="0"/>
        <v>11</v>
      </c>
      <c r="B12" s="183" t="s">
        <v>297</v>
      </c>
      <c r="C12" s="187" t="s">
        <v>30</v>
      </c>
    </row>
    <row r="13" spans="1:3" s="181" customFormat="1" x14ac:dyDescent="0.25">
      <c r="A13" s="182">
        <f t="shared" si="0"/>
        <v>12</v>
      </c>
      <c r="B13" s="183" t="s">
        <v>298</v>
      </c>
      <c r="C13" s="184" t="s">
        <v>299</v>
      </c>
    </row>
    <row r="14" spans="1:3" s="181" customFormat="1" x14ac:dyDescent="0.25">
      <c r="A14" s="182">
        <f t="shared" si="0"/>
        <v>13</v>
      </c>
      <c r="B14" s="183" t="s">
        <v>300</v>
      </c>
      <c r="C14" s="189"/>
    </row>
    <row r="15" spans="1:3" s="181" customFormat="1" ht="31.5" x14ac:dyDescent="0.25">
      <c r="A15" s="182">
        <f t="shared" si="0"/>
        <v>14</v>
      </c>
      <c r="B15" s="183" t="s">
        <v>301</v>
      </c>
      <c r="C15" s="190" t="s">
        <v>302</v>
      </c>
    </row>
    <row r="16" spans="1:3" s="181" customFormat="1" x14ac:dyDescent="0.25">
      <c r="A16" s="182">
        <f t="shared" si="0"/>
        <v>15</v>
      </c>
      <c r="B16" s="183" t="s">
        <v>303</v>
      </c>
      <c r="C16" s="189"/>
    </row>
    <row r="17" spans="1:17" x14ac:dyDescent="0.25">
      <c r="A17" s="182">
        <f t="shared" si="0"/>
        <v>16</v>
      </c>
      <c r="B17" s="183" t="s">
        <v>304</v>
      </c>
      <c r="C17" s="184"/>
    </row>
    <row r="18" spans="1:17" x14ac:dyDescent="0.25">
      <c r="A18" s="182">
        <f>A17+1</f>
        <v>17</v>
      </c>
      <c r="B18" s="183" t="s">
        <v>305</v>
      </c>
      <c r="C18" s="189"/>
      <c r="M18" s="192"/>
      <c r="N18" s="192"/>
      <c r="O18" s="192"/>
      <c r="P18" s="192"/>
      <c r="Q18" s="192"/>
    </row>
    <row r="19" spans="1:17" x14ac:dyDescent="0.25">
      <c r="A19" s="182">
        <f t="shared" si="0"/>
        <v>18</v>
      </c>
      <c r="B19" s="183" t="s">
        <v>306</v>
      </c>
      <c r="C19" s="184"/>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9"/>
  <sheetViews>
    <sheetView zoomScale="75" zoomScaleNormal="75" workbookViewId="0">
      <selection activeCell="C25" sqref="C25"/>
    </sheetView>
  </sheetViews>
  <sheetFormatPr defaultColWidth="9.140625" defaultRowHeight="15.75" x14ac:dyDescent="0.25"/>
  <cols>
    <col min="1" max="1" width="9.140625" style="191"/>
    <col min="2" max="2" width="37.85546875" style="181" customWidth="1"/>
    <col min="3" max="3" width="75.42578125" style="181" customWidth="1"/>
    <col min="4" max="4" width="36.85546875" style="191" customWidth="1"/>
    <col min="5" max="16384" width="9.140625" style="181"/>
  </cols>
  <sheetData>
    <row r="1" spans="1:4" x14ac:dyDescent="0.25">
      <c r="A1" s="179" t="s">
        <v>282</v>
      </c>
      <c r="B1" s="180" t="s">
        <v>283</v>
      </c>
      <c r="C1" s="180" t="s">
        <v>284</v>
      </c>
      <c r="D1" s="181"/>
    </row>
    <row r="2" spans="1:4" x14ac:dyDescent="0.25">
      <c r="A2" s="182">
        <v>1</v>
      </c>
      <c r="B2" s="183" t="s">
        <v>239</v>
      </c>
      <c r="C2" s="184" t="s">
        <v>285</v>
      </c>
      <c r="D2" s="181"/>
    </row>
    <row r="3" spans="1:4" x14ac:dyDescent="0.25">
      <c r="A3" s="182">
        <f>A2+1</f>
        <v>2</v>
      </c>
      <c r="B3" s="183" t="s">
        <v>240</v>
      </c>
      <c r="C3" s="185" t="s">
        <v>307</v>
      </c>
      <c r="D3" s="181"/>
    </row>
    <row r="4" spans="1:4" x14ac:dyDescent="0.25">
      <c r="A4" s="182">
        <f t="shared" ref="A4:A19" si="0">A3+1</f>
        <v>3</v>
      </c>
      <c r="B4" s="183" t="s">
        <v>83</v>
      </c>
      <c r="C4" s="184" t="s">
        <v>178</v>
      </c>
      <c r="D4" s="181"/>
    </row>
    <row r="5" spans="1:4" x14ac:dyDescent="0.25">
      <c r="A5" s="182">
        <f t="shared" si="0"/>
        <v>4</v>
      </c>
      <c r="B5" s="183" t="s">
        <v>287</v>
      </c>
      <c r="C5" s="184" t="s">
        <v>288</v>
      </c>
      <c r="D5" s="181"/>
    </row>
    <row r="6" spans="1:4" x14ac:dyDescent="0.25">
      <c r="A6" s="182">
        <f t="shared" si="0"/>
        <v>5</v>
      </c>
      <c r="B6" s="183" t="s">
        <v>84</v>
      </c>
      <c r="C6" s="186">
        <v>0</v>
      </c>
      <c r="D6" s="181"/>
    </row>
    <row r="7" spans="1:4" x14ac:dyDescent="0.25">
      <c r="A7" s="182">
        <f t="shared" si="0"/>
        <v>6</v>
      </c>
      <c r="B7" s="183" t="s">
        <v>88</v>
      </c>
      <c r="C7" s="187" t="s">
        <v>289</v>
      </c>
      <c r="D7" s="181"/>
    </row>
    <row r="8" spans="1:4" x14ac:dyDescent="0.25">
      <c r="A8" s="182">
        <f t="shared" si="0"/>
        <v>7</v>
      </c>
      <c r="B8" s="183" t="s">
        <v>89</v>
      </c>
      <c r="C8" s="187" t="s">
        <v>290</v>
      </c>
      <c r="D8" s="181"/>
    </row>
    <row r="9" spans="1:4" x14ac:dyDescent="0.25">
      <c r="A9" s="182">
        <f t="shared" si="0"/>
        <v>8</v>
      </c>
      <c r="B9" s="183" t="s">
        <v>291</v>
      </c>
      <c r="C9" s="184" t="s">
        <v>292</v>
      </c>
      <c r="D9" s="181"/>
    </row>
    <row r="10" spans="1:4" x14ac:dyDescent="0.25">
      <c r="A10" s="182">
        <f t="shared" si="0"/>
        <v>9</v>
      </c>
      <c r="B10" s="183" t="s">
        <v>293</v>
      </c>
      <c r="C10" s="184" t="s">
        <v>294</v>
      </c>
      <c r="D10" s="181"/>
    </row>
    <row r="11" spans="1:4" ht="31.5" x14ac:dyDescent="0.25">
      <c r="A11" s="182">
        <f t="shared" si="0"/>
        <v>10</v>
      </c>
      <c r="B11" s="183" t="s">
        <v>295</v>
      </c>
      <c r="C11" s="215" t="s">
        <v>308</v>
      </c>
      <c r="D11" s="214"/>
    </row>
    <row r="12" spans="1:4" x14ac:dyDescent="0.25">
      <c r="A12" s="182">
        <f t="shared" si="0"/>
        <v>11</v>
      </c>
      <c r="B12" s="183" t="s">
        <v>297</v>
      </c>
      <c r="C12" s="187" t="s">
        <v>30</v>
      </c>
      <c r="D12" s="181"/>
    </row>
    <row r="13" spans="1:4" x14ac:dyDescent="0.25">
      <c r="A13" s="182">
        <f t="shared" si="0"/>
        <v>12</v>
      </c>
      <c r="B13" s="183" t="s">
        <v>298</v>
      </c>
      <c r="C13" s="184" t="s">
        <v>299</v>
      </c>
      <c r="D13" s="181"/>
    </row>
    <row r="14" spans="1:4" x14ac:dyDescent="0.25">
      <c r="A14" s="182">
        <f t="shared" si="0"/>
        <v>13</v>
      </c>
      <c r="B14" s="183" t="s">
        <v>300</v>
      </c>
      <c r="C14" s="189"/>
      <c r="D14" s="181"/>
    </row>
    <row r="15" spans="1:4" ht="31.5" x14ac:dyDescent="0.25">
      <c r="A15" s="182">
        <f t="shared" si="0"/>
        <v>14</v>
      </c>
      <c r="B15" s="183" t="s">
        <v>301</v>
      </c>
      <c r="C15" s="190" t="s">
        <v>302</v>
      </c>
      <c r="D15" s="181"/>
    </row>
    <row r="16" spans="1:4" x14ac:dyDescent="0.25">
      <c r="A16" s="182">
        <f t="shared" si="0"/>
        <v>15</v>
      </c>
      <c r="B16" s="183" t="s">
        <v>303</v>
      </c>
      <c r="C16" s="189"/>
      <c r="D16" s="181"/>
    </row>
    <row r="17" spans="1:17" x14ac:dyDescent="0.25">
      <c r="A17" s="182">
        <f t="shared" si="0"/>
        <v>16</v>
      </c>
      <c r="B17" s="183" t="s">
        <v>304</v>
      </c>
      <c r="C17" s="184"/>
    </row>
    <row r="18" spans="1:17" x14ac:dyDescent="0.25">
      <c r="A18" s="182">
        <f>A17+1</f>
        <v>17</v>
      </c>
      <c r="B18" s="183" t="s">
        <v>305</v>
      </c>
      <c r="C18" s="189"/>
      <c r="M18" s="192"/>
      <c r="N18" s="192"/>
      <c r="O18" s="192"/>
      <c r="P18" s="192"/>
      <c r="Q18" s="192"/>
    </row>
    <row r="19" spans="1:17" x14ac:dyDescent="0.25">
      <c r="A19" s="182">
        <f t="shared" si="0"/>
        <v>18</v>
      </c>
      <c r="B19" s="183" t="s">
        <v>306</v>
      </c>
      <c r="C19" s="1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CEEC09998B21144E8648D4F5A3350EFB" ma:contentTypeVersion="14" ma:contentTypeDescription="Kurkite naują dokumentą." ma:contentTypeScope="" ma:versionID="b648d44df276142aac49f77d4b739630">
  <xsd:schema xmlns:xsd="http://www.w3.org/2001/XMLSchema" xmlns:xs="http://www.w3.org/2001/XMLSchema" xmlns:p="http://schemas.microsoft.com/office/2006/metadata/properties" xmlns:ns3="7e1cde7d-1d3d-42a6-b142-3e8b75033348" xmlns:ns4="d2426d7b-0fc7-434c-bfb8-842f1e3498f8" targetNamespace="http://schemas.microsoft.com/office/2006/metadata/properties" ma:root="true" ma:fieldsID="67fa67e73eb449c2ad27a6c3488f0e5d" ns3:_="" ns4:_="">
    <xsd:import namespace="7e1cde7d-1d3d-42a6-b142-3e8b75033348"/>
    <xsd:import namespace="d2426d7b-0fc7-434c-bfb8-842f1e3498f8"/>
    <xsd:element name="properties">
      <xsd:complexType>
        <xsd:sequence>
          <xsd:element name="documentManagement">
            <xsd:complexType>
              <xsd:all>
                <xsd:element ref="ns3:SharedWithUsers" minOccurs="0"/>
                <xsd:element ref="ns3:SharedWithDetails" minOccurs="0"/>
                <xsd:element ref="ns3:SharingHintHash" minOccurs="0"/>
                <xsd:element ref="ns3:LastSharedByUser" minOccurs="0"/>
                <xsd:element ref="ns3:LastSharedByTime" minOccurs="0"/>
                <xsd:element ref="ns4:MediaServiceMetadata" minOccurs="0"/>
                <xsd:element ref="ns4:MediaServiceFastMetadata" minOccurs="0"/>
                <xsd:element ref="ns4:MediaServiceAutoTags" minOccurs="0"/>
                <xsd:element ref="ns4:MediaServiceDateTaken" minOccurs="0"/>
                <xsd:element ref="ns4:MediaServiceOCR" minOccurs="0"/>
                <xsd:element ref="ns4:MediaServiceGenerationTime" minOccurs="0"/>
                <xsd:element ref="ns4:MediaServiceEventHashCode"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cde7d-1d3d-42a6-b142-3e8b75033348" elementFormDefault="qualified">
    <xsd:import namespace="http://schemas.microsoft.com/office/2006/documentManagement/types"/>
    <xsd:import namespace="http://schemas.microsoft.com/office/infopath/2007/PartnerControls"/>
    <xsd:element name="SharedWithUsers" ma:index="8" nillable="true" ma:displayName="Bendrinama su"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description="" ma:internalName="SharedWithDetails" ma:readOnly="true">
      <xsd:simpleType>
        <xsd:restriction base="dms:Note">
          <xsd:maxLength value="255"/>
        </xsd:restriction>
      </xsd:simpleType>
    </xsd:element>
    <xsd:element name="SharingHintHash" ma:index="10" nillable="true" ma:displayName="Bendrinimo užuominos maiša" ma:description="" ma:hidden="true" ma:internalName="SharingHintHash" ma:readOnly="true">
      <xsd:simpleType>
        <xsd:restriction base="dms:Text"/>
      </xsd:simpleType>
    </xsd:element>
    <xsd:element name="LastSharedByUser" ma:index="11" nillable="true" ma:displayName="Paskutinį kartą bendrinta pagal vartotoją" ma:description="" ma:internalName="LastSharedByUser" ma:readOnly="true">
      <xsd:simpleType>
        <xsd:restriction base="dms:Note">
          <xsd:maxLength value="255"/>
        </xsd:restriction>
      </xsd:simpleType>
    </xsd:element>
    <xsd:element name="LastSharedByTime" ma:index="12" nillable="true" ma:displayName="Paskutinį kartą bendrinta pagal laiką"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d2426d7b-0fc7-434c-bfb8-842f1e3498f8" elementFormDefault="qualified">
    <xsd:import namespace="http://schemas.microsoft.com/office/2006/documentManagement/types"/>
    <xsd:import namespace="http://schemas.microsoft.com/office/infopath/2007/PartnerControls"/>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750B916-2488-43D2-8BF8-930DBC63F1D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BF14CE1-BFCD-4474-8232-9AC7973BA99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cde7d-1d3d-42a6-b142-3e8b75033348"/>
    <ds:schemaRef ds:uri="d2426d7b-0fc7-434c-bfb8-842f1e3498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01328FB-344B-49E6-80F0-5AD1B8E393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2PO 2.1 (e)</vt:lpstr>
      <vt:lpstr>2PO 2.1 (eng)</vt:lpstr>
      <vt:lpstr>2PO 2.2</vt:lpstr>
      <vt:lpstr>2PO 2.3 (eng)</vt:lpstr>
      <vt:lpstr>F Specific output 2.2.3 (1)</vt:lpstr>
      <vt:lpstr>F Specific output 2.2.1 (1)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2025-12-15T14:50:52Z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0x010100CEEC09998B21144E8648D4F5A3350EFB</vt:lpwstr>
  </property>
</Properties>
</file>