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DACB1440-60A4-45DB-A38B-057DB0553889}" xr6:coauthVersionLast="47" xr6:coauthVersionMax="47" xr10:uidLastSave="{00000000-0000-0000-0000-000000000000}"/>
  <bookViews>
    <workbookView xWindow="-108" yWindow="-108" windowWidth="23256" windowHeight="12456" tabRatio="610" xr2:uid="{00000000-000D-0000-FFFF-FFFF00000000}"/>
  </bookViews>
  <sheets>
    <sheet name="2PO 2.1." sheetId="28" r:id="rId1"/>
    <sheet name="2PO 2.1 (e)" sheetId="24" state="hidden" r:id="rId2"/>
    <sheet name="2PO 2.1 (eng)" sheetId="19" state="hidden" r:id="rId3"/>
    <sheet name="2PO 2.2 (eng)" sheetId="20" state="hidden" r:id="rId4"/>
    <sheet name="2PO 2.3 (eng)" sheetId="17" state="hidden" r:id="rId5"/>
    <sheet name="F Specific output 2.1.1 (1)" sheetId="27" r:id="rId6"/>
    <sheet name="F Specific output 2.1.3 (1)" sheetId="2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8" l="1"/>
  <c r="E6" i="28"/>
  <c r="I83" i="28"/>
  <c r="I82" i="28"/>
  <c r="K83" i="28" l="1"/>
  <c r="J83" i="28"/>
  <c r="K82" i="28"/>
  <c r="J82" i="28"/>
  <c r="E41" i="28"/>
  <c r="E38" i="28"/>
  <c r="E27" i="28"/>
  <c r="E21" i="28"/>
  <c r="C55" i="28"/>
  <c r="E55" i="28" s="1"/>
  <c r="C51" i="28" l="1"/>
  <c r="E51" i="28" s="1"/>
  <c r="P58" i="28" l="1"/>
  <c r="M58" i="28"/>
  <c r="P54" i="28" l="1"/>
  <c r="M54" i="28"/>
  <c r="J87" i="28" l="1"/>
  <c r="K87" i="28" s="1"/>
  <c r="I87" i="28"/>
  <c r="H87" i="28"/>
  <c r="C87" i="28"/>
  <c r="B87" i="28"/>
  <c r="A87" i="28"/>
  <c r="K86" i="28"/>
  <c r="J86" i="28"/>
  <c r="I86" i="28"/>
  <c r="H86" i="28"/>
  <c r="C86" i="28"/>
  <c r="B86" i="28"/>
  <c r="A86" i="28"/>
  <c r="J85" i="28"/>
  <c r="H85" i="28"/>
  <c r="C85" i="28"/>
  <c r="B85" i="28"/>
  <c r="A85" i="28"/>
  <c r="J84" i="28"/>
  <c r="H84" i="28"/>
  <c r="C84" i="28"/>
  <c r="B84" i="28"/>
  <c r="A84" i="28"/>
  <c r="C83" i="28"/>
  <c r="B83" i="28"/>
  <c r="A83" i="28"/>
  <c r="C82" i="28"/>
  <c r="B82" i="28"/>
  <c r="A82" i="28"/>
  <c r="J81" i="28"/>
  <c r="H81" i="28"/>
  <c r="C81" i="28"/>
  <c r="B81" i="28"/>
  <c r="A81" i="28"/>
  <c r="J80" i="28"/>
  <c r="H80" i="28"/>
  <c r="C80" i="28"/>
  <c r="B80" i="28"/>
  <c r="A80" i="28"/>
  <c r="C79" i="28"/>
  <c r="B79" i="28"/>
  <c r="A79" i="28"/>
  <c r="C78" i="28"/>
  <c r="B78" i="28"/>
  <c r="A78" i="28"/>
  <c r="J77" i="28"/>
  <c r="H77" i="28"/>
  <c r="C77" i="28"/>
  <c r="B77" i="28"/>
  <c r="A77" i="28"/>
  <c r="J76" i="28"/>
  <c r="H76" i="28"/>
  <c r="C76" i="28"/>
  <c r="B76" i="28"/>
  <c r="A76" i="28"/>
  <c r="J75" i="28"/>
  <c r="H75" i="28"/>
  <c r="C75" i="28"/>
  <c r="B75" i="28"/>
  <c r="A75" i="28"/>
  <c r="J74" i="28"/>
  <c r="H74" i="28"/>
  <c r="C74" i="28"/>
  <c r="B74" i="28"/>
  <c r="A74" i="28"/>
  <c r="C73" i="28"/>
  <c r="B73" i="28"/>
  <c r="A73" i="28"/>
  <c r="H72" i="28"/>
  <c r="C72" i="28"/>
  <c r="B72" i="28"/>
  <c r="A72" i="28"/>
  <c r="H71" i="28"/>
  <c r="E71" i="28"/>
  <c r="C71" i="28"/>
  <c r="B71" i="28"/>
  <c r="A71" i="28"/>
  <c r="H70" i="28"/>
  <c r="C70" i="28"/>
  <c r="B70" i="28"/>
  <c r="A70" i="28"/>
  <c r="J69" i="28"/>
  <c r="H69" i="28"/>
  <c r="C69" i="28"/>
  <c r="B69" i="28"/>
  <c r="A69" i="28"/>
  <c r="J68" i="28"/>
  <c r="H68" i="28"/>
  <c r="C68" i="28"/>
  <c r="B68" i="28"/>
  <c r="A68" i="28"/>
  <c r="C60" i="28"/>
  <c r="C59" i="28"/>
  <c r="M59" i="28"/>
  <c r="P55" i="28"/>
  <c r="H83" i="28"/>
  <c r="E59" i="28"/>
  <c r="P51" i="28"/>
  <c r="F51" i="28"/>
  <c r="C46" i="28"/>
  <c r="C48" i="28" s="1"/>
  <c r="C45" i="28"/>
  <c r="O44" i="28"/>
  <c r="C44" i="28"/>
  <c r="G41" i="28"/>
  <c r="G45" i="28" s="1"/>
  <c r="F41" i="28"/>
  <c r="G38" i="28"/>
  <c r="F38" i="28"/>
  <c r="C34" i="28"/>
  <c r="M33" i="28"/>
  <c r="C33" i="28"/>
  <c r="P33" i="28"/>
  <c r="O33" i="28"/>
  <c r="F21" i="28"/>
  <c r="G21" i="28" s="1"/>
  <c r="B21" i="28" s="1"/>
  <c r="F18" i="28"/>
  <c r="G18" i="28" s="1"/>
  <c r="B18" i="28" s="1"/>
  <c r="F14" i="28"/>
  <c r="G14" i="28" s="1"/>
  <c r="B14" i="28" s="1"/>
  <c r="F9" i="28"/>
  <c r="G6" i="28"/>
  <c r="E33" i="28" l="1"/>
  <c r="P38" i="28"/>
  <c r="C49" i="28"/>
  <c r="H82" i="28"/>
  <c r="H88" i="28" s="1"/>
  <c r="E44" i="28"/>
  <c r="G34" i="28"/>
  <c r="G9" i="28"/>
  <c r="E34" i="28"/>
  <c r="P41" i="28"/>
  <c r="J71" i="28" s="1"/>
  <c r="G44" i="28"/>
  <c r="B38" i="28"/>
  <c r="E45" i="28"/>
  <c r="P59" i="28"/>
  <c r="O59" i="28"/>
  <c r="O65" i="28" s="1"/>
  <c r="E60" i="28"/>
  <c r="B41" i="28"/>
  <c r="F45" i="28"/>
  <c r="F46" i="28"/>
  <c r="F44" i="28"/>
  <c r="J70" i="28"/>
  <c r="M39" i="28"/>
  <c r="G51" i="28"/>
  <c r="F60" i="28"/>
  <c r="F55" i="28"/>
  <c r="F27" i="28"/>
  <c r="G27" i="28" s="1"/>
  <c r="B27" i="28" s="1"/>
  <c r="F6" i="28"/>
  <c r="E46" i="28"/>
  <c r="B9" i="28"/>
  <c r="G46" i="28"/>
  <c r="H90" i="28" l="1"/>
  <c r="F33" i="28"/>
  <c r="M42" i="28"/>
  <c r="G60" i="28"/>
  <c r="B51" i="28"/>
  <c r="D79" i="28"/>
  <c r="M40" i="28"/>
  <c r="M45" i="28"/>
  <c r="P39" i="28"/>
  <c r="B6" i="28"/>
  <c r="F34" i="28"/>
  <c r="F59" i="28"/>
  <c r="G55" i="28"/>
  <c r="G33" i="28"/>
  <c r="D78" i="28"/>
  <c r="M43" i="28"/>
  <c r="D72" i="28" s="1"/>
  <c r="P42" i="28"/>
  <c r="J78" i="28" l="1"/>
  <c r="P43" i="28"/>
  <c r="J72" i="28" s="1"/>
  <c r="B55" i="28"/>
  <c r="G59" i="28"/>
  <c r="J79" i="28"/>
  <c r="P40" i="28"/>
  <c r="P45" i="28"/>
  <c r="M46" i="28"/>
  <c r="D73" i="28"/>
  <c r="D88" i="28" s="1"/>
  <c r="M44" i="28"/>
  <c r="M65" i="28" s="1"/>
  <c r="D90" i="28" l="1"/>
  <c r="P44" i="28"/>
  <c r="P65" i="28" s="1"/>
  <c r="J73" i="28"/>
  <c r="J88" i="28" s="1"/>
  <c r="P46" i="28"/>
  <c r="J90" i="28" l="1"/>
  <c r="A3" i="27"/>
  <c r="A4" i="27" s="1"/>
  <c r="A5" i="27" s="1"/>
  <c r="A6" i="27" s="1"/>
  <c r="A7" i="27" s="1"/>
  <c r="A8" i="27" s="1"/>
  <c r="A9" i="27" s="1"/>
  <c r="A10" i="27" s="1"/>
  <c r="A11" i="27" s="1"/>
  <c r="A12" i="27" s="1"/>
  <c r="A13" i="27" s="1"/>
  <c r="A14" i="27" s="1"/>
  <c r="A15" i="27" s="1"/>
  <c r="A16" i="27" s="1"/>
  <c r="A17" i="27" s="1"/>
  <c r="A18" i="27" s="1"/>
  <c r="A19" i="27" s="1"/>
  <c r="A3" i="25" l="1"/>
  <c r="A4" i="25" s="1"/>
  <c r="A5" i="25" s="1"/>
  <c r="A6" i="25" s="1"/>
  <c r="A7" i="25" s="1"/>
  <c r="A8" i="25" s="1"/>
  <c r="A9" i="25" s="1"/>
  <c r="A10" i="25" s="1"/>
  <c r="A11" i="25" s="1"/>
  <c r="A12" i="25" s="1"/>
  <c r="A13" i="25" s="1"/>
  <c r="A14" i="25" s="1"/>
  <c r="A15" i="25" s="1"/>
  <c r="A16" i="25" s="1"/>
  <c r="A17" i="25" s="1"/>
  <c r="A18" i="25" s="1"/>
  <c r="A19" i="25" s="1"/>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D15" i="20"/>
  <c r="D11" i="20"/>
  <c r="D8" i="20"/>
  <c r="D5" i="20"/>
  <c r="I15" i="17"/>
  <c r="I38" i="20" l="1"/>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38" i="20" l="1"/>
  <c r="J44" i="19"/>
  <c r="J3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7" authorId="0" shapeId="0" xr:uid="{843E3DBE-4161-4084-9BEC-B714D857C2CA}">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8" authorId="0" shapeId="0" xr:uid="{972025FA-63BA-47A7-8C8A-33F4929A46F3}">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12" authorId="0" shapeId="0" xr:uid="{31C1EB13-C2AD-45BB-88C6-B393EC75AEBF}">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13" authorId="0" shapeId="0" xr:uid="{D51BCCF8-4EC9-4944-A6ED-123443F3C826}">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15" authorId="0" shapeId="0" xr:uid="{5B0785E3-FE3B-4169-A759-5F1516912241}">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17" authorId="0" shapeId="0" xr:uid="{9973FF64-1A65-4815-98B3-F348163AF8A5}">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19" authorId="0" shapeId="0" xr:uid="{6E7C0261-2EA2-4FC0-80A3-F8A4E14E80F1}">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20" authorId="0" shapeId="0" xr:uid="{8FF953F3-B241-4425-BDFA-AD6634138848}">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21" authorId="0" shapeId="0" xr:uid="{B11B9CC7-C18E-47EA-9AD5-B1D5D048065C}">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23" authorId="0" shapeId="0" xr:uid="{877FA44E-EC71-4346-9059-393049311023}">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30" authorId="0" shapeId="0" xr:uid="{1C300D93-B42D-4ACB-B41C-680192A19B0B}">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38" authorId="0" shapeId="0" xr:uid="{6CF91D24-D67C-427A-9F43-A4640BFE8593}">
      <text>
        <r>
          <rPr>
            <b/>
            <sz val="9"/>
            <color indexed="81"/>
            <rFont val="Tahoma"/>
            <family val="2"/>
            <charset val="186"/>
          </rPr>
          <t>Autorius:</t>
        </r>
        <r>
          <rPr>
            <sz val="9"/>
            <color indexed="81"/>
            <rFont val="Tahoma"/>
            <family val="2"/>
            <charset val="186"/>
          </rPr>
          <t xml:space="preserve">
SFC2021 different indicator name "Būstai, kuriuose pagerėjo energijos vartojimo efektyvumas"</t>
        </r>
      </text>
    </comment>
    <comment ref="I39" authorId="0" shapeId="0" xr:uid="{EAB5E329-EF63-4F75-831E-FBF2CC99771D}">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40" authorId="0" shapeId="0" xr:uid="{2DC1233B-545E-4931-B7FC-EB18E55D704A}">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41" authorId="0" shapeId="0" xr:uid="{736D26BA-135D-45D1-A432-78E570068665}">
      <text>
        <r>
          <rPr>
            <b/>
            <sz val="9"/>
            <color indexed="81"/>
            <rFont val="Tahoma"/>
            <family val="2"/>
            <charset val="186"/>
          </rPr>
          <t>Autorius:</t>
        </r>
        <r>
          <rPr>
            <sz val="9"/>
            <color indexed="81"/>
            <rFont val="Tahoma"/>
            <family val="2"/>
            <charset val="186"/>
          </rPr>
          <t xml:space="preserve">
SFC2021 different indicator name "Būstai, kuriuose pagerėjo energijos vartojimo efektyvumas"</t>
        </r>
      </text>
    </comment>
    <comment ref="I42" authorId="0" shapeId="0" xr:uid="{682B6011-0F3E-4F5C-85A9-F879E5B96D37}">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43" authorId="0" shapeId="0" xr:uid="{B5C9E5BA-ED84-46FD-960E-97B7A899A114}">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53" authorId="0" shapeId="0" xr:uid="{2A6EDC5F-3013-4878-9039-E5693CCE9191}">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54" authorId="0" shapeId="0" xr:uid="{64B55B40-4BD8-4EF6-B40B-A9932C2006EB}">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 ref="I57" authorId="0" shapeId="0" xr:uid="{E3D90B34-EA31-43EA-9CA9-6C932F8CA1BA}">
      <text>
        <r>
          <rPr>
            <b/>
            <sz val="9"/>
            <color indexed="81"/>
            <rFont val="Tahoma"/>
            <family val="2"/>
            <charset val="186"/>
          </rPr>
          <t>Autorius:</t>
        </r>
        <r>
          <rPr>
            <sz val="9"/>
            <color indexed="81"/>
            <rFont val="Tahoma"/>
            <family val="2"/>
            <charset val="186"/>
          </rPr>
          <t xml:space="preserve">
SFC2021 different indicator name "Metinis pirminės energijos suvartojimas (iš jo: gyvenamųjų namų, visuomeninių pastatų, įmonių, kita)</t>
        </r>
      </text>
    </comment>
    <comment ref="I58" authorId="0" shapeId="0" xr:uid="{715DD082-DE48-4738-B0C5-D77DA913EFF3}">
      <text>
        <r>
          <rPr>
            <b/>
            <sz val="9"/>
            <color indexed="81"/>
            <rFont val="Tahoma"/>
            <family val="2"/>
            <charset val="186"/>
          </rPr>
          <t>Autorius:</t>
        </r>
        <r>
          <rPr>
            <sz val="9"/>
            <color indexed="81"/>
            <rFont val="Tahoma"/>
            <family val="2"/>
            <charset val="186"/>
          </rPr>
          <t xml:space="preserve">
"Apskaičiuotas išmetamas šltnamio efektą sukeliančių dujų kiekis"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3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shapeId="0" xr:uid="{00000000-0006-0000-03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sharedStrings.xml><?xml version="1.0" encoding="utf-8"?>
<sst xmlns="http://schemas.openxmlformats.org/spreadsheetml/2006/main" count="1500" uniqueCount="426">
  <si>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</si>
  <si>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</si>
  <si>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</si>
  <si>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</si>
  <si>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</si>
  <si>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</si>
  <si>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</si>
  <si>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</si>
  <si>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</si>
  <si>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</si>
  <si>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</si>
  <si>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</si>
  <si>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</si>
  <si>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</si>
  <si>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</si>
  <si>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</si>
  <si>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</si>
  <si>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</si>
  <si>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</si>
  <si>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</si>
  <si>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</si>
  <si>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</si>
  <si>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</si>
  <si>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</si>
  <si>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</si>
  <si>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</si>
  <si>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</si>
  <si>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</si>
  <si>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</si>
  <si>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</si>
  <si>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</si>
  <si>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</si>
  <si>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</si>
  <si>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</si>
  <si>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</si>
  <si>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</si>
  <si>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</si>
  <si>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</si>
  <si>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</si>
  <si>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</si>
  <si>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</si>
  <si>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</si>
  <si>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</si>
  <si>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</si>
  <si>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</si>
  <si>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</si>
  <si>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</si>
  <si>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</si>
  <si>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</si>
  <si>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</si>
  <si>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</si>
  <si>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</si>
  <si>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</si>
  <si>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</si>
  <si>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</si>
  <si>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</si>
  <si>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</si>
  <si>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</si>
  <si>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</si>
  <si>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</si>
  <si>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</si>
  <si>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</si>
  <si>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</si>
  <si>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</si>
  <si>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</si>
  <si>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</si>
  <si>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</si>
  <si>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</si>
  <si>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</si>
  <si>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</si>
  <si>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</si>
  <si>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</si>
  <si>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</si>
  <si>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</si>
  <si>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</si>
  <si>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</si>
  <si>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</si>
  <si>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</si>
  <si>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</si>
  <si>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</si>
  <si>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</si>
  <si>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</si>
  <si>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</si>
  <si>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</si>
  <si>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</si>
  <si>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</si>
  <si>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</si>
  <si>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</si>
  <si>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</si>
  <si>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</si>
  <si>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</si>
  <si>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</si>
  <si>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</si>
  <si>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</si>
  <si>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</si>
  <si>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</si>
  <si>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</si>
  <si>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</si>
  <si>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</si>
  <si>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</si>
  <si>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</si>
  <si>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</si>
  <si>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</si>
  <si>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</si>
  <si>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</si>
  <si>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</si>
  <si>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</si>
  <si>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</si>
  <si>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</si>
  <si>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</si>
  <si>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</si>
  <si>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</si>
  <si>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</si>
  <si>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</si>
  <si>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</si>
  <si>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</si>
  <si>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</si>
  <si>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</si>
  <si>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</si>
  <si>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</si>
  <si>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</si>
  <si>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</si>
  <si>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</si>
  <si>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</si>
  <si>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</si>
  <si>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</si>
  <si>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</si>
  <si>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</si>
  <si>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</si>
  <si>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</si>
  <si>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</si>
  <si>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</si>
  <si>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</si>
  <si>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</si>
  <si>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</si>
  <si>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</si>
  <si>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</si>
  <si>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</si>
  <si>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</si>
  <si>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</si>
  <si>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</si>
  <si>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</si>
  <si>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</si>
  <si>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</si>
  <si>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</si>
  <si>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</si>
  <si>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</si>
  <si>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</si>
  <si>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</si>
  <si>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</si>
  <si>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</si>
  <si>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</si>
  <si>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</si>
  <si>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</si>
  <si>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</si>
  <si>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</si>
  <si>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</si>
  <si>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</si>
  <si>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</si>
  <si>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</si>
  <si>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</si>
  <si>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</si>
  <si>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</si>
  <si>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</si>
  <si>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</si>
  <si>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</si>
  <si>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</si>
  <si>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</si>
  <si>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</si>
  <si>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</si>
  <si>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</si>
  <si>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</si>
  <si>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</si>
  <si>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</si>
  <si>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</si>
  <si>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</si>
  <si>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</si>
  <si>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</si>
  <si>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</si>
  <si>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</si>
  <si>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</si>
  <si>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</si>
  <si>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</si>
  <si>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</si>
  <si>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</si>
  <si>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</si>
  <si>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</si>
  <si>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</si>
  <si>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</si>
  <si>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</si>
  <si>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</si>
  <si>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</si>
  <si>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</si>
  <si>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</si>
  <si>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</si>
  <si>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</si>
  <si>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</si>
  <si>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</si>
  <si>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</si>
  <si>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</si>
  <si>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</si>
  <si>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</si>
  <si>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</si>
  <si>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</si>
  <si>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</si>
  <si>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</si>
  <si>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</si>
  <si>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</si>
  <si>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</si>
  <si>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</si>
  <si>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</si>
  <si>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</si>
  <si>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</si>
  <si>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</si>
  <si>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</si>
  <si>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</si>
  <si>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</si>
  <si>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</si>
  <si>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</si>
  <si>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</si>
  <si>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</si>
  <si>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</si>
  <si>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</si>
  <si>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</si>
  <si>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</si>
  <si>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</si>
  <si>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</si>
  <si>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</si>
  <si>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</si>
  <si>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</si>
  <si>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</si>
  <si>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</si>
  <si>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</si>
  <si>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</si>
  <si>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</si>
  <si>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</si>
  <si>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</si>
  <si>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</si>
  <si>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</si>
  <si>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</si>
  <si>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</si>
  <si>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</si>
  <si>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</si>
  <si>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</si>
  <si>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</si>
  <si>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</si>
  <si>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Ministry of energy</t>
  </si>
  <si>
    <t>EU Amount (EUR)</t>
  </si>
  <si>
    <t xml:space="preserve">Milestone 2024 </t>
  </si>
  <si>
    <t>code</t>
  </si>
  <si>
    <t>name</t>
  </si>
  <si>
    <t>RCO18</t>
  </si>
  <si>
    <t>RCR26</t>
  </si>
  <si>
    <t>Mid-West Region</t>
  </si>
  <si>
    <t>tons of CO2eq/year</t>
  </si>
  <si>
    <t>RCO20</t>
  </si>
  <si>
    <t>Annual primary energy consumption (of which: dwellings, public buildings, enterprises, other) (metinis pirminės energijos suvartojimo kiekis (iš kurio: būstai, viešieji pastatai, įmonės, kita )</t>
  </si>
  <si>
    <t>Annual primary energy consumption (of which: dwellings, public buildings, enterprises, other)(metinis pirminės energijos suvartojimo kiekis (iš kurio: būstai, viešieji pastatai, įmonės, kita)</t>
  </si>
  <si>
    <t>Annual primary energy consumption (of which: dwellings, public buildings, enterprises, other) (metinis pirminės energijos suvartojimo kiekis (iš kurio: būstai, viešieji pastatai, įmonės, kita)</t>
  </si>
  <si>
    <t>Estimated greenhouse gas emissions (numatomas išmetamas šiltnamio efektą sukeliančių dujų kiekis)</t>
  </si>
  <si>
    <t>District heating and cooling network lines newly constructed or improved (naujai pastatyti ar patobulinti centralizuoto šilumos ir vėsumos tiekimo tinklų vamzdynai)</t>
  </si>
  <si>
    <t>Public buildings with improved energy performance (viešieji pastatai, kurių energinis naudingumas pagerintas)</t>
  </si>
  <si>
    <t>MWR</t>
  </si>
  <si>
    <t>Indicator code</t>
  </si>
  <si>
    <t>Indicator name</t>
  </si>
  <si>
    <t>Indicator M.U.</t>
  </si>
  <si>
    <t>Indicator baseline value</t>
  </si>
  <si>
    <t>Indicator baseline year</t>
  </si>
  <si>
    <t>Installed meters with remote data reading for heat, cool, hot water (Įrengti  šilumos, vėsumos, karšto vandens apskaitos prietaisai su nuotolinio duomenų nuskaitymo funkcija)</t>
  </si>
  <si>
    <t>Energy efficiency certificates of funded projects</t>
  </si>
  <si>
    <t xml:space="preserve"> MWh/year</t>
  </si>
  <si>
    <t>tonnes of CO2eq/year</t>
  </si>
  <si>
    <t xml:space="preserve">RCR29 </t>
  </si>
  <si>
    <t>skatinimui 100proc ES</t>
  </si>
  <si>
    <t>Skat VVL</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</si>
  <si>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</si>
  <si>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041</t>
    </r>
    <r>
      <rPr>
        <sz val="11"/>
        <color theme="1"/>
        <rFont val="Calibri"/>
        <family val="2"/>
        <charset val="186"/>
        <scheme val="minor"/>
      </rPr>
      <t xml:space="preserve"> - Energy efficiency renovation of existing housing stock, demonstration projects and supporting measures (Siekiant efektyvaus energijos vartojimo vykdoma esamų būstų renovacija, parodomieji projektai ir pagalbinės priemonės)</t>
    </r>
  </si>
  <si>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113330 tCO2/year.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112100 tCO2/year.</t>
    </r>
  </si>
  <si>
    <t>Ministry of enviroment</t>
  </si>
  <si>
    <t>Row ID</t>
  </si>
  <si>
    <t>Field</t>
  </si>
  <si>
    <t>Indicator metadata</t>
  </si>
  <si>
    <t>P.S.</t>
  </si>
  <si>
    <r>
      <t xml:space="preserve">Installed meters with remote data reading for heat, cool, hot water </t>
    </r>
    <r>
      <rPr>
        <i/>
        <sz val="12"/>
        <rFont val="Calibri"/>
        <family val="2"/>
        <charset val="186"/>
        <scheme val="minor"/>
      </rPr>
      <t>(Įrengti  šilumos, vėsumos, karšto vandens apskaitos prietaisai su nuotolinio duomenų nuskaitymo funkcija)</t>
    </r>
  </si>
  <si>
    <t>Type of indicator</t>
  </si>
  <si>
    <t>output</t>
  </si>
  <si>
    <t>&gt;0</t>
  </si>
  <si>
    <t>Policy objective</t>
  </si>
  <si>
    <t>PO2 Greener Europe</t>
  </si>
  <si>
    <t>Specific objective</t>
  </si>
  <si>
    <t>SO2.1 Energy efficiency</t>
  </si>
  <si>
    <t>Definition and concepts</t>
  </si>
  <si>
    <t>This indicator  specifically measures the number of  meters installed with remote data reading for heat, cool, hot water.</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</si>
  <si>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</si>
  <si>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</si>
  <si>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</si>
  <si>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</si>
  <si>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</si>
  <si>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</si>
  <si>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</si>
  <si>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</si>
  <si>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</si>
  <si>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</si>
  <si>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</si>
  <si>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</si>
  <si>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</si>
  <si>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</si>
  <si>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</si>
  <si>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Annual primary energy consumtion (of which: dwellings, public buildings, enterprises, other)(metinis pirminės energijos suvartojimo kiekis (iš kurio: būstai, viešieji pastatai, įmonės, kita)</t>
  </si>
  <si>
    <t>t CO2/year</t>
  </si>
  <si>
    <t>Estimated grenhouse gas emissions (numatomas išmetamas šiltnamio efektą sukeliančių dujų kiekis)</t>
  </si>
  <si>
    <t>Ministry of economy and innovation</t>
  </si>
  <si>
    <t>Ministry of energy+Ministry of economy and innovation+Ministry of enviroment</t>
  </si>
  <si>
    <r>
      <rPr>
        <b/>
        <sz val="11"/>
        <rFont val="Calibri"/>
        <family val="2"/>
        <charset val="186"/>
        <scheme val="minor"/>
      </rPr>
      <t>042</t>
    </r>
    <r>
      <rPr>
        <sz val="11"/>
        <rFont val="Calibri"/>
        <family val="2"/>
        <charset val="186"/>
        <scheme val="minor"/>
      </rPr>
      <t xml:space="preserve"> Energy efficiency renovation of existing housing stock, demonstration projects and supporting measures compliant with energy efficiency criteria (Siekiant efektyvaus energijos vartojimo vykdoma esamų būstų renovacija, parodomieji projektai ir pagalbinės priemonės, atitinkančios energijos vartojimo efektyvumo kriterijus)</t>
    </r>
  </si>
  <si>
    <r>
      <rPr>
        <b/>
        <sz val="11"/>
        <color theme="1"/>
        <rFont val="Calibri"/>
        <family val="2"/>
        <charset val="186"/>
        <scheme val="minor"/>
      </rPr>
      <t>055</t>
    </r>
    <r>
      <rPr>
        <sz val="11"/>
        <color theme="1"/>
        <rFont val="Calibri"/>
        <family val="2"/>
        <charset val="186"/>
        <scheme val="minor"/>
      </rPr>
      <t>- High efficiency co generation, efficient district heating and cooling with low lifecycle emissions (Didelio naudingumo kogeneracija, efektyvus centralizuotas šilumos ir vėsumos tiekimas, kai per gyvavimo ciklą išskiriamas mažas teršalų kiekis)</t>
    </r>
  </si>
  <si>
    <r>
      <t xml:space="preserve">055- </t>
    </r>
    <r>
      <rPr>
        <sz val="11"/>
        <color theme="1"/>
        <rFont val="Calibri"/>
        <family val="2"/>
        <charset val="186"/>
        <scheme val="minor"/>
      </rPr>
      <t>High efficiency co generation, efficient district heating and cooling with low lifecycle emissions (Didelio naudingumo kogeneracija, efektyvus centralizuotas šilumos ir vėsumos tiekimas, kai per gyvavimo ciklą išskiriamas mažas teršalų kiekis)</t>
    </r>
  </si>
  <si>
    <t>Dwellings with more efficient heat production capacities (Būstai su efektyvesniais šilumos gamybos įrenginiais)</t>
  </si>
  <si>
    <t>&gt;=0</t>
  </si>
  <si>
    <t>SO 2.i Energy efficiency</t>
  </si>
  <si>
    <t xml:space="preserve">Number of dwellings with more efficient heat production capacities due to the financial support provided. Heat production capacities   -  to be understood as RES capacities (biofuel boilers, heat pumps). Efficient capacities - to be understood as  less energy consumed technology used for heat production due to financial support provided.  
A dwelling is defined as "a room or a suite of rooms in a permanent building or a 
structurally separated part of a building which (...) is designed for habitation of 
one private household all year around." (see ESTAT online in references ). </t>
  </si>
  <si>
    <t>Rule 1: Reporting by specific objective</t>
  </si>
  <si>
    <t>Dwellings with more efficient heat production  capacities (Būstai su efektyvesniais šilumos gamybos įrenginiais)</t>
  </si>
  <si>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t>
    </r>
    <r>
      <rPr>
        <b/>
        <sz val="11"/>
        <rFont val="Calibri"/>
        <family val="2"/>
        <charset val="186"/>
        <scheme val="minor"/>
      </rPr>
      <t>113 330 tCO2/year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112 100 tCO2/year.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</si>
  <si>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1 427 274 MWh/year</t>
    </r>
    <r>
      <rPr>
        <sz val="11"/>
        <rFont val="Calibri"/>
        <family val="2"/>
        <charset val="186"/>
        <scheme val="minor"/>
      </rPr>
      <t xml:space="preserve"> 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</si>
  <si>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</si>
  <si>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 xml:space="preserve">1 427 274 MWh/year </t>
    </r>
    <r>
      <rPr>
        <sz val="11"/>
        <rFont val="Calibri"/>
        <family val="2"/>
        <charset val="186"/>
        <scheme val="minor"/>
      </rPr>
      <t xml:space="preserve">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</si>
  <si>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fror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</si>
  <si>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t xml:space="preserve"> 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</si>
  <si>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</si>
  <si>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040 </t>
    </r>
    <r>
      <rPr>
        <sz val="11"/>
        <rFont val="Calibri"/>
        <family val="2"/>
        <charset val="186"/>
        <scheme val="minor"/>
      </rPr>
      <t>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</si>
  <si>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t>unit</t>
  </si>
  <si>
    <t xml:space="preserve">Total </t>
  </si>
  <si>
    <t>specific output</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</si>
  <si>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</si>
  <si>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Dwellings with improved energy peformance (Būstai, kurių energinis naudingumas pagerintas )</t>
  </si>
  <si>
    <t>RCO03</t>
  </si>
  <si>
    <t>Enterprises supported by financial instruments (Paramą finansiniais instrumentais gavusios įmonės)</t>
  </si>
  <si>
    <t xml:space="preserve">The milestone 2024 and 2029 target for RCO01 equals the milestone 2024 and 2029 target for RCO03. </t>
  </si>
  <si>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Since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 ~21 km 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t>
    </r>
    <r>
      <rPr>
        <strike/>
        <sz val="11"/>
        <rFont val="Calibri"/>
        <family val="2"/>
        <charset val="186"/>
        <scheme val="minor"/>
      </rPr>
      <t xml:space="preserve">  </t>
    </r>
    <r>
      <rPr>
        <sz val="11"/>
        <rFont val="Calibri"/>
        <family val="2"/>
        <charset val="186"/>
        <scheme val="minor"/>
      </rPr>
      <t>10 percent of the funds will be invested, so 21* 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</si>
  <si>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 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</si>
  <si>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t>Ministry of economy and innovation+Ministry of Energy</t>
  </si>
  <si>
    <t>Ministry of energy+Ministry of economy and innovation</t>
  </si>
  <si>
    <t>projects  data</t>
  </si>
  <si>
    <t xml:space="preserve"> projects  data</t>
  </si>
  <si>
    <t>projects</t>
  </si>
  <si>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will apply for funding and be supported by financial instruments by 2029.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40*0,1=4.</t>
  </si>
  <si>
    <t>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</si>
  <si>
    <r>
      <t xml:space="preserve">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t>
    </r>
    <r>
      <rPr>
        <strike/>
        <sz val="11"/>
        <rFont val="Calibri"/>
        <family val="2"/>
        <charset val="186"/>
        <scheme val="minor"/>
      </rPr>
      <t>.</t>
    </r>
    <r>
      <rPr>
        <sz val="11"/>
        <rFont val="Calibri"/>
        <family val="2"/>
        <charset val="186"/>
        <scheme val="minor"/>
      </rPr>
      <t>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r>
  </si>
  <si>
    <r>
      <t>Calculation of indicators based on 70 percent fund intensity with the assumptions that subsidies will reach up to 40 percent, FI (longterm loan) will be up to 60 percent and the rest - private funds (EU amount- 13.500.000 Eur +  co-financing rate (Eur.) - 5.785. 714,29. Total - 19.285.714,29). Sinced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t>
    </r>
    <r>
      <rPr>
        <b/>
        <sz val="11"/>
        <rFont val="Calibri"/>
        <family val="2"/>
        <charset val="186"/>
        <scheme val="minor"/>
      </rPr>
      <t xml:space="preserve"> ~21 km </t>
    </r>
    <r>
      <rPr>
        <sz val="11"/>
        <rFont val="Calibri"/>
        <family val="2"/>
        <charset val="186"/>
        <scheme val="minor"/>
      </rPr>
      <t>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</si>
  <si>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</si>
  <si>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r>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would apply for funding and be supported by financial instruments by 2029. Out of them about 2/3 enterprises are located in Mid West Lithuania.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 *2/3)*0,1=</t>
    </r>
    <r>
      <rPr>
        <sz val="11"/>
        <rFont val="Calibri"/>
        <family val="2"/>
      </rPr>
      <t>~</t>
    </r>
    <r>
      <rPr>
        <sz val="11"/>
        <rFont val="Calibri"/>
        <family val="2"/>
        <scheme val="minor"/>
      </rPr>
      <t>3 .</t>
    </r>
  </si>
  <si>
    <t>counting removed at the level of the specific objective</t>
  </si>
  <si>
    <t>comments</t>
  </si>
  <si>
    <t>Ministry of energy Unique will be about 50 percent. Ministry of economy and innovation all unique will be</t>
  </si>
  <si>
    <t>projects data</t>
  </si>
  <si>
    <t>Indicators' calculation based on funding model and intensity (approx. 70 percent) applied in 2014-2020 OP (EU amount- 31.000.000 Eur +  co-financing rate (Eur.) - 13.285.714. Total - 44.285.714).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44.285.714 eur could be renovated  44.285.714/ 345 = ~ 128364 m² floor area of public buildings. The intermediate value for 2024 is set to 0, as it is assumed that renovation projects will start in 2023 and will not be completed in 2024 (duration of renovation projects is approx. 2 years).</t>
  </si>
  <si>
    <t>Baseline calculation:  128364 m2  floor area of ineffiecient public buildings consume 28240 MWh/year (128364 m2 x 220kWh/m²/year = 28240 MWh/year, where 220 kWh/m2 - an average annual energy consumption of 1 m2 floor area of  public building  (data provided by Lithuanian Energy Agency) .Target 2029 calculation:  according to 2014-2020 OP implementation after renovation public buildings cosume at least 40 percent less energy, therefore consumption will be 28240 MWh/year x 60 % =16944 MWh/year.</t>
  </si>
  <si>
    <t>Baseline calculation:28240 000 kWh/year x 0,1 kgCO2/kWh (pollution factor for heat from DH according to Technical Regulation of Construction, Ministry of Environment)= 2 824 000kgCO2 ~ 2824 tCO2/year. Target 2029 calculation:  16 944 000 x 0,1 = 1 694 400 kgCO2/year ~1694 tCO2/year</t>
  </si>
  <si>
    <r>
      <rPr>
        <b/>
        <sz val="11"/>
        <rFont val="Calibri"/>
        <family val="2"/>
        <charset val="186"/>
        <scheme val="minor"/>
      </rPr>
      <t xml:space="preserve">045 </t>
    </r>
    <r>
      <rPr>
        <sz val="11"/>
        <rFont val="Calibri"/>
        <family val="2"/>
        <charset val="186"/>
        <scheme val="minor"/>
      </rPr>
      <t>-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</si>
  <si>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r>
      <rPr>
        <b/>
        <sz val="11"/>
        <rFont val="Calibri"/>
        <family val="2"/>
        <charset val="186"/>
        <scheme val="minor"/>
      </rPr>
      <t>045</t>
    </r>
    <r>
      <rPr>
        <sz val="11"/>
        <rFont val="Calibri"/>
        <family val="2"/>
        <charset val="186"/>
        <scheme val="minor"/>
      </rPr>
      <t xml:space="preserve"> -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</si>
  <si>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t>Ministry of Enviroment</t>
  </si>
  <si>
    <t>ERDF+SaF</t>
  </si>
  <si>
    <t>Skat LT</t>
  </si>
  <si>
    <t>VVL</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</si>
  <si>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TA- technical assistance, promotion and supevision of renovation projects.
In the Midle-West LT there are 70 % of multi-apartment buildings to be renovated, in the Capital region - 30%. Multi-apartment buildings in Capital region will be financed from CF.
RCO18 indicator final value for Midle-West region: 107.707*70%=75.395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</si>
  <si>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1.130.920 MWh / year = 75.395 * 15, the target value of 2029 is: 678.552 MWh / year = 1.130.920 - 40%.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</si>
  <si>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baseline: 113.092 = 1.130.920 * 0.1, in 2029 the target is: 67.855 = 678.552 * 0.1
</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</si>
  <si>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  TA- technical assistance, promotion and supevision of renovation projects.
In the Midle-West LT there are 70 % of multi-apartment buildings to be renovated, in the Capital region - 30%. Multi-apartment buildings in Capital region will be financed from CF.
RCO18 indicator final value for CF: 107.707*30%=32.312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</si>
  <si>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484.687 MWh / year = 32.312 * 15, after renovation the target value for 2029 is 290.812 MWh / year = 484.687-40%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</si>
  <si>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basline: 48.469=484.687 * 0.1 , the target for 2029 is 29.081=290.812 * 0.1 </t>
  </si>
  <si>
    <t>dwellings
(Būstai)</t>
  </si>
  <si>
    <t>dwellings
(būstai)</t>
  </si>
  <si>
    <t>fiches are the same as RCO01</t>
  </si>
  <si>
    <t>fiches are the same as RCO03</t>
  </si>
  <si>
    <t>fiches are the same as RCO02</t>
  </si>
  <si>
    <t>Specific objective – 2.1.  Promoting energy efficiency and reducing greenhouse gas emissions (Skatinti energijos vartojimo efektyvumą ir mažinti išmetamų šiltnamio efektą sukeliančių dujų kiekį)</t>
  </si>
  <si>
    <t>2.1.1. To improve energy efficiency in households not connected to DH (Didinti energijos vartojimo efektyvumą (EVE) namų ūkiuose, neprijungtuose prie centralizuotų šimumos tiekimo tinklų (CŠT))</t>
  </si>
  <si>
    <t>2.1.4. Renovation of multi-apartment buildings and promotion of green renovation (Atnaujinti daugiabučius gyvenamuosius namus, diegiant energijos vartojimo efektyvumo (EVE) ir atsinaujinančių išteklių naudojimo priemones, skatinti „žaliąją“ renovaciją)</t>
  </si>
  <si>
    <t>2.1.2. To renovate public buildings improving energy efficiency (Atnaujinti viešuosius pastatus, didinant juose energijos vartojimo efektyvumą (EVE))</t>
  </si>
  <si>
    <t>2.1.5. Increasing energy efficiency for industrial enterprises (Didinti energijos vartojimo efektyvumą (EVE) pramonės įmonėse)</t>
  </si>
  <si>
    <t xml:space="preserve">2.1.3. To improve energy efficiency of district heating, cooling and  hot water supply systems and develop systems (Didinti centralizuoto šilumos, karšto vandens ir vėsumos tiekimo sistemų energijos vartojimo efektyvumą (EVE) bei plėsti sistemas)                         </t>
  </si>
  <si>
    <t>Justification for the proposed change 2024-04</t>
  </si>
  <si>
    <t>Justification for the proposed change 2025-03</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</si>
  <si>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268 = 78 companies.</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</si>
  <si>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100.814.160,00 Eur. It is assumed, that while investing  100.814.160,00 Eur, the total amount of the energy that could be saved is calculated as follows   ((100.814.160 Eur*1kWh)/((0,3+0,6) Eur/2))/1000kWh=224.031,47 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224.031,47MWh*100/22=1.018.325 MWh/year, and the final target 2029 for RCR26 is 1.018.325,86-224.031,47=794.293  MWh/year.</t>
  </si>
  <si>
    <t>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1.018.325 MWh/year* 0,42 t CO2e/MWh=427.696  t CO2e/year, the final (2029) target for RCR29 is 794.293  MWh/year * 0,42 t CO2e/MWh=333.603 t CO2e/year.</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</si>
  <si>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*228= 66 companies.</t>
  </si>
  <si>
    <t>The total amount of the action is calculated according to the experience of 2014-2020 and the intensity level accorindg to the State Aid rules and intensity for Capital region (EU-50%, national-50%) and it is  80.651.332,00 Eur (40.325.666,00*100/50). The 2029 target for RCO02 is based on the assumption of 300.707,21 Eur average project value per enterprise (in terms of 2014-2020 financed projects in Capital Region under the 3 priority measures   "Regio Invest LT+", "Regio potencialas“). Also the result is reduced 15 % because of implementation risk (according to the experience of 2014-2020 value of discontinued projects is 15% of the value of completed projects): (80.651.332,00/300.707,21)*0,85=228 enterprises. As regards milestines for 2024, it is assumed thet the progress of the action, according to the forecast made in 2022 March-April (data from planned calls for proposals and payments), would amount to 29% of the final targets set based on the allocation for 2021-2027: 29%*228=66 companies.</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</si>
  <si>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The total amount of the action is calculated according to the experience of 2014-2020 and the intensity level accorindg to the State Aid rules and intensity of Capital region (EU-50%, national-50%) and it is 80.651.332,00 Eur. It is assumed, that while investing  80.651.332,00 Eur, the total amount of the energy that could be saved is calculated as follows   ((80.651.332,00Eur*1kWh)/((0,3+0,6) Eur/2))/1000kWh=179.225,18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179.225,18 MWh*100/22=814.660 MWh/year, and the final target 2029 for RCR26 is 814.660-179.225,18=635.435 MWh/year.</t>
  </si>
  <si>
    <r>
      <t xml:space="preserve">Calculation of indicators based on the 50 percent of funding intensity to maintain the same financial model as in 2014-2020 </t>
    </r>
    <r>
      <rPr>
        <b/>
        <sz val="11"/>
        <color theme="1"/>
        <rFont val="Calibri"/>
        <family val="2"/>
        <charset val="186"/>
      </rPr>
      <t>period</t>
    </r>
    <r>
      <rPr>
        <sz val="11"/>
        <color theme="1"/>
        <rFont val="Calibri"/>
        <family val="2"/>
        <charset val="186"/>
      </rPr>
      <t xml:space="preserve"> </t>
    </r>
    <r>
      <rPr>
        <strike/>
        <sz val="11"/>
        <color theme="1"/>
        <rFont val="Calibri"/>
        <family val="2"/>
        <charset val="186"/>
      </rPr>
      <t>(EU amount- 41.500.000 Eur +  co-financing rate (Eur.) - 41.500.000 Eur.Total- 83.000.000 Eur)</t>
    </r>
    <r>
      <rPr>
        <sz val="11"/>
        <color theme="1"/>
        <rFont val="Calibri"/>
        <family val="2"/>
        <charset val="186"/>
      </rPr>
      <t>.  We assume that administrative costs will be similar</t>
    </r>
    <r>
      <rPr>
        <b/>
        <sz val="11"/>
        <rFont val="Calibri"/>
        <family val="2"/>
        <charset val="186"/>
      </rPr>
      <t xml:space="preserve"> 5,11</t>
    </r>
    <r>
      <rPr>
        <sz val="11"/>
        <color theme="1"/>
        <rFont val="Calibri"/>
        <family val="2"/>
        <charset val="186"/>
      </rPr>
      <t xml:space="preserve"> </t>
    </r>
    <r>
      <rPr>
        <strike/>
        <sz val="11"/>
        <color theme="1"/>
        <rFont val="Calibri"/>
        <family val="2"/>
        <charset val="186"/>
      </rPr>
      <t xml:space="preserve">4,11 </t>
    </r>
    <r>
      <rPr>
        <sz val="11"/>
        <color theme="1"/>
        <rFont val="Calibri"/>
        <family val="2"/>
        <charset val="186"/>
      </rPr>
      <t xml:space="preserve"> percent  (</t>
    </r>
    <r>
      <rPr>
        <strike/>
        <sz val="11"/>
        <color theme="1"/>
        <rFont val="Calibri"/>
        <family val="2"/>
        <charset val="186"/>
      </rPr>
      <t>83.000.000</t>
    </r>
    <r>
      <rPr>
        <sz val="11"/>
        <color theme="1"/>
        <rFont val="Calibri"/>
        <family val="2"/>
        <charset val="186"/>
      </rPr>
      <t xml:space="preserve"> </t>
    </r>
    <r>
      <rPr>
        <b/>
        <sz val="11"/>
        <color theme="1"/>
        <rFont val="Calibri"/>
        <family val="2"/>
        <charset val="186"/>
      </rPr>
      <t>41.500.000</t>
    </r>
    <r>
      <rPr>
        <sz val="11"/>
        <color theme="1"/>
        <rFont val="Calibri"/>
        <family val="2"/>
        <charset val="186"/>
      </rPr>
      <t xml:space="preserve"> Eur. - </t>
    </r>
    <r>
      <rPr>
        <strike/>
        <sz val="11"/>
        <color theme="1"/>
        <rFont val="Calibri"/>
        <family val="2"/>
        <charset val="186"/>
      </rPr>
      <t>4,11</t>
    </r>
    <r>
      <rPr>
        <sz val="11"/>
        <color theme="1"/>
        <rFont val="Calibri"/>
        <family val="2"/>
        <charset val="186"/>
      </rPr>
      <t xml:space="preserve"> </t>
    </r>
    <r>
      <rPr>
        <b/>
        <sz val="11"/>
        <color theme="1"/>
        <rFont val="Calibri"/>
        <family val="2"/>
        <charset val="186"/>
      </rPr>
      <t>5,11</t>
    </r>
    <r>
      <rPr>
        <sz val="11"/>
        <color theme="1"/>
        <rFont val="Calibri"/>
        <family val="2"/>
        <charset val="186"/>
      </rPr>
      <t xml:space="preserve"> percent= </t>
    </r>
    <r>
      <rPr>
        <strike/>
        <sz val="11"/>
        <color theme="1"/>
        <rFont val="Calibri"/>
        <family val="2"/>
        <charset val="186"/>
      </rPr>
      <t>79.588.700</t>
    </r>
    <r>
      <rPr>
        <sz val="11"/>
        <color theme="1"/>
        <rFont val="Calibri"/>
        <family val="2"/>
        <charset val="186"/>
      </rPr>
      <t xml:space="preserve"> </t>
    </r>
    <r>
      <rPr>
        <b/>
        <sz val="11"/>
        <color theme="1"/>
        <rFont val="Calibri"/>
        <family val="2"/>
        <charset val="186"/>
      </rPr>
      <t>39.379.350</t>
    </r>
    <r>
      <rPr>
        <sz val="11"/>
        <color theme="1"/>
        <rFont val="Calibri"/>
        <family val="2"/>
        <charset val="186"/>
      </rPr>
      <t xml:space="preserve"> Eur.)  </t>
    </r>
    <r>
      <rPr>
        <strike/>
        <sz val="11"/>
        <color theme="1"/>
        <rFont val="Calibri"/>
        <family val="2"/>
        <charset val="186"/>
      </rPr>
      <t>as in 2014-2020 OP for boilers' replacement projects (04.3.2- LVPA-V-111 measure „Replacement of households' boilers")</t>
    </r>
    <r>
      <rPr>
        <sz val="11"/>
        <color theme="1"/>
        <rFont val="Calibri"/>
        <family val="2"/>
        <charset val="186"/>
      </rPr>
      <t xml:space="preserve"> and those </t>
    </r>
    <r>
      <rPr>
        <b/>
        <sz val="11"/>
        <color theme="1"/>
        <rFont val="Calibri"/>
        <family val="2"/>
        <charset val="186"/>
      </rPr>
      <t>administrative</t>
    </r>
    <r>
      <rPr>
        <sz val="11"/>
        <color theme="1"/>
        <rFont val="Calibri"/>
        <family val="2"/>
        <charset val="186"/>
      </rPr>
      <t xml:space="preserve"> costs </t>
    </r>
    <r>
      <rPr>
        <b/>
        <sz val="11"/>
        <color theme="1"/>
        <rFont val="Calibri"/>
        <family val="2"/>
        <charset val="186"/>
      </rPr>
      <t>(2.120.650 Eur.)</t>
    </r>
    <r>
      <rPr>
        <sz val="11"/>
        <color theme="1"/>
        <rFont val="Calibri"/>
        <family val="2"/>
        <charset val="186"/>
      </rPr>
      <t xml:space="preserve">  are not included in the calculation of indicators. According to 2014-2020 OP implementation results, an average heat production capacity installed per household is 11 kW</t>
    </r>
    <r>
      <rPr>
        <b/>
        <sz val="11"/>
        <color theme="1"/>
        <rFont val="Calibri"/>
        <family val="2"/>
        <charset val="186"/>
      </rPr>
      <t xml:space="preserve">, of which, the European Union's share of investments price consists to </t>
    </r>
    <r>
      <rPr>
        <strike/>
        <sz val="11"/>
        <color theme="1"/>
        <rFont val="Calibri"/>
        <family val="2"/>
        <charset val="186"/>
      </rPr>
      <t>with the price of 3696</t>
    </r>
    <r>
      <rPr>
        <sz val="11"/>
        <color theme="1"/>
        <rFont val="Calibri"/>
        <family val="2"/>
        <charset val="186"/>
      </rPr>
      <t xml:space="preserve"> </t>
    </r>
    <r>
      <rPr>
        <b/>
        <sz val="11"/>
        <color theme="1"/>
        <rFont val="Calibri"/>
        <family val="2"/>
        <charset val="186"/>
      </rPr>
      <t>3841</t>
    </r>
    <r>
      <rPr>
        <sz val="11"/>
        <color theme="1"/>
        <rFont val="Calibri"/>
        <family val="2"/>
        <charset val="186"/>
      </rPr>
      <t xml:space="preserve"> eur (</t>
    </r>
    <r>
      <rPr>
        <b/>
        <sz val="11"/>
        <color theme="1"/>
        <rFont val="Calibri"/>
        <family val="2"/>
        <charset val="186"/>
      </rPr>
      <t>part of the EU per kW 349,2</t>
    </r>
    <r>
      <rPr>
        <sz val="11"/>
        <color theme="1"/>
        <rFont val="Calibri"/>
        <family val="2"/>
        <charset val="186"/>
      </rPr>
      <t xml:space="preserve"> </t>
    </r>
    <r>
      <rPr>
        <strike/>
        <sz val="11"/>
        <color theme="1"/>
        <rFont val="Calibri"/>
        <family val="2"/>
        <charset val="186"/>
      </rPr>
      <t>1kW=336</t>
    </r>
    <r>
      <rPr>
        <sz val="11"/>
        <color theme="1"/>
        <rFont val="Calibri"/>
        <family val="2"/>
        <charset val="186"/>
      </rPr>
      <t xml:space="preserve"> eur). With the allocated investment </t>
    </r>
    <r>
      <rPr>
        <b/>
        <sz val="11"/>
        <color theme="1"/>
        <rFont val="Calibri"/>
        <family val="2"/>
        <charset val="186"/>
      </rPr>
      <t>10252</t>
    </r>
    <r>
      <rPr>
        <sz val="11"/>
        <color theme="1"/>
        <rFont val="Calibri"/>
        <family val="2"/>
        <charset val="186"/>
      </rPr>
      <t xml:space="preserve"> </t>
    </r>
    <r>
      <rPr>
        <strike/>
        <sz val="11"/>
        <color theme="1"/>
        <rFont val="Calibri"/>
        <family val="2"/>
        <charset val="186"/>
      </rPr>
      <t xml:space="preserve">21534 </t>
    </r>
    <r>
      <rPr>
        <sz val="11"/>
        <color theme="1"/>
        <rFont val="Calibri"/>
        <family val="2"/>
        <charset val="186"/>
      </rPr>
      <t xml:space="preserve">households will have more efficient heat production capacities:  </t>
    </r>
    <r>
      <rPr>
        <b/>
        <sz val="11"/>
        <color theme="1"/>
        <rFont val="Calibri"/>
        <family val="2"/>
        <charset val="186"/>
      </rPr>
      <t>39.379.350</t>
    </r>
    <r>
      <rPr>
        <sz val="11"/>
        <color theme="1"/>
        <rFont val="Calibri"/>
        <family val="2"/>
        <charset val="186"/>
      </rPr>
      <t xml:space="preserve"> </t>
    </r>
    <r>
      <rPr>
        <strike/>
        <sz val="11"/>
        <color theme="1"/>
        <rFont val="Calibri"/>
        <family val="2"/>
        <charset val="186"/>
      </rPr>
      <t>79 588 700</t>
    </r>
    <r>
      <rPr>
        <sz val="11"/>
        <color theme="1"/>
        <rFont val="Calibri"/>
        <family val="2"/>
        <charset val="186"/>
      </rPr>
      <t>/</t>
    </r>
    <r>
      <rPr>
        <b/>
        <sz val="11"/>
        <color theme="1"/>
        <rFont val="Calibri"/>
        <family val="2"/>
        <charset val="186"/>
      </rPr>
      <t>3841</t>
    </r>
    <r>
      <rPr>
        <sz val="11"/>
        <color theme="1"/>
        <rFont val="Calibri"/>
        <family val="2"/>
        <charset val="186"/>
      </rPr>
      <t xml:space="preserve"> </t>
    </r>
    <r>
      <rPr>
        <strike/>
        <sz val="11"/>
        <color theme="1"/>
        <rFont val="Calibri"/>
        <family val="2"/>
        <charset val="186"/>
      </rPr>
      <t xml:space="preserve">3696 </t>
    </r>
    <r>
      <rPr>
        <sz val="11"/>
        <color theme="1"/>
        <rFont val="Calibri"/>
        <family val="2"/>
        <charset val="186"/>
      </rPr>
      <t>=~</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color theme="1"/>
        <rFont val="Calibri"/>
        <family val="2"/>
        <charset val="186"/>
      </rPr>
      <t>approx.</t>
    </r>
    <r>
      <rPr>
        <sz val="11"/>
        <color theme="1"/>
        <rFont val="Calibri"/>
        <family val="2"/>
        <charset val="186"/>
      </rPr>
      <t xml:space="preserve"> in the </t>
    </r>
    <r>
      <rPr>
        <strike/>
        <sz val="11"/>
        <color theme="1"/>
        <rFont val="Calibri"/>
        <family val="2"/>
        <charset val="186"/>
      </rPr>
      <t>mid of</t>
    </r>
    <r>
      <rPr>
        <sz val="11"/>
        <color theme="1"/>
        <rFont val="Calibri"/>
        <family val="2"/>
        <charset val="186"/>
      </rPr>
      <t xml:space="preserve"> 2023. Therefore we assume that about 10 percent of funds will be invested by 2024, then milestone will be </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x0,1=</t>
    </r>
    <r>
      <rPr>
        <strike/>
        <sz val="11"/>
        <color theme="1"/>
        <rFont val="Calibri"/>
        <family val="2"/>
        <charset val="186"/>
      </rPr>
      <t>2153</t>
    </r>
    <r>
      <rPr>
        <sz val="11"/>
        <color theme="1"/>
        <rFont val="Calibri"/>
        <family val="2"/>
        <charset val="186"/>
      </rPr>
      <t xml:space="preserve">  </t>
    </r>
    <r>
      <rPr>
        <b/>
        <sz val="11"/>
        <color theme="1"/>
        <rFont val="Calibri"/>
        <family val="2"/>
        <charset val="186"/>
      </rPr>
      <t>1025</t>
    </r>
    <r>
      <rPr>
        <sz val="11"/>
        <color theme="1"/>
        <rFont val="Calibri"/>
        <family val="2"/>
        <charset val="186"/>
      </rPr>
      <t xml:space="preserve"> households with more efficient heat production capacities </t>
    </r>
    <r>
      <rPr>
        <b/>
        <sz val="11"/>
        <color theme="1"/>
        <rFont val="Calibri"/>
        <family val="2"/>
        <charset val="186"/>
      </rPr>
      <t>(mostly with heat pumps)</t>
    </r>
    <r>
      <rPr>
        <sz val="11"/>
        <color theme="1"/>
        <rFont val="Calibri"/>
        <family val="2"/>
        <charset val="186"/>
      </rPr>
      <t>.</t>
    </r>
  </si>
  <si>
    <r>
      <t>Baseline calculation</t>
    </r>
    <r>
      <rPr>
        <sz val="11"/>
        <rFont val="Calibri"/>
        <family val="2"/>
        <charset val="186"/>
      </rPr>
      <t xml:space="preserve">: According to 2014-2020 OP implementation results, </t>
    </r>
    <r>
      <rPr>
        <b/>
        <sz val="11"/>
        <rFont val="Calibri"/>
        <family val="2"/>
        <charset val="186"/>
      </rPr>
      <t xml:space="preserve">national methodologies and Commission decision (2013/114/EU) calculation recommendartions  </t>
    </r>
    <r>
      <rPr>
        <sz val="11"/>
        <rFont val="Calibri"/>
        <family val="2"/>
        <charset val="186"/>
      </rPr>
      <t xml:space="preserve">inefficient </t>
    </r>
    <r>
      <rPr>
        <b/>
        <sz val="11"/>
        <rFont val="Calibri"/>
        <family val="2"/>
        <charset val="186"/>
      </rPr>
      <t>heat production device (boiler)</t>
    </r>
    <r>
      <rPr>
        <sz val="11"/>
        <rFont val="Calibri"/>
        <family val="2"/>
        <charset val="186"/>
      </rPr>
      <t xml:space="preserve"> </t>
    </r>
    <r>
      <rPr>
        <strike/>
        <sz val="11"/>
        <rFont val="Calibri"/>
        <family val="2"/>
        <charset val="186"/>
      </rPr>
      <t>household</t>
    </r>
    <r>
      <rPr>
        <sz val="11"/>
        <rFont val="Calibri"/>
        <family val="2"/>
        <charset val="186"/>
      </rPr>
      <t xml:space="preserve"> </t>
    </r>
    <r>
      <rPr>
        <b/>
        <sz val="11"/>
        <rFont val="Calibri"/>
        <family val="2"/>
        <charset val="186"/>
      </rPr>
      <t xml:space="preserve">to satisfy the household's annual heat demand </t>
    </r>
    <r>
      <rPr>
        <sz val="11"/>
        <rFont val="Calibri"/>
        <family val="2"/>
        <charset val="186"/>
      </rPr>
      <t xml:space="preserve">consumes an average </t>
    </r>
    <r>
      <rPr>
        <strike/>
        <sz val="11"/>
        <rFont val="Calibri"/>
        <family val="2"/>
        <charset val="186"/>
      </rPr>
      <t>5,7</t>
    </r>
    <r>
      <rPr>
        <sz val="11"/>
        <rFont val="Calibri"/>
        <family val="2"/>
        <charset val="186"/>
      </rPr>
      <t xml:space="preserve"> </t>
    </r>
    <r>
      <rPr>
        <b/>
        <sz val="11"/>
        <rFont val="Calibri"/>
        <family val="2"/>
        <charset val="186"/>
      </rPr>
      <t xml:space="preserve">2,5 </t>
    </r>
    <r>
      <rPr>
        <sz val="11"/>
        <rFont val="Calibri"/>
        <family val="2"/>
        <charset val="186"/>
      </rPr>
      <t>toe of primary</t>
    </r>
    <r>
      <rPr>
        <b/>
        <sz val="11"/>
        <rFont val="Calibri"/>
        <family val="2"/>
        <charset val="186"/>
      </rPr>
      <t xml:space="preserve"> </t>
    </r>
    <r>
      <rPr>
        <sz val="11"/>
        <rFont val="Calibri"/>
        <family val="2"/>
        <charset val="186"/>
      </rPr>
      <t xml:space="preserve">energy or </t>
    </r>
    <r>
      <rPr>
        <b/>
        <sz val="11"/>
        <rFont val="Calibri"/>
        <family val="2"/>
        <charset val="186"/>
      </rPr>
      <t xml:space="preserve">29,07 </t>
    </r>
    <r>
      <rPr>
        <strike/>
        <sz val="11"/>
        <rFont val="Calibri"/>
        <family val="2"/>
        <charset val="186"/>
      </rPr>
      <t xml:space="preserve">66,28 </t>
    </r>
    <r>
      <rPr>
        <sz val="11"/>
        <rFont val="Calibri"/>
        <family val="2"/>
        <charset val="186"/>
      </rPr>
      <t>MWh (</t>
    </r>
    <r>
      <rPr>
        <b/>
        <sz val="11"/>
        <rFont val="Calibri"/>
        <family val="2"/>
        <charset val="186"/>
      </rPr>
      <t>2,5</t>
    </r>
    <r>
      <rPr>
        <sz val="11"/>
        <rFont val="Calibri"/>
        <family val="2"/>
        <charset val="186"/>
      </rPr>
      <t xml:space="preserve"> </t>
    </r>
    <r>
      <rPr>
        <strike/>
        <sz val="11"/>
        <rFont val="Calibri"/>
        <family val="2"/>
        <charset val="186"/>
      </rPr>
      <t xml:space="preserve">5,7 </t>
    </r>
    <r>
      <rPr>
        <sz val="11"/>
        <rFont val="Calibri"/>
        <family val="2"/>
        <charset val="186"/>
      </rPr>
      <t>x11,628=</t>
    </r>
    <r>
      <rPr>
        <strike/>
        <sz val="11"/>
        <rFont val="Calibri"/>
        <family val="2"/>
        <charset val="186"/>
      </rPr>
      <t>66,28</t>
    </r>
    <r>
      <rPr>
        <sz val="11"/>
        <rFont val="Calibri"/>
        <family val="2"/>
        <charset val="186"/>
      </rPr>
      <t xml:space="preserve"> </t>
    </r>
    <r>
      <rPr>
        <b/>
        <sz val="11"/>
        <rFont val="Calibri"/>
        <family val="2"/>
        <charset val="186"/>
      </rPr>
      <t>29,07</t>
    </r>
    <r>
      <rPr>
        <sz val="11"/>
        <rFont val="Calibri"/>
        <family val="2"/>
        <charset val="186"/>
      </rPr>
      <t xml:space="preserve"> MWh, where 1 toe = 11,628 MWh  (conversion factor).  </t>
    </r>
    <r>
      <rPr>
        <strike/>
        <sz val="11"/>
        <rFont val="Calibri"/>
        <family val="2"/>
        <charset val="186"/>
      </rPr>
      <t>21534</t>
    </r>
    <r>
      <rPr>
        <sz val="11"/>
        <rFont val="Calibri"/>
        <family val="2"/>
        <charset val="186"/>
      </rPr>
      <t xml:space="preserve"> </t>
    </r>
    <r>
      <rPr>
        <b/>
        <sz val="11"/>
        <rFont val="Calibri"/>
        <family val="2"/>
        <charset val="186"/>
      </rPr>
      <t xml:space="preserve">10252 </t>
    </r>
    <r>
      <rPr>
        <sz val="11"/>
        <rFont val="Calibri"/>
        <family val="2"/>
        <charset val="186"/>
      </rPr>
      <t xml:space="preserve">households consume </t>
    </r>
    <r>
      <rPr>
        <strike/>
        <sz val="11"/>
        <rFont val="Calibri"/>
        <family val="2"/>
        <charset val="186"/>
      </rPr>
      <t>21534</t>
    </r>
    <r>
      <rPr>
        <sz val="11"/>
        <rFont val="Calibri"/>
        <family val="2"/>
        <charset val="186"/>
      </rPr>
      <t xml:space="preserve"> </t>
    </r>
    <r>
      <rPr>
        <b/>
        <sz val="11"/>
        <rFont val="Calibri"/>
        <family val="2"/>
        <charset val="186"/>
      </rPr>
      <t>10252</t>
    </r>
    <r>
      <rPr>
        <sz val="11"/>
        <rFont val="Calibri"/>
        <family val="2"/>
        <charset val="186"/>
      </rPr>
      <t>x</t>
    </r>
    <r>
      <rPr>
        <b/>
        <sz val="11"/>
        <rFont val="Calibri"/>
        <family val="2"/>
        <charset val="186"/>
      </rPr>
      <t>29,07</t>
    </r>
    <r>
      <rPr>
        <sz val="11"/>
        <rFont val="Calibri"/>
        <family val="2"/>
        <charset val="186"/>
      </rPr>
      <t xml:space="preserve"> </t>
    </r>
    <r>
      <rPr>
        <strike/>
        <sz val="11"/>
        <rFont val="Calibri"/>
        <family val="2"/>
        <charset val="186"/>
      </rPr>
      <t>66,28</t>
    </r>
    <r>
      <rPr>
        <sz val="11"/>
        <rFont val="Calibri"/>
        <family val="2"/>
        <charset val="186"/>
      </rPr>
      <t>=</t>
    </r>
    <r>
      <rPr>
        <b/>
        <strike/>
        <sz val="11"/>
        <rFont val="Calibri"/>
        <family val="2"/>
        <charset val="186"/>
      </rPr>
      <t>1 427 274</t>
    </r>
    <r>
      <rPr>
        <b/>
        <sz val="11"/>
        <rFont val="Calibri"/>
        <family val="2"/>
        <charset val="186"/>
      </rPr>
      <t xml:space="preserve"> 298 026 MWh/year</t>
    </r>
    <r>
      <rPr>
        <sz val="11"/>
        <rFont val="Calibri"/>
        <family val="2"/>
        <charset val="186"/>
      </rPr>
      <t xml:space="preserve"> </t>
    </r>
    <r>
      <rPr>
        <strike/>
        <sz val="11"/>
        <rFont val="Calibri"/>
        <family val="2"/>
        <charset val="186"/>
      </rPr>
      <t>primary</t>
    </r>
    <r>
      <rPr>
        <sz val="11"/>
        <rFont val="Calibri"/>
        <family val="2"/>
        <charset val="186"/>
      </rPr>
      <t xml:space="preserve"> </t>
    </r>
    <r>
      <rPr>
        <b/>
        <sz val="11"/>
        <rFont val="Calibri"/>
        <family val="2"/>
        <charset val="186"/>
      </rPr>
      <t>final</t>
    </r>
    <r>
      <rPr>
        <sz val="11"/>
        <rFont val="Calibri"/>
        <family val="2"/>
        <charset val="186"/>
      </rPr>
      <t xml:space="preserve"> energy. </t>
    </r>
    <r>
      <rPr>
        <u/>
        <sz val="11"/>
        <rFont val="Calibri"/>
        <family val="2"/>
        <charset val="186"/>
      </rPr>
      <t>Target 2029 calculation</t>
    </r>
    <r>
      <rPr>
        <sz val="11"/>
        <rFont val="Calibri"/>
        <family val="2"/>
        <charset val="186"/>
      </rPr>
      <t xml:space="preserve">: efficient household </t>
    </r>
    <r>
      <rPr>
        <b/>
        <sz val="11"/>
        <rFont val="Calibri"/>
        <family val="2"/>
        <charset val="186"/>
      </rPr>
      <t>wth heat pump</t>
    </r>
    <r>
      <rPr>
        <sz val="11"/>
        <rFont val="Calibri"/>
        <family val="2"/>
        <charset val="186"/>
      </rPr>
      <t xml:space="preserve"> consumes an average</t>
    </r>
    <r>
      <rPr>
        <b/>
        <sz val="11"/>
        <rFont val="Calibri"/>
        <family val="2"/>
        <charset val="186"/>
      </rPr>
      <t xml:space="preserve"> 0,45</t>
    </r>
    <r>
      <rPr>
        <sz val="11"/>
        <rFont val="Calibri"/>
        <family val="2"/>
        <charset val="186"/>
      </rPr>
      <t xml:space="preserve"> </t>
    </r>
    <r>
      <rPr>
        <strike/>
        <sz val="11"/>
        <rFont val="Calibri"/>
        <family val="2"/>
        <charset val="186"/>
      </rPr>
      <t>1,8</t>
    </r>
    <r>
      <rPr>
        <sz val="11"/>
        <rFont val="Calibri"/>
        <family val="2"/>
        <charset val="186"/>
      </rPr>
      <t xml:space="preserve"> toe of </t>
    </r>
    <r>
      <rPr>
        <strike/>
        <sz val="11"/>
        <rFont val="Calibri"/>
        <family val="2"/>
        <charset val="186"/>
      </rPr>
      <t>primary</t>
    </r>
    <r>
      <rPr>
        <sz val="11"/>
        <rFont val="Calibri"/>
        <family val="2"/>
        <charset val="186"/>
      </rPr>
      <t xml:space="preserve"> </t>
    </r>
    <r>
      <rPr>
        <b/>
        <sz val="11"/>
        <rFont val="Calibri"/>
        <family val="2"/>
        <charset val="186"/>
      </rPr>
      <t xml:space="preserve">final </t>
    </r>
    <r>
      <rPr>
        <sz val="11"/>
        <rFont val="Calibri"/>
        <family val="2"/>
        <charset val="186"/>
      </rPr>
      <t xml:space="preserve">energy or </t>
    </r>
    <r>
      <rPr>
        <strike/>
        <sz val="11"/>
        <rFont val="Calibri"/>
        <family val="2"/>
        <charset val="186"/>
      </rPr>
      <t>20,9</t>
    </r>
    <r>
      <rPr>
        <sz val="11"/>
        <rFont val="Calibri"/>
        <family val="2"/>
        <charset val="186"/>
      </rPr>
      <t xml:space="preserve"> </t>
    </r>
    <r>
      <rPr>
        <b/>
        <sz val="11"/>
        <rFont val="Calibri"/>
        <family val="2"/>
        <charset val="186"/>
      </rPr>
      <t>5,2</t>
    </r>
    <r>
      <rPr>
        <sz val="11"/>
        <rFont val="Calibri"/>
        <family val="2"/>
        <charset val="186"/>
      </rPr>
      <t xml:space="preserve"> MWh (</t>
    </r>
    <r>
      <rPr>
        <strike/>
        <sz val="11"/>
        <rFont val="Calibri"/>
        <family val="2"/>
        <charset val="186"/>
      </rPr>
      <t>1,8</t>
    </r>
    <r>
      <rPr>
        <b/>
        <sz val="11"/>
        <rFont val="Calibri"/>
        <family val="2"/>
        <charset val="186"/>
      </rPr>
      <t xml:space="preserve"> 0,45</t>
    </r>
    <r>
      <rPr>
        <sz val="11"/>
        <rFont val="Calibri"/>
        <family val="2"/>
        <charset val="186"/>
      </rPr>
      <t xml:space="preserve">x11,628= </t>
    </r>
    <r>
      <rPr>
        <b/>
        <sz val="11"/>
        <rFont val="Calibri"/>
        <family val="2"/>
        <charset val="186"/>
      </rPr>
      <t>5,2</t>
    </r>
    <r>
      <rPr>
        <sz val="11"/>
        <rFont val="Calibri"/>
        <family val="2"/>
        <charset val="186"/>
      </rPr>
      <t xml:space="preserve"> </t>
    </r>
    <r>
      <rPr>
        <strike/>
        <sz val="11"/>
        <rFont val="Calibri"/>
        <family val="2"/>
        <charset val="186"/>
      </rPr>
      <t>20,9</t>
    </r>
    <r>
      <rPr>
        <sz val="11"/>
        <rFont val="Calibri"/>
        <family val="2"/>
        <charset val="186"/>
      </rPr>
      <t xml:space="preserve"> MWh). </t>
    </r>
    <r>
      <rPr>
        <b/>
        <sz val="11"/>
        <rFont val="Calibri"/>
        <family val="2"/>
        <charset val="186"/>
      </rPr>
      <t>Efficient biomass boiler consumes until 2 times less energy (average 30 % less)  1,75 toe or 1,75x11,628=  20,349 MWh.</t>
    </r>
    <r>
      <rPr>
        <sz val="11"/>
        <rFont val="Calibri"/>
        <family val="2"/>
        <charset val="186"/>
      </rPr>
      <t xml:space="preserve">  </t>
    </r>
    <r>
      <rPr>
        <b/>
        <sz val="11"/>
        <rFont val="Calibri"/>
        <family val="2"/>
        <charset val="186"/>
      </rPr>
      <t>Assuming that the majority of households will install heat pumps (</t>
    </r>
    <r>
      <rPr>
        <b/>
        <strike/>
        <sz val="11"/>
        <rFont val="Calibri"/>
        <family val="2"/>
        <charset val="186"/>
      </rPr>
      <t>at least</t>
    </r>
    <r>
      <rPr>
        <b/>
        <sz val="11"/>
        <rFont val="Calibri"/>
        <family val="2"/>
        <charset val="186"/>
      </rPr>
      <t xml:space="preserve"> about 80 %) and only a smaller proportion will install representative biofuel boilers meeting efficiency and pollution criteria  (</t>
    </r>
    <r>
      <rPr>
        <b/>
        <strike/>
        <sz val="11"/>
        <rFont val="Calibri"/>
        <family val="2"/>
        <charset val="186"/>
      </rPr>
      <t xml:space="preserve">at least </t>
    </r>
    <r>
      <rPr>
        <b/>
        <sz val="11"/>
        <rFont val="Calibri"/>
        <family val="2"/>
        <charset val="186"/>
      </rPr>
      <t>about 20 % )</t>
    </r>
    <r>
      <rPr>
        <b/>
        <strike/>
        <sz val="11"/>
        <rFont val="Calibri"/>
        <family val="2"/>
        <charset val="186"/>
      </rPr>
      <t xml:space="preserve"> </t>
    </r>
    <r>
      <rPr>
        <strike/>
        <sz val="11"/>
        <rFont val="Calibri"/>
        <family val="2"/>
        <charset val="186"/>
      </rPr>
      <t>21534</t>
    </r>
    <r>
      <rPr>
        <b/>
        <sz val="11"/>
        <rFont val="Calibri"/>
        <family val="2"/>
        <charset val="186"/>
      </rPr>
      <t xml:space="preserve"> 10252</t>
    </r>
    <r>
      <rPr>
        <sz val="11"/>
        <rFont val="Calibri"/>
        <family val="2"/>
        <charset val="186"/>
      </rPr>
      <t xml:space="preserve"> efficient households consume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t>
    </r>
    <r>
      <rPr>
        <strike/>
        <sz val="11"/>
        <rFont val="Calibri"/>
        <family val="2"/>
        <charset val="186"/>
      </rPr>
      <t>20,9</t>
    </r>
    <r>
      <rPr>
        <b/>
        <sz val="11"/>
        <rFont val="Calibri"/>
        <family val="2"/>
        <charset val="186"/>
      </rPr>
      <t xml:space="preserve"> 8,23 MWh </t>
    </r>
    <r>
      <rPr>
        <sz val="11"/>
        <rFont val="Calibri"/>
        <family val="2"/>
        <charset val="186"/>
      </rPr>
      <t>=</t>
    </r>
    <r>
      <rPr>
        <b/>
        <strike/>
        <sz val="11"/>
        <rFont val="Calibri"/>
        <family val="2"/>
        <charset val="186"/>
      </rPr>
      <t>450 061</t>
    </r>
    <r>
      <rPr>
        <b/>
        <sz val="11"/>
        <rFont val="Calibri"/>
        <family val="2"/>
        <charset val="186"/>
      </rPr>
      <t xml:space="preserve"> 84 373,96 MWh/year.  Where 8,23 MWh=((5,2MWh*80)+(20,349*20))/100,  the latest actual known distribution data between technologies was used for this calculation)</t>
    </r>
  </si>
  <si>
    <r>
      <t>Baseline:</t>
    </r>
    <r>
      <rPr>
        <sz val="11"/>
        <rFont val="Calibri"/>
        <family val="2"/>
        <charset val="186"/>
      </rPr>
      <t xml:space="preserve"> </t>
    </r>
    <r>
      <rPr>
        <strike/>
        <sz val="11"/>
        <rFont val="Calibri"/>
        <family val="2"/>
        <charset val="186"/>
      </rPr>
      <t>1427274</t>
    </r>
    <r>
      <rPr>
        <sz val="11"/>
        <rFont val="Calibri"/>
        <family val="2"/>
        <charset val="186"/>
      </rPr>
      <t xml:space="preserve">  </t>
    </r>
    <r>
      <rPr>
        <b/>
        <sz val="11"/>
        <rFont val="Calibri"/>
        <family val="2"/>
        <charset val="186"/>
      </rPr>
      <t>298 026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metus</t>
    </r>
    <r>
      <rPr>
        <sz val="11"/>
        <rFont val="Calibri"/>
        <family val="2"/>
        <charset val="186"/>
      </rPr>
      <t xml:space="preserve"> x  0,04 tCO2/MWh  (</t>
    </r>
    <r>
      <rPr>
        <strike/>
        <sz val="11"/>
        <rFont val="Calibri"/>
        <family val="2"/>
        <charset val="186"/>
      </rPr>
      <t xml:space="preserve">pollution factor </t>
    </r>
    <r>
      <rPr>
        <b/>
        <sz val="11"/>
        <rFont val="Calibri"/>
        <family val="2"/>
        <charset val="186"/>
      </rPr>
      <t>CO2 emission factor of energy sources used for energy production</t>
    </r>
    <r>
      <rPr>
        <sz val="11"/>
        <rFont val="Calibri"/>
        <family val="2"/>
        <charset val="186"/>
      </rPr>
      <t xml:space="preserve"> for biofuel according to Technical Regulation of Construction, Ministry of Environment)  =</t>
    </r>
    <r>
      <rPr>
        <b/>
        <sz val="11"/>
        <rFont val="Calibri"/>
        <family val="2"/>
        <charset val="186"/>
      </rPr>
      <t xml:space="preserve"> </t>
    </r>
    <r>
      <rPr>
        <b/>
        <strike/>
        <sz val="11"/>
        <rFont val="Calibri"/>
        <family val="2"/>
        <charset val="186"/>
      </rPr>
      <t>57091</t>
    </r>
    <r>
      <rPr>
        <b/>
        <sz val="11"/>
        <rFont val="Calibri"/>
        <family val="2"/>
        <charset val="186"/>
      </rPr>
      <t xml:space="preserve">  11 921</t>
    </r>
    <r>
      <rPr>
        <sz val="11"/>
        <rFont val="Calibri"/>
        <family val="2"/>
        <charset val="186"/>
      </rPr>
      <t xml:space="preserve"> </t>
    </r>
    <r>
      <rPr>
        <b/>
        <sz val="11"/>
        <rFont val="Calibri"/>
        <family val="2"/>
        <charset val="186"/>
      </rPr>
      <t>tCO2 ekv./year</t>
    </r>
    <r>
      <rPr>
        <sz val="11"/>
        <rFont val="Calibri"/>
        <family val="2"/>
        <charset val="186"/>
      </rPr>
      <t>.</t>
    </r>
    <r>
      <rPr>
        <u/>
        <sz val="11"/>
        <rFont val="Calibri"/>
        <family val="2"/>
        <charset val="186"/>
      </rPr>
      <t xml:space="preserve"> Target 2029:</t>
    </r>
    <r>
      <rPr>
        <sz val="11"/>
        <rFont val="Calibri"/>
        <family val="2"/>
        <charset val="186"/>
      </rPr>
      <t xml:space="preserve">  </t>
    </r>
    <r>
      <rPr>
        <strike/>
        <sz val="11"/>
        <rFont val="Calibri"/>
        <family val="2"/>
        <charset val="186"/>
      </rPr>
      <t>out of 450061 MWh/year</t>
    </r>
    <r>
      <rPr>
        <sz val="11"/>
        <rFont val="Calibri"/>
        <family val="2"/>
        <charset val="186"/>
      </rPr>
      <t xml:space="preserve">  </t>
    </r>
    <r>
      <rPr>
        <b/>
        <sz val="11"/>
        <rFont val="Calibri"/>
        <family val="2"/>
        <charset val="186"/>
      </rPr>
      <t>at least</t>
    </r>
    <r>
      <rPr>
        <sz val="11"/>
        <rFont val="Calibri"/>
        <family val="2"/>
        <charset val="186"/>
      </rPr>
      <t xml:space="preserve"> </t>
    </r>
    <r>
      <rPr>
        <b/>
        <sz val="11"/>
        <rFont val="Calibri"/>
        <family val="2"/>
        <charset val="186"/>
      </rPr>
      <t xml:space="preserve">about </t>
    </r>
    <r>
      <rPr>
        <sz val="11"/>
        <rFont val="Calibri"/>
        <family val="2"/>
        <charset val="186"/>
      </rPr>
      <t xml:space="preserve">80% of energy </t>
    </r>
    <r>
      <rPr>
        <b/>
        <sz val="11"/>
        <rFont val="Calibri"/>
        <family val="2"/>
        <charset val="186"/>
      </rPr>
      <t>demand</t>
    </r>
    <r>
      <rPr>
        <sz val="11"/>
        <rFont val="Calibri"/>
        <family val="2"/>
        <charset val="186"/>
      </rPr>
      <t xml:space="preserve"> will </t>
    </r>
    <r>
      <rPr>
        <b/>
        <sz val="11"/>
        <rFont val="Calibri"/>
        <family val="2"/>
        <charset val="186"/>
      </rPr>
      <t xml:space="preserve">met </t>
    </r>
    <r>
      <rPr>
        <strike/>
        <sz val="11"/>
        <rFont val="Calibri"/>
        <family val="2"/>
        <charset val="186"/>
      </rPr>
      <t>be consumed</t>
    </r>
    <r>
      <rPr>
        <sz val="11"/>
        <rFont val="Calibri"/>
        <family val="2"/>
        <charset val="186"/>
      </rPr>
      <t xml:space="preserve"> by heat pumps, </t>
    </r>
    <r>
      <rPr>
        <b/>
        <sz val="11"/>
        <rFont val="Calibri"/>
        <family val="2"/>
        <charset val="186"/>
      </rPr>
      <t xml:space="preserve">about </t>
    </r>
    <r>
      <rPr>
        <sz val="11"/>
        <rFont val="Calibri"/>
        <family val="2"/>
        <charset val="186"/>
      </rPr>
      <t xml:space="preserve">20% - by biofuel boilers. </t>
    </r>
    <r>
      <rPr>
        <strike/>
        <sz val="11"/>
        <rFont val="Calibri"/>
        <family val="2"/>
        <charset val="186"/>
      </rPr>
      <t>75%</t>
    </r>
    <r>
      <rPr>
        <sz val="11"/>
        <rFont val="Calibri"/>
        <family val="2"/>
        <charset val="186"/>
      </rPr>
      <t xml:space="preserve"> </t>
    </r>
    <r>
      <rPr>
        <b/>
        <sz val="11"/>
        <rFont val="Calibri"/>
        <family val="2"/>
        <charset val="186"/>
      </rPr>
      <t>100%</t>
    </r>
    <r>
      <rPr>
        <sz val="11"/>
        <rFont val="Calibri"/>
        <family val="2"/>
        <charset val="186"/>
      </rPr>
      <t xml:space="preserve"> of heat energy produced by heat pumps is being considered as energy produced from RES, therefore pollution factor for this energy share is not applicable. For the rest of energy share - pollution factor will be </t>
    </r>
    <r>
      <rPr>
        <strike/>
        <sz val="11"/>
        <rFont val="Calibri"/>
        <family val="2"/>
        <charset val="186"/>
      </rPr>
      <t xml:space="preserve">0,42 </t>
    </r>
    <r>
      <rPr>
        <b/>
        <sz val="11"/>
        <rFont val="Calibri"/>
        <family val="2"/>
        <charset val="186"/>
      </rPr>
      <t>0,04</t>
    </r>
    <r>
      <rPr>
        <strike/>
        <sz val="11"/>
        <rFont val="Calibri"/>
        <family val="2"/>
        <charset val="186"/>
      </rPr>
      <t xml:space="preserve"> </t>
    </r>
    <r>
      <rPr>
        <sz val="11"/>
        <rFont val="Calibri"/>
        <family val="2"/>
        <charset val="186"/>
      </rPr>
      <t>tCO2/MWh.  (</t>
    </r>
    <r>
      <rPr>
        <strike/>
        <sz val="11"/>
        <rFont val="Calibri"/>
        <family val="2"/>
        <charset val="186"/>
      </rPr>
      <t>450061</t>
    </r>
    <r>
      <rPr>
        <sz val="11"/>
        <rFont val="Calibri"/>
        <family val="2"/>
        <charset val="186"/>
      </rPr>
      <t xml:space="preserve"> </t>
    </r>
    <r>
      <rPr>
        <b/>
        <sz val="11"/>
        <rFont val="Calibri"/>
        <family val="2"/>
        <charset val="186"/>
      </rPr>
      <t>84373,96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t>
    </r>
    <r>
      <rPr>
        <sz val="11"/>
        <rFont val="Calibri"/>
        <family val="2"/>
        <charset val="186"/>
      </rPr>
      <t>s * 0,2*0,04 tCO2/MWh)</t>
    </r>
    <r>
      <rPr>
        <strike/>
        <sz val="11"/>
        <rFont val="Calibri"/>
        <family val="2"/>
        <charset val="186"/>
      </rPr>
      <t xml:space="preserve">+( 450061 MWh/metus*0,8*0,25* 0,42 tCO2/MWh) </t>
    </r>
    <r>
      <rPr>
        <sz val="11"/>
        <rFont val="Calibri"/>
        <family val="2"/>
        <charset val="186"/>
      </rPr>
      <t xml:space="preserve">= </t>
    </r>
    <r>
      <rPr>
        <b/>
        <strike/>
        <sz val="11"/>
        <rFont val="Calibri"/>
        <family val="2"/>
        <charset val="186"/>
      </rPr>
      <t xml:space="preserve">41405 </t>
    </r>
    <r>
      <rPr>
        <b/>
        <sz val="11"/>
        <rFont val="Calibri"/>
        <family val="2"/>
        <charset val="186"/>
      </rPr>
      <t>674,99 tCO2 ekv./year</t>
    </r>
  </si>
  <si>
    <r>
      <t xml:space="preserve">Calculation of indicators based on the 50 percent of funding intensity to maintain the same financial model as in 2014-2020 </t>
    </r>
    <r>
      <rPr>
        <b/>
        <sz val="11"/>
        <rFont val="Calibri"/>
        <family val="2"/>
        <charset val="186"/>
      </rPr>
      <t>period</t>
    </r>
    <r>
      <rPr>
        <sz val="11"/>
        <rFont val="Calibri"/>
        <family val="2"/>
        <charset val="186"/>
      </rPr>
      <t xml:space="preserve"> </t>
    </r>
    <r>
      <rPr>
        <strike/>
        <sz val="11"/>
        <rFont val="Calibri"/>
        <family val="2"/>
        <charset val="186"/>
      </rPr>
      <t>(EU amount- 41.500.000 Eur +  co-financing rate (Eur.) - 41.500.000 Eur.Total- 83.000.000 Eur)</t>
    </r>
    <r>
      <rPr>
        <sz val="11"/>
        <rFont val="Calibri"/>
        <family val="2"/>
        <charset val="186"/>
      </rPr>
      <t>.  We assume that administrative costs will be similar</t>
    </r>
    <r>
      <rPr>
        <b/>
        <sz val="11"/>
        <rFont val="Calibri"/>
        <family val="2"/>
        <charset val="186"/>
      </rPr>
      <t xml:space="preserve"> 5,11</t>
    </r>
    <r>
      <rPr>
        <sz val="11"/>
        <rFont val="Calibri"/>
        <family val="2"/>
        <charset val="186"/>
      </rPr>
      <t xml:space="preserve"> </t>
    </r>
    <r>
      <rPr>
        <strike/>
        <sz val="11"/>
        <rFont val="Calibri"/>
        <family val="2"/>
        <charset val="186"/>
      </rPr>
      <t xml:space="preserve">4,11 </t>
    </r>
    <r>
      <rPr>
        <sz val="11"/>
        <rFont val="Calibri"/>
        <family val="2"/>
        <charset val="186"/>
      </rPr>
      <t xml:space="preserve"> percent  (</t>
    </r>
    <r>
      <rPr>
        <strike/>
        <sz val="11"/>
        <rFont val="Calibri"/>
        <family val="2"/>
        <charset val="186"/>
      </rPr>
      <t>83.000.000</t>
    </r>
    <r>
      <rPr>
        <sz val="11"/>
        <rFont val="Calibri"/>
        <family val="2"/>
        <charset val="186"/>
      </rPr>
      <t xml:space="preserve"> </t>
    </r>
    <r>
      <rPr>
        <b/>
        <sz val="11"/>
        <rFont val="Calibri"/>
        <family val="2"/>
        <charset val="186"/>
      </rPr>
      <t>41.500.000</t>
    </r>
    <r>
      <rPr>
        <sz val="11"/>
        <rFont val="Calibri"/>
        <family val="2"/>
        <charset val="186"/>
      </rPr>
      <t xml:space="preserve"> Eur. - </t>
    </r>
    <r>
      <rPr>
        <strike/>
        <sz val="11"/>
        <rFont val="Calibri"/>
        <family val="2"/>
        <charset val="186"/>
      </rPr>
      <t>4,11</t>
    </r>
    <r>
      <rPr>
        <sz val="11"/>
        <rFont val="Calibri"/>
        <family val="2"/>
        <charset val="186"/>
      </rPr>
      <t xml:space="preserve"> </t>
    </r>
    <r>
      <rPr>
        <b/>
        <sz val="11"/>
        <rFont val="Calibri"/>
        <family val="2"/>
        <charset val="186"/>
      </rPr>
      <t>5,11</t>
    </r>
    <r>
      <rPr>
        <sz val="11"/>
        <rFont val="Calibri"/>
        <family val="2"/>
        <charset val="186"/>
      </rPr>
      <t xml:space="preserve"> percent= </t>
    </r>
    <r>
      <rPr>
        <strike/>
        <sz val="11"/>
        <rFont val="Calibri"/>
        <family val="2"/>
        <charset val="186"/>
      </rPr>
      <t>79.588.700</t>
    </r>
    <r>
      <rPr>
        <sz val="11"/>
        <rFont val="Calibri"/>
        <family val="2"/>
        <charset val="186"/>
      </rPr>
      <t xml:space="preserve"> </t>
    </r>
    <r>
      <rPr>
        <b/>
        <sz val="11"/>
        <rFont val="Calibri"/>
        <family val="2"/>
        <charset val="186"/>
      </rPr>
      <t>39.379.350</t>
    </r>
    <r>
      <rPr>
        <sz val="11"/>
        <rFont val="Calibri"/>
        <family val="2"/>
        <charset val="186"/>
      </rPr>
      <t xml:space="preserve"> Eur.)  </t>
    </r>
    <r>
      <rPr>
        <strike/>
        <sz val="11"/>
        <rFont val="Calibri"/>
        <family val="2"/>
        <charset val="186"/>
      </rPr>
      <t>as in 2014-2020 OP for boilers' replacement projects (04.3.2- LVPA-V-111 measure „Replacement of households' boilers")</t>
    </r>
    <r>
      <rPr>
        <sz val="11"/>
        <rFont val="Calibri"/>
        <family val="2"/>
        <charset val="186"/>
      </rPr>
      <t xml:space="preserve"> and those </t>
    </r>
    <r>
      <rPr>
        <b/>
        <sz val="11"/>
        <rFont val="Calibri"/>
        <family val="2"/>
        <charset val="186"/>
      </rPr>
      <t>administrative</t>
    </r>
    <r>
      <rPr>
        <sz val="11"/>
        <rFont val="Calibri"/>
        <family val="2"/>
        <charset val="186"/>
      </rPr>
      <t xml:space="preserve"> costs </t>
    </r>
    <r>
      <rPr>
        <b/>
        <sz val="11"/>
        <rFont val="Calibri"/>
        <family val="2"/>
        <charset val="186"/>
      </rPr>
      <t>(2.120.650 Eur.)</t>
    </r>
    <r>
      <rPr>
        <sz val="11"/>
        <rFont val="Calibri"/>
        <family val="2"/>
        <charset val="186"/>
      </rPr>
      <t xml:space="preserve">  are not included in the calculation of indicators. According to 2014-2020 OP implementation results, an average heat production capacity installed per household is 11 kW</t>
    </r>
    <r>
      <rPr>
        <b/>
        <sz val="11"/>
        <rFont val="Calibri"/>
        <family val="2"/>
        <charset val="186"/>
      </rPr>
      <t xml:space="preserve">, of which, the European Union's share of investments price consists to </t>
    </r>
    <r>
      <rPr>
        <strike/>
        <sz val="11"/>
        <rFont val="Calibri"/>
        <family val="2"/>
        <charset val="186"/>
      </rPr>
      <t>with the price of 3696</t>
    </r>
    <r>
      <rPr>
        <sz val="11"/>
        <rFont val="Calibri"/>
        <family val="2"/>
        <charset val="186"/>
      </rPr>
      <t xml:space="preserve"> </t>
    </r>
    <r>
      <rPr>
        <b/>
        <sz val="11"/>
        <rFont val="Calibri"/>
        <family val="2"/>
        <charset val="186"/>
      </rPr>
      <t>3841</t>
    </r>
    <r>
      <rPr>
        <sz val="11"/>
        <rFont val="Calibri"/>
        <family val="2"/>
        <charset val="186"/>
      </rPr>
      <t xml:space="preserve"> eur (</t>
    </r>
    <r>
      <rPr>
        <b/>
        <sz val="11"/>
        <rFont val="Calibri"/>
        <family val="2"/>
        <charset val="186"/>
      </rPr>
      <t>part of the EU per kW 349,2</t>
    </r>
    <r>
      <rPr>
        <sz val="11"/>
        <rFont val="Calibri"/>
        <family val="2"/>
        <charset val="186"/>
      </rPr>
      <t xml:space="preserve"> </t>
    </r>
    <r>
      <rPr>
        <strike/>
        <sz val="11"/>
        <rFont val="Calibri"/>
        <family val="2"/>
        <charset val="186"/>
      </rPr>
      <t>1kW=336</t>
    </r>
    <r>
      <rPr>
        <sz val="11"/>
        <rFont val="Calibri"/>
        <family val="2"/>
        <charset val="186"/>
      </rPr>
      <t xml:space="preserve"> eur). With the allocated investment </t>
    </r>
    <r>
      <rPr>
        <b/>
        <sz val="11"/>
        <rFont val="Calibri"/>
        <family val="2"/>
        <charset val="186"/>
      </rPr>
      <t>10252</t>
    </r>
    <r>
      <rPr>
        <sz val="11"/>
        <rFont val="Calibri"/>
        <family val="2"/>
        <charset val="186"/>
      </rPr>
      <t xml:space="preserve"> </t>
    </r>
    <r>
      <rPr>
        <strike/>
        <sz val="11"/>
        <rFont val="Calibri"/>
        <family val="2"/>
        <charset val="186"/>
      </rPr>
      <t xml:space="preserve">21534 </t>
    </r>
    <r>
      <rPr>
        <sz val="11"/>
        <rFont val="Calibri"/>
        <family val="2"/>
        <charset val="186"/>
      </rPr>
      <t xml:space="preserve">households will have more efficient heat production capacities:  </t>
    </r>
    <r>
      <rPr>
        <b/>
        <sz val="11"/>
        <rFont val="Calibri"/>
        <family val="2"/>
        <charset val="186"/>
      </rPr>
      <t>39.379.350</t>
    </r>
    <r>
      <rPr>
        <sz val="11"/>
        <rFont val="Calibri"/>
        <family val="2"/>
        <charset val="186"/>
      </rPr>
      <t xml:space="preserve"> </t>
    </r>
    <r>
      <rPr>
        <strike/>
        <sz val="11"/>
        <rFont val="Calibri"/>
        <family val="2"/>
        <charset val="186"/>
      </rPr>
      <t>79 588 700</t>
    </r>
    <r>
      <rPr>
        <sz val="11"/>
        <rFont val="Calibri"/>
        <family val="2"/>
        <charset val="186"/>
      </rPr>
      <t>/</t>
    </r>
    <r>
      <rPr>
        <b/>
        <sz val="11"/>
        <rFont val="Calibri"/>
        <family val="2"/>
        <charset val="186"/>
      </rPr>
      <t>3841</t>
    </r>
    <r>
      <rPr>
        <sz val="11"/>
        <rFont val="Calibri"/>
        <family val="2"/>
        <charset val="186"/>
      </rPr>
      <t xml:space="preserve"> </t>
    </r>
    <r>
      <rPr>
        <strike/>
        <sz val="11"/>
        <rFont val="Calibri"/>
        <family val="2"/>
        <charset val="186"/>
      </rPr>
      <t xml:space="preserve">3696 </t>
    </r>
    <r>
      <rPr>
        <sz val="11"/>
        <rFont val="Calibri"/>
        <family val="2"/>
        <charset val="186"/>
      </rPr>
      <t>=~</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rFont val="Calibri"/>
        <family val="2"/>
        <charset val="186"/>
      </rPr>
      <t>approx.</t>
    </r>
    <r>
      <rPr>
        <sz val="11"/>
        <rFont val="Calibri"/>
        <family val="2"/>
        <charset val="186"/>
      </rPr>
      <t xml:space="preserve"> in the </t>
    </r>
    <r>
      <rPr>
        <strike/>
        <sz val="11"/>
        <rFont val="Calibri"/>
        <family val="2"/>
        <charset val="186"/>
      </rPr>
      <t>mid of</t>
    </r>
    <r>
      <rPr>
        <sz val="11"/>
        <rFont val="Calibri"/>
        <family val="2"/>
        <charset val="186"/>
      </rPr>
      <t xml:space="preserve"> 2023. Therefore we assume that about 10 percent of funds will be invested by 2024, then milestone will be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x0,1=</t>
    </r>
    <r>
      <rPr>
        <strike/>
        <sz val="11"/>
        <rFont val="Calibri"/>
        <family val="2"/>
        <charset val="186"/>
      </rPr>
      <t>2153</t>
    </r>
    <r>
      <rPr>
        <sz val="11"/>
        <rFont val="Calibri"/>
        <family val="2"/>
        <charset val="186"/>
      </rPr>
      <t xml:space="preserve">  </t>
    </r>
    <r>
      <rPr>
        <b/>
        <sz val="11"/>
        <rFont val="Calibri"/>
        <family val="2"/>
        <charset val="186"/>
      </rPr>
      <t>1025</t>
    </r>
    <r>
      <rPr>
        <sz val="11"/>
        <rFont val="Calibri"/>
        <family val="2"/>
        <charset val="186"/>
      </rPr>
      <t xml:space="preserve"> households with more efficient heat production capacities </t>
    </r>
    <r>
      <rPr>
        <b/>
        <sz val="11"/>
        <rFont val="Calibri"/>
        <family val="2"/>
        <charset val="186"/>
      </rPr>
      <t>(mostly with heat pumps)</t>
    </r>
    <r>
      <rPr>
        <sz val="11"/>
        <rFont val="Calibri"/>
        <family val="2"/>
        <charset val="186"/>
      </rPr>
      <t>.</t>
    </r>
  </si>
  <si>
    <r>
      <rPr>
        <sz val="11"/>
        <rFont val="Calibri"/>
        <family val="2"/>
        <charset val="186"/>
        <scheme val="minor"/>
      </rPr>
      <t xml:space="preserve">Indicators' calculation based on funding model and intensity </t>
    </r>
    <r>
      <rPr>
        <strike/>
        <sz val="11"/>
        <rFont val="Calibri"/>
        <family val="2"/>
        <charset val="186"/>
        <scheme val="minor"/>
      </rPr>
      <t xml:space="preserve">(approx. 70 percent) </t>
    </r>
    <r>
      <rPr>
        <sz val="11"/>
        <rFont val="Calibri"/>
        <family val="2"/>
        <charset val="186"/>
        <scheme val="minor"/>
      </rPr>
      <t xml:space="preserve">applied in </t>
    </r>
    <r>
      <rPr>
        <strike/>
        <sz val="11"/>
        <rFont val="Calibri"/>
        <family val="2"/>
        <charset val="186"/>
        <scheme val="minor"/>
      </rPr>
      <t>2014-2020 OP (EU amount- 31.000.000 Eur +  co-financing rate (Eur.) - 13.285.714. Total - 44.285.714).</t>
    </r>
    <r>
      <rPr>
        <b/>
        <sz val="11"/>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rFont val="Calibri"/>
        <family val="2"/>
        <charset val="186"/>
        <scheme val="minor"/>
      </rPr>
      <t>44.285.714</t>
    </r>
    <r>
      <rPr>
        <sz val="11"/>
        <rFont val="Calibri"/>
        <family val="2"/>
        <charset val="186"/>
        <scheme val="minor"/>
      </rPr>
      <t xml:space="preserve"> </t>
    </r>
    <r>
      <rPr>
        <b/>
        <sz val="11"/>
        <rFont val="Calibri"/>
        <family val="2"/>
        <charset val="186"/>
        <scheme val="minor"/>
      </rPr>
      <t>30 349 000,00</t>
    </r>
    <r>
      <rPr>
        <sz val="11"/>
        <rFont val="Calibri"/>
        <family val="2"/>
        <charset val="186"/>
        <scheme val="minor"/>
      </rPr>
      <t xml:space="preserve"> eur eur could be renovated </t>
    </r>
    <r>
      <rPr>
        <strike/>
        <sz val="11"/>
        <rFont val="Calibri"/>
        <family val="2"/>
        <charset val="186"/>
        <scheme val="minor"/>
      </rPr>
      <t xml:space="preserve">44.285.714 </t>
    </r>
    <r>
      <rPr>
        <b/>
        <sz val="11"/>
        <rFont val="Calibri"/>
        <family val="2"/>
        <charset val="186"/>
        <scheme val="minor"/>
      </rPr>
      <t>30 349 000,00 eur</t>
    </r>
    <r>
      <rPr>
        <sz val="11"/>
        <rFont val="Calibri"/>
        <family val="2"/>
        <charset val="186"/>
        <scheme val="minor"/>
      </rPr>
      <t xml:space="preserve"> / 345 = ~ </t>
    </r>
    <r>
      <rPr>
        <strike/>
        <sz val="11"/>
        <rFont val="Calibri"/>
        <family val="2"/>
        <charset val="186"/>
        <scheme val="minor"/>
      </rPr>
      <t xml:space="preserve">128364 </t>
    </r>
    <r>
      <rPr>
        <b/>
        <sz val="11"/>
        <rFont val="Calibri"/>
        <family val="2"/>
        <charset val="186"/>
        <scheme val="minor"/>
      </rPr>
      <t>87970</t>
    </r>
    <r>
      <rPr>
        <sz val="11"/>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</si>
  <si>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t xml:space="preserve">Baseline calculation:  </t>
    </r>
    <r>
      <rPr>
        <strike/>
        <sz val="11"/>
        <rFont val="Calibri"/>
        <family val="2"/>
        <charset val="186"/>
        <scheme val="minor"/>
      </rPr>
      <t>128364</t>
    </r>
    <r>
      <rPr>
        <sz val="11"/>
        <rFont val="Calibri"/>
        <family val="2"/>
        <charset val="186"/>
        <scheme val="minor"/>
      </rPr>
      <t xml:space="preserve"> </t>
    </r>
    <r>
      <rPr>
        <b/>
        <sz val="11"/>
        <rFont val="Calibri"/>
        <family val="2"/>
        <charset val="186"/>
        <scheme val="minor"/>
      </rPr>
      <t>87</t>
    </r>
    <r>
      <rPr>
        <sz val="11"/>
        <rFont val="Calibri"/>
        <family val="2"/>
        <charset val="186"/>
        <scheme val="minor"/>
      </rPr>
      <t xml:space="preserve"> </t>
    </r>
    <r>
      <rPr>
        <b/>
        <sz val="11"/>
        <rFont val="Calibri"/>
        <family val="2"/>
        <charset val="186"/>
        <scheme val="minor"/>
      </rPr>
      <t>970</t>
    </r>
    <r>
      <rPr>
        <sz val="11"/>
        <rFont val="Calibri"/>
        <family val="2"/>
        <charset val="186"/>
        <scheme val="minor"/>
      </rPr>
      <t xml:space="preserve"> m2 floor area of inefficient public buildings consume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t>
    </r>
    <r>
      <rPr>
        <strike/>
        <sz val="11"/>
        <rFont val="Calibri"/>
        <family val="2"/>
        <charset val="186"/>
        <scheme val="minor"/>
      </rPr>
      <t>128364 m2 x 220kWh/m²/year = 28240</t>
    </r>
    <r>
      <rPr>
        <sz val="11"/>
        <rFont val="Calibri"/>
        <family val="2"/>
        <charset val="186"/>
        <scheme val="minor"/>
      </rPr>
      <t xml:space="preserve"> </t>
    </r>
    <r>
      <rPr>
        <b/>
        <sz val="11"/>
        <rFont val="Calibri"/>
        <family val="2"/>
        <charset val="186"/>
        <scheme val="minor"/>
      </rPr>
      <t>87 970  m2 x 220kWh/m²/year = 19 353 MWh/year</t>
    </r>
    <r>
      <rPr>
        <sz val="11"/>
        <rFont val="Calibri"/>
        <family val="2"/>
        <charset val="186"/>
        <scheme val="minor"/>
      </rPr>
      <t xml:space="preserve">, where 220 kWh/ m2 - an average annual energy consumption of 1 m2 floor area of  public building  (data provided by Lithuanian Energy Agency). Target 2029 calculation:  according to 2014-2020 OP implementation after renovation public buildings consume at least 40 percent less energy, therefore consumption will be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x 60 % =</t>
    </r>
    <r>
      <rPr>
        <strike/>
        <sz val="11"/>
        <rFont val="Calibri"/>
        <family val="2"/>
        <charset val="186"/>
        <scheme val="minor"/>
      </rPr>
      <t>16944</t>
    </r>
    <r>
      <rPr>
        <sz val="11"/>
        <rFont val="Calibri"/>
        <family val="2"/>
        <charset val="186"/>
        <scheme val="minor"/>
      </rPr>
      <t xml:space="preserve"> </t>
    </r>
    <r>
      <rPr>
        <b/>
        <sz val="11"/>
        <rFont val="Calibri"/>
        <family val="2"/>
        <charset val="186"/>
        <scheme val="minor"/>
      </rPr>
      <t>11 611</t>
    </r>
    <r>
      <rPr>
        <sz val="11"/>
        <rFont val="Calibri"/>
        <family val="2"/>
        <charset val="186"/>
        <scheme val="minor"/>
      </rPr>
      <t>MWh/year.</t>
    </r>
  </si>
  <si>
    <r>
      <t xml:space="preserve">Baseline calculation: </t>
    </r>
    <r>
      <rPr>
        <strike/>
        <sz val="11"/>
        <rFont val="Calibri"/>
        <family val="2"/>
        <charset val="186"/>
      </rPr>
      <t xml:space="preserve">28240 000 </t>
    </r>
    <r>
      <rPr>
        <sz val="11"/>
        <rFont val="Calibri"/>
        <family val="2"/>
        <charset val="186"/>
      </rPr>
      <t xml:space="preserve">19 353 000 kWh/year x 0,1 kgCO2/kWh (pollution factor for heat from DH according to Technical Regulation of Construction, Ministry of Environment)= </t>
    </r>
    <r>
      <rPr>
        <strike/>
        <sz val="11"/>
        <rFont val="Calibri"/>
        <family val="2"/>
        <charset val="186"/>
      </rPr>
      <t>2 824 000kgCO2 ~ 2824 tCO2/year</t>
    </r>
    <r>
      <rPr>
        <sz val="11"/>
        <rFont val="Calibri"/>
        <family val="2"/>
        <charset val="186"/>
      </rPr>
      <t xml:space="preserve"> </t>
    </r>
    <r>
      <rPr>
        <b/>
        <sz val="11"/>
        <rFont val="Calibri"/>
        <family val="2"/>
        <charset val="186"/>
      </rPr>
      <t>1 935 300 kgCO2 ~ 1 935 tCO2/year</t>
    </r>
    <r>
      <rPr>
        <sz val="11"/>
        <rFont val="Calibri"/>
        <family val="2"/>
        <charset val="186"/>
      </rPr>
      <t xml:space="preserve">. </t>
    </r>
    <r>
      <rPr>
        <b/>
        <sz val="11"/>
        <rFont val="Calibri"/>
        <family val="2"/>
        <charset val="186"/>
      </rPr>
      <t xml:space="preserve">(before renovation) </t>
    </r>
    <r>
      <rPr>
        <sz val="11"/>
        <rFont val="Calibri"/>
        <family val="2"/>
        <charset val="186"/>
      </rPr>
      <t xml:space="preserve">Target 2029 calculation </t>
    </r>
    <r>
      <rPr>
        <strike/>
        <sz val="11"/>
        <rFont val="Calibri"/>
        <family val="2"/>
        <charset val="186"/>
      </rPr>
      <t xml:space="preserve">16 944 000 x 0,1 = 1 694 400 kgCO2/year ~1694 tCO2/year </t>
    </r>
    <r>
      <rPr>
        <b/>
        <sz val="11"/>
        <rFont val="Calibri"/>
        <family val="2"/>
        <charset val="186"/>
      </rPr>
      <t>11 611 MWh/year x 0,1 kgCO2/kWh (pollution factor for heat from DH according to Technical Regulation of Construction, Ministry of Environment)= 1161,1 tCO2/year (after renovation)</t>
    </r>
  </si>
  <si>
    <r>
      <rPr>
        <sz val="11"/>
        <color rgb="FF000000"/>
        <rFont val="Calibri"/>
        <family val="2"/>
        <charset val="186"/>
        <scheme val="minor"/>
      </rPr>
      <t xml:space="preserve">Indicators' calculation based on funding model and intensity </t>
    </r>
    <r>
      <rPr>
        <strike/>
        <sz val="11"/>
        <color rgb="FF000000"/>
        <rFont val="Calibri"/>
        <family val="2"/>
        <charset val="186"/>
        <scheme val="minor"/>
      </rPr>
      <t xml:space="preserve">(approx. 70 percent) </t>
    </r>
    <r>
      <rPr>
        <sz val="11"/>
        <color rgb="FF000000"/>
        <rFont val="Calibri"/>
        <family val="2"/>
        <charset val="186"/>
        <scheme val="minor"/>
      </rPr>
      <t xml:space="preserve">applied in </t>
    </r>
    <r>
      <rPr>
        <strike/>
        <sz val="11"/>
        <color rgb="FF000000"/>
        <rFont val="Calibri"/>
        <family val="2"/>
        <charset val="186"/>
        <scheme val="minor"/>
      </rPr>
      <t>2014-2020 OP (EU amount- 31.000.000 Eur +  co-financing rate (Eur.) - 13.285.714. Total - 44.285.714).</t>
    </r>
    <r>
      <rPr>
        <b/>
        <sz val="11"/>
        <color rgb="FF000000"/>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color rgb="FF000000"/>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color rgb="FF000000"/>
        <rFont val="Calibri"/>
        <family val="2"/>
        <charset val="186"/>
        <scheme val="minor"/>
      </rPr>
      <t>44.285.714</t>
    </r>
    <r>
      <rPr>
        <sz val="11"/>
        <color rgb="FF000000"/>
        <rFont val="Calibri"/>
        <family val="2"/>
        <charset val="186"/>
        <scheme val="minor"/>
      </rPr>
      <t xml:space="preserve"> </t>
    </r>
    <r>
      <rPr>
        <b/>
        <sz val="11"/>
        <color rgb="FF000000"/>
        <rFont val="Calibri"/>
        <family val="2"/>
        <charset val="186"/>
        <scheme val="minor"/>
      </rPr>
      <t>30 349 000,00</t>
    </r>
    <r>
      <rPr>
        <sz val="11"/>
        <color rgb="FF000000"/>
        <rFont val="Calibri"/>
        <family val="2"/>
        <charset val="186"/>
        <scheme val="minor"/>
      </rPr>
      <t xml:space="preserve"> eur eur could be renovated </t>
    </r>
    <r>
      <rPr>
        <strike/>
        <sz val="11"/>
        <color rgb="FF000000"/>
        <rFont val="Calibri"/>
        <family val="2"/>
        <charset val="186"/>
        <scheme val="minor"/>
      </rPr>
      <t xml:space="preserve">44.285.714 </t>
    </r>
    <r>
      <rPr>
        <b/>
        <sz val="11"/>
        <color rgb="FF000000"/>
        <rFont val="Calibri"/>
        <family val="2"/>
        <charset val="186"/>
        <scheme val="minor"/>
      </rPr>
      <t>30 349 000,00 eur</t>
    </r>
    <r>
      <rPr>
        <sz val="11"/>
        <color rgb="FF000000"/>
        <rFont val="Calibri"/>
        <family val="2"/>
        <charset val="186"/>
        <scheme val="minor"/>
      </rPr>
      <t xml:space="preserve"> / 345 = ~ </t>
    </r>
    <r>
      <rPr>
        <strike/>
        <sz val="11"/>
        <color rgb="FF000000"/>
        <rFont val="Calibri"/>
        <family val="2"/>
        <charset val="186"/>
        <scheme val="minor"/>
      </rPr>
      <t xml:space="preserve">128364 </t>
    </r>
    <r>
      <rPr>
        <b/>
        <sz val="11"/>
        <color rgb="FF000000"/>
        <rFont val="Calibri"/>
        <family val="2"/>
        <charset val="186"/>
        <scheme val="minor"/>
      </rPr>
      <t>87970</t>
    </r>
    <r>
      <rPr>
        <sz val="11"/>
        <color rgb="FF000000"/>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</si>
  <si>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t>50 percent of EU funds (</t>
    </r>
    <r>
      <rPr>
        <strike/>
        <sz val="11"/>
        <rFont val="Calibri"/>
        <family val="2"/>
        <charset val="186"/>
        <scheme val="minor"/>
      </rPr>
      <t>9 642 857,15</t>
    </r>
    <r>
      <rPr>
        <sz val="11"/>
        <rFont val="Calibri"/>
        <family val="2"/>
        <charset val="186"/>
        <scheme val="minor"/>
      </rPr>
      <t xml:space="preserve"> </t>
    </r>
    <r>
      <rPr>
        <b/>
        <sz val="11"/>
        <rFont val="Calibri"/>
        <family val="2"/>
        <charset val="186"/>
        <scheme val="minor"/>
      </rPr>
      <t xml:space="preserve">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increase of energy efficiency of DH network adapting it to  low-temperature regime </t>
    </r>
    <r>
      <rPr>
        <b/>
        <sz val="11"/>
        <rFont val="Calibri"/>
        <family val="2"/>
        <charset val="186"/>
        <scheme val="minor"/>
      </rPr>
      <t>(including administrative expenses)</t>
    </r>
    <r>
      <rPr>
        <sz val="11"/>
        <rFont val="Calibri"/>
        <family val="2"/>
        <charset val="186"/>
        <scheme val="minor"/>
      </rPr>
      <t>; 50 percent of EU funds (</t>
    </r>
    <r>
      <rPr>
        <strike/>
        <sz val="11"/>
        <rFont val="Calibri"/>
        <family val="2"/>
        <charset val="186"/>
        <scheme val="minor"/>
      </rPr>
      <t>9 642 857,15</t>
    </r>
    <r>
      <rPr>
        <b/>
        <sz val="11"/>
        <rFont val="Calibri"/>
        <family val="2"/>
        <charset val="186"/>
        <scheme val="minor"/>
      </rPr>
      <t xml:space="preserve"> 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modernization of introductory heat metering devices</t>
    </r>
    <r>
      <rPr>
        <strike/>
        <sz val="11"/>
        <rFont val="Calibri"/>
        <family val="2"/>
        <charset val="186"/>
        <scheme val="minor"/>
      </rPr>
      <t xml:space="preserve"> and hot water meters</t>
    </r>
    <r>
      <rPr>
        <sz val="11"/>
        <rFont val="Calibri"/>
        <family val="2"/>
        <charset val="186"/>
        <scheme val="minor"/>
      </rPr>
      <t xml:space="preserve"> </t>
    </r>
    <r>
      <rPr>
        <b/>
        <sz val="11"/>
        <rFont val="Calibri"/>
        <family val="2"/>
        <charset val="186"/>
        <scheme val="minor"/>
      </rPr>
      <t>(including administrative expenses)</t>
    </r>
    <r>
      <rPr>
        <sz val="11"/>
        <rFont val="Calibri"/>
        <family val="2"/>
        <charset val="186"/>
        <scheme val="minor"/>
      </rPr>
      <t xml:space="preserve">. </t>
    </r>
    <r>
      <rPr>
        <b/>
        <sz val="11"/>
        <rFont val="Calibri"/>
        <family val="2"/>
        <charset val="186"/>
        <scheme val="minor"/>
      </rPr>
      <t>Out of the amount earmarked for project activities, up to 7 percent of the EU funds available for project implementation are planned as administrative costs. Therefore 6 750 000/1,07 = 6 308 411 EUR of EU funds will be invested in the increase of energy efficiency of DH network adapting it to  low-temperature regime and 6 308 411 EUR of EU funds - in the modernization of introductory heat metering devices. The applicants will contribute at least 20 percent of the project costs. The total amount available for the achievement of project indicators (total amount less administrative costs) will be 6 308 411 (EU funds) + 1 577 103 (private funds) = 7 885 514 EUR for the increase of energy efficiency of DH network adapting it to  low-temperature regime and 7 885 514 EUR -  for the modernization of introductory heat metering devices.</t>
    </r>
    <r>
      <rPr>
        <sz val="11"/>
        <rFont val="Calibri"/>
        <family val="2"/>
        <charset val="186"/>
        <scheme val="minor"/>
      </rPr>
      <t xml:space="preserve">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consume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x400 = </t>
    </r>
    <r>
      <rPr>
        <strike/>
        <sz val="11"/>
        <rFont val="Calibri"/>
        <family val="2"/>
        <charset val="186"/>
        <scheme val="minor"/>
      </rPr>
      <t>8400</t>
    </r>
    <r>
      <rPr>
        <sz val="11"/>
        <rFont val="Calibri"/>
        <family val="2"/>
        <charset val="186"/>
        <scheme val="minor"/>
      </rPr>
      <t xml:space="preserve"> </t>
    </r>
    <r>
      <rPr>
        <b/>
        <sz val="11"/>
        <rFont val="Calibri"/>
        <family val="2"/>
        <charset val="186"/>
        <scheme val="minor"/>
      </rPr>
      <t>6800</t>
    </r>
    <r>
      <rPr>
        <sz val="11"/>
        <rFont val="Calibri"/>
        <family val="2"/>
        <charset val="186"/>
        <scheme val="minor"/>
      </rPr>
      <t xml:space="preserve"> MWh/year;  2)  introductory heat meters</t>
    </r>
    <r>
      <rPr>
        <strike/>
        <sz val="11"/>
        <rFont val="Calibri"/>
        <family val="2"/>
        <charset val="186"/>
        <scheme val="minor"/>
      </rPr>
      <t xml:space="preserve"> and hot water meters</t>
    </r>
    <r>
      <rPr>
        <sz val="11"/>
        <rFont val="Calibri"/>
        <family val="2"/>
        <charset val="186"/>
        <scheme val="minor"/>
      </rPr>
      <t xml:space="preserve">: according to  annual review prepared by  Lithuanian District Heating Association on  economic activity of heat supply companies in 2019  an average 350 MWh of thermal energy per year has passed through 1 introductory heat meter without being read remotely. Since with </t>
    </r>
    <r>
      <rPr>
        <strike/>
        <sz val="11"/>
        <rFont val="Calibri"/>
        <family val="2"/>
        <charset val="186"/>
        <scheme val="minor"/>
      </rPr>
      <t xml:space="preserve">9642857,15 </t>
    </r>
    <r>
      <rPr>
        <b/>
        <sz val="11"/>
        <rFont val="Calibri"/>
        <family val="2"/>
        <charset val="186"/>
        <scheme val="minor"/>
      </rPr>
      <t>7 885 514</t>
    </r>
    <r>
      <rPr>
        <sz val="11"/>
        <rFont val="Calibri"/>
        <family val="2"/>
        <charset val="186"/>
        <scheme val="minor"/>
      </rPr>
      <t xml:space="preserve"> EUR investments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introductory heat meters</t>
    </r>
    <r>
      <rPr>
        <strike/>
        <sz val="11"/>
        <rFont val="Calibri"/>
        <family val="2"/>
        <charset val="186"/>
        <scheme val="minor"/>
      </rPr>
      <t xml:space="preserve"> and 48214  hot water meters</t>
    </r>
    <r>
      <rPr>
        <sz val="11"/>
        <rFont val="Calibri"/>
        <family val="2"/>
        <charset val="186"/>
        <scheme val="minor"/>
      </rPr>
      <t xml:space="preserve"> will be installed, threfore about   </t>
    </r>
    <r>
      <rPr>
        <strike/>
        <sz val="11"/>
        <rFont val="Calibri"/>
        <family val="2"/>
        <charset val="186"/>
        <scheme val="minor"/>
      </rPr>
      <t>3214</t>
    </r>
    <r>
      <rPr>
        <b/>
        <sz val="11"/>
        <rFont val="Calibri"/>
        <family val="2"/>
        <charset val="186"/>
        <scheme val="minor"/>
      </rPr>
      <t>5257</t>
    </r>
    <r>
      <rPr>
        <sz val="11"/>
        <rFont val="Calibri"/>
        <family val="2"/>
        <charset val="186"/>
        <scheme val="minor"/>
      </rPr>
      <t>x350=</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 xml:space="preserve">1 839 950 </t>
    </r>
    <r>
      <rPr>
        <sz val="11"/>
        <rFont val="Calibri"/>
        <family val="2"/>
        <charset val="186"/>
        <scheme val="minor"/>
      </rPr>
      <t xml:space="preserve">MWh/year  of thermal energy  would pass (consumed by) through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heat meters   without remote reading. Total energy consumption  will be </t>
    </r>
    <r>
      <rPr>
        <strike/>
        <sz val="11"/>
        <rFont val="Calibri"/>
        <family val="2"/>
        <charset val="186"/>
        <scheme val="minor"/>
      </rPr>
      <t>8400</t>
    </r>
    <r>
      <rPr>
        <b/>
        <sz val="11"/>
        <rFont val="Calibri"/>
        <family val="2"/>
        <charset val="186"/>
        <scheme val="minor"/>
      </rPr>
      <t>6800</t>
    </r>
    <r>
      <rPr>
        <sz val="11"/>
        <rFont val="Calibri"/>
        <family val="2"/>
        <charset val="186"/>
        <scheme val="minor"/>
      </rPr>
      <t>+</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 </t>
    </r>
    <r>
      <rPr>
        <b/>
        <strike/>
        <sz val="11"/>
        <rFont val="Calibri"/>
        <family val="2"/>
        <charset val="186"/>
        <scheme val="minor"/>
      </rPr>
      <t>1 133 300</t>
    </r>
    <r>
      <rPr>
        <b/>
        <sz val="11"/>
        <rFont val="Calibri"/>
        <family val="2"/>
        <charset val="186"/>
        <scheme val="minor"/>
      </rPr>
      <t xml:space="preserve"> 1 846 750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 km of DH network would save  50x</t>
    </r>
    <r>
      <rPr>
        <strike/>
        <sz val="11"/>
        <rFont val="Calibri"/>
        <family val="2"/>
        <charset val="186"/>
        <scheme val="minor"/>
      </rPr>
      <t>21</t>
    </r>
    <r>
      <rPr>
        <b/>
        <sz val="11"/>
        <rFont val="Calibri"/>
        <family val="2"/>
        <charset val="186"/>
        <scheme val="minor"/>
      </rPr>
      <t xml:space="preserve">17 </t>
    </r>
    <r>
      <rPr>
        <sz val="11"/>
        <rFont val="Calibri"/>
        <family val="2"/>
        <charset val="186"/>
        <scheme val="minor"/>
      </rPr>
      <t xml:space="preserve">= </t>
    </r>
    <r>
      <rPr>
        <strike/>
        <sz val="11"/>
        <rFont val="Calibri"/>
        <family val="2"/>
        <charset val="186"/>
        <scheme val="minor"/>
      </rPr>
      <t>1050</t>
    </r>
    <r>
      <rPr>
        <b/>
        <sz val="11"/>
        <rFont val="Calibri"/>
        <family val="2"/>
        <charset val="186"/>
        <scheme val="minor"/>
      </rPr>
      <t>850</t>
    </r>
    <r>
      <rPr>
        <sz val="11"/>
        <rFont val="Calibri"/>
        <family val="2"/>
        <charset val="186"/>
        <scheme val="minor"/>
      </rPr>
      <t xml:space="preserve"> MWh/year and accordingly use  8</t>
    </r>
    <r>
      <rPr>
        <strike/>
        <sz val="11"/>
        <rFont val="Calibri"/>
        <family val="2"/>
        <charset val="186"/>
        <scheme val="minor"/>
      </rPr>
      <t>400-1050 = 7350</t>
    </r>
    <r>
      <rPr>
        <sz val="11"/>
        <rFont val="Calibri"/>
        <family val="2"/>
        <charset val="186"/>
        <scheme val="minor"/>
      </rPr>
      <t xml:space="preserve"> </t>
    </r>
    <r>
      <rPr>
        <b/>
        <sz val="11"/>
        <rFont val="Calibri"/>
        <family val="2"/>
        <charset val="186"/>
        <scheme val="minor"/>
      </rPr>
      <t>6800 - 850 = 5950</t>
    </r>
    <r>
      <rPr>
        <sz val="11"/>
        <rFont val="Calibri"/>
        <family val="2"/>
        <charset val="186"/>
        <scheme val="minor"/>
      </rPr>
      <t xml:space="preserve"> MWh/year; 2) The modernization of heat metering and  hot water meters with remote data reading will save about 1 percent of primary energy consumption, then savings due to meters' modernization would be </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MWh/</t>
    </r>
    <r>
      <rPr>
        <strike/>
        <sz val="11"/>
        <rFont val="Calibri"/>
        <family val="2"/>
        <charset val="186"/>
        <scheme val="minor"/>
      </rPr>
      <t>metus</t>
    </r>
    <r>
      <rPr>
        <sz val="11"/>
        <rFont val="Calibri"/>
        <family val="2"/>
        <charset val="186"/>
        <scheme val="minor"/>
      </rPr>
      <t xml:space="preserve"> </t>
    </r>
    <r>
      <rPr>
        <b/>
        <sz val="11"/>
        <rFont val="Calibri"/>
        <family val="2"/>
        <charset val="186"/>
        <scheme val="minor"/>
      </rPr>
      <t>year</t>
    </r>
    <r>
      <rPr>
        <sz val="11"/>
        <rFont val="Calibri"/>
        <family val="2"/>
        <charset val="186"/>
        <scheme val="minor"/>
      </rPr>
      <t xml:space="preserve"> x 0,01=</t>
    </r>
    <r>
      <rPr>
        <b/>
        <sz val="11"/>
        <rFont val="Calibri"/>
        <family val="2"/>
        <charset val="186"/>
        <scheme val="minor"/>
      </rPr>
      <t>18399</t>
    </r>
    <r>
      <rPr>
        <sz val="11"/>
        <rFont val="Calibri"/>
        <family val="2"/>
        <charset val="186"/>
        <scheme val="minor"/>
      </rPr>
      <t xml:space="preserve"> MWh/year and energy consumption would  be </t>
    </r>
    <r>
      <rPr>
        <strike/>
        <sz val="11"/>
        <rFont val="Calibri"/>
        <family val="2"/>
        <charset val="186"/>
        <scheme val="minor"/>
      </rPr>
      <t>1124900-11249=1113651</t>
    </r>
    <r>
      <rPr>
        <sz val="11"/>
        <rFont val="Calibri"/>
        <family val="2"/>
        <charset val="186"/>
        <scheme val="minor"/>
      </rPr>
      <t xml:space="preserve"> </t>
    </r>
    <r>
      <rPr>
        <b/>
        <sz val="11"/>
        <rFont val="Calibri"/>
        <family val="2"/>
        <charset val="186"/>
        <scheme val="minor"/>
      </rPr>
      <t>1 839 950 - 18399 = 1 821 551</t>
    </r>
    <r>
      <rPr>
        <sz val="11"/>
        <rFont val="Calibri"/>
        <family val="2"/>
        <charset val="186"/>
        <scheme val="minor"/>
      </rPr>
      <t xml:space="preserve"> MWh/</t>
    </r>
    <r>
      <rPr>
        <strike/>
        <sz val="11"/>
        <rFont val="Calibri"/>
        <family val="2"/>
        <charset val="186"/>
        <scheme val="minor"/>
      </rPr>
      <t>metus</t>
    </r>
    <r>
      <rPr>
        <b/>
        <sz val="11"/>
        <rFont val="Calibri"/>
        <family val="2"/>
        <charset val="186"/>
        <scheme val="minor"/>
      </rPr>
      <t>year</t>
    </r>
    <r>
      <rPr>
        <sz val="11"/>
        <rFont val="Calibri"/>
        <family val="2"/>
        <charset val="186"/>
        <scheme val="minor"/>
      </rPr>
      <t xml:space="preserve">. Total energy consumption after DH network adaptation and metering modernizations will be </t>
    </r>
    <r>
      <rPr>
        <strike/>
        <sz val="11"/>
        <rFont val="Calibri"/>
        <family val="2"/>
        <charset val="186"/>
        <scheme val="minor"/>
      </rPr>
      <t>7350</t>
    </r>
    <r>
      <rPr>
        <b/>
        <sz val="11"/>
        <rFont val="Calibri"/>
        <family val="2"/>
        <charset val="186"/>
        <scheme val="minor"/>
      </rPr>
      <t>5950</t>
    </r>
    <r>
      <rPr>
        <sz val="11"/>
        <rFont val="Calibri"/>
        <family val="2"/>
        <charset val="186"/>
        <scheme val="minor"/>
      </rPr>
      <t>+</t>
    </r>
    <r>
      <rPr>
        <strike/>
        <sz val="11"/>
        <rFont val="Calibri"/>
        <family val="2"/>
        <charset val="186"/>
        <scheme val="minor"/>
      </rPr>
      <t xml:space="preserve">1113651 </t>
    </r>
    <r>
      <rPr>
        <b/>
        <sz val="11"/>
        <rFont val="Calibri"/>
        <family val="2"/>
        <charset val="186"/>
        <scheme val="minor"/>
      </rPr>
      <t>1 821 551</t>
    </r>
    <r>
      <rPr>
        <sz val="11"/>
        <rFont val="Calibri"/>
        <family val="2"/>
        <charset val="186"/>
        <scheme val="minor"/>
      </rPr>
      <t xml:space="preserve"> = </t>
    </r>
    <r>
      <rPr>
        <b/>
        <strike/>
        <sz val="11"/>
        <rFont val="Calibri"/>
        <family val="2"/>
        <charset val="186"/>
        <scheme val="minor"/>
      </rPr>
      <t xml:space="preserve">1 121 001 </t>
    </r>
    <r>
      <rPr>
        <b/>
        <sz val="11"/>
        <rFont val="Calibri"/>
        <family val="2"/>
        <charset val="186"/>
        <scheme val="minor"/>
      </rPr>
      <t>1 827 501 MWh/</t>
    </r>
    <r>
      <rPr>
        <b/>
        <strike/>
        <sz val="11"/>
        <rFont val="Calibri"/>
        <family val="2"/>
        <charset val="186"/>
        <scheme val="minor"/>
      </rPr>
      <t>metus</t>
    </r>
    <r>
      <rPr>
        <b/>
        <sz val="11"/>
        <rFont val="Calibri"/>
        <family val="2"/>
        <charset val="186"/>
        <scheme val="minor"/>
      </rPr>
      <t xml:space="preserve"> year.</t>
    </r>
    <r>
      <rPr>
        <sz val="11"/>
        <rFont val="Calibri"/>
        <family val="2"/>
        <charset val="186"/>
        <scheme val="minor"/>
      </rPr>
      <t xml:space="preserve">
</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</si>
  <si>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3 154 206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 0,1= ~ 2 km will be modernized.</t>
    </r>
    <r>
      <rPr>
        <sz val="11"/>
        <rFont val="Calibri"/>
        <family val="2"/>
        <charset val="186"/>
        <scheme val="minor"/>
      </rPr>
      <t xml:space="preserve"> </t>
    </r>
    <r>
      <rPr>
        <b/>
        <sz val="11"/>
        <rFont val="Calibri"/>
        <family val="2"/>
        <charset val="186"/>
        <scheme val="minor"/>
      </rPr>
      <t>~10 percent (2 km) is planned for the end of 2024.</t>
    </r>
  </si>
  <si>
    <r>
      <rPr>
        <u/>
        <sz val="11"/>
        <rFont val="Calibri"/>
        <family val="2"/>
        <charset val="186"/>
        <scheme val="minor"/>
      </rPr>
      <t>Baseline calculation</t>
    </r>
    <r>
      <rPr>
        <sz val="11"/>
        <rFont val="Calibri"/>
        <family val="2"/>
        <charset val="186"/>
        <scheme val="minor"/>
      </rPr>
      <t xml:space="preserve">: </t>
    </r>
    <r>
      <rPr>
        <strike/>
        <sz val="11"/>
        <rFont val="Calibri"/>
        <family val="2"/>
        <charset val="186"/>
        <scheme val="minor"/>
      </rPr>
      <t>1133300</t>
    </r>
    <r>
      <rPr>
        <sz val="11"/>
        <rFont val="Calibri"/>
        <family val="2"/>
        <charset val="186"/>
        <scheme val="minor"/>
      </rPr>
      <t xml:space="preserve"> </t>
    </r>
    <r>
      <rPr>
        <b/>
        <sz val="11"/>
        <rFont val="Calibri"/>
        <family val="2"/>
        <charset val="186"/>
        <scheme val="minor"/>
      </rPr>
      <t xml:space="preserve">1 846 750 </t>
    </r>
    <r>
      <rPr>
        <sz val="11"/>
        <rFont val="Calibri"/>
        <family val="2"/>
        <charset val="186"/>
        <scheme val="minor"/>
      </rPr>
      <t xml:space="preserve"> MWh/year x  0,1 tCO2/MWh (pollution factor for heat from DH according to Technical Regulation of Construction, Ministry of Environment)= </t>
    </r>
    <r>
      <rPr>
        <strike/>
        <sz val="11"/>
        <rFont val="Calibri"/>
        <family val="2"/>
        <charset val="186"/>
        <scheme val="minor"/>
      </rPr>
      <t>113330</t>
    </r>
    <r>
      <rPr>
        <sz val="11"/>
        <rFont val="Calibri"/>
        <family val="2"/>
        <charset val="186"/>
        <scheme val="minor"/>
      </rPr>
      <t xml:space="preserve"> </t>
    </r>
    <r>
      <rPr>
        <b/>
        <sz val="11"/>
        <rFont val="Calibri"/>
        <family val="2"/>
        <charset val="186"/>
        <scheme val="minor"/>
      </rPr>
      <t>184 675</t>
    </r>
    <r>
      <rPr>
        <sz val="11"/>
        <rFont val="Calibri"/>
        <family val="2"/>
        <charset val="186"/>
        <scheme val="minor"/>
      </rPr>
      <t xml:space="preserve"> tCO2/year. </t>
    </r>
    <r>
      <rPr>
        <u/>
        <sz val="11"/>
        <rFont val="Calibri"/>
        <family val="2"/>
        <charset val="186"/>
        <scheme val="minor"/>
      </rPr>
      <t>Target 2029 calculation</t>
    </r>
    <r>
      <rPr>
        <sz val="11"/>
        <rFont val="Calibri"/>
        <family val="2"/>
        <charset val="186"/>
        <scheme val="minor"/>
      </rPr>
      <t xml:space="preserve">:  </t>
    </r>
    <r>
      <rPr>
        <strike/>
        <sz val="11"/>
        <rFont val="Calibri"/>
        <family val="2"/>
        <charset val="186"/>
        <scheme val="minor"/>
      </rPr>
      <t>1121001</t>
    </r>
    <r>
      <rPr>
        <b/>
        <sz val="11"/>
        <rFont val="Calibri"/>
        <family val="2"/>
        <charset val="186"/>
        <scheme val="minor"/>
      </rPr>
      <t xml:space="preserve"> 1 827 501</t>
    </r>
    <r>
      <rPr>
        <sz val="11"/>
        <rFont val="Calibri"/>
        <family val="2"/>
        <charset val="186"/>
        <scheme val="minor"/>
      </rPr>
      <t xml:space="preserve"> MWh/year x  0,1 tCO2/MWh  = </t>
    </r>
    <r>
      <rPr>
        <b/>
        <strike/>
        <sz val="11"/>
        <rFont val="Calibri"/>
        <family val="2"/>
        <charset val="186"/>
        <scheme val="minor"/>
      </rPr>
      <t>112100</t>
    </r>
    <r>
      <rPr>
        <b/>
        <sz val="11"/>
        <rFont val="Calibri"/>
        <family val="2"/>
        <charset val="186"/>
        <scheme val="minor"/>
      </rPr>
      <t xml:space="preserve"> 182 750 tCO2/year.</t>
    </r>
  </si>
  <si>
    <r>
      <rPr>
        <b/>
        <sz val="11"/>
        <rFont val="Calibri"/>
        <family val="2"/>
        <charset val="186"/>
        <scheme val="minor"/>
      </rPr>
      <t>Calculation of indicators based on the assumption that intensity of funding (a combination of a subsidy and a long term loan) will be 80 percent</t>
    </r>
    <r>
      <rPr>
        <sz val="11"/>
        <rFont val="Calibri"/>
        <family val="2"/>
        <charset val="186"/>
        <scheme val="minor"/>
      </rPr>
      <t xml:space="preserve"> </t>
    </r>
    <r>
      <rPr>
        <strike/>
        <sz val="11"/>
        <rFont val="Calibri"/>
        <family val="2"/>
        <charset val="186"/>
        <scheme val="minor"/>
      </rPr>
      <t>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The administrative costs will amount to up to 7 percent of the  costs for project activities. 13 500 000 / 1,07 = 12 616 822 EUR (80 percent of the total, excluding the administrative costs) will be available for project activities. Applicants will contribute EUR 3 154 206 EUR (20 percent of the total, excluding the administrative fee). The total amount on the basis of which the achievement of indicators will be counted will be EUR 12 616 822 + 3 154 206 = 15 771 028</t>
    </r>
    <r>
      <rPr>
        <sz val="11"/>
        <rFont val="Calibri"/>
        <family val="2"/>
        <charset val="186"/>
        <scheme val="minor"/>
      </rPr>
      <t>. 50 percent of the planned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 xml:space="preserve"> EUR) will be invested in the modernization of heat </t>
    </r>
    <r>
      <rPr>
        <strike/>
        <sz val="11"/>
        <rFont val="Calibri"/>
        <family val="2"/>
        <charset val="186"/>
        <scheme val="minor"/>
      </rPr>
      <t>and hot water</t>
    </r>
    <r>
      <rPr>
        <sz val="11"/>
        <rFont val="Calibri"/>
        <family val="2"/>
        <charset val="186"/>
        <scheme val="minor"/>
      </rPr>
      <t xml:space="preserve"> metering devices and management systems.  </t>
    </r>
    <r>
      <rPr>
        <strike/>
        <sz val="11"/>
        <rFont val="Calibri"/>
        <family val="2"/>
        <charset val="186"/>
        <scheme val="minor"/>
      </rPr>
      <t>It is assumed that 50 100 percent ( 4821428 9642857,15 EUR each) will be used for the modernization of heat metering and 50 percent for the modernization of hot water meters</t>
    </r>
    <r>
      <rPr>
        <sz val="11"/>
        <rFont val="Calibri"/>
        <family val="2"/>
        <charset val="186"/>
        <scheme val="minor"/>
      </rPr>
      <t>. According to the data of Lithuanian District Heating Association, installation / modernization of 1 introductory heat meter with the whole remote system costs about 1500 euros</t>
    </r>
    <r>
      <rPr>
        <strike/>
        <sz val="11"/>
        <rFont val="Calibri"/>
        <family val="2"/>
        <charset val="186"/>
        <scheme val="minor"/>
      </rPr>
      <t>, installation of hot water meter with the whole remote system costs 100 euros</t>
    </r>
    <r>
      <rPr>
        <sz val="11"/>
        <rFont val="Calibri"/>
        <family val="2"/>
        <charset val="186"/>
        <scheme val="minor"/>
      </rPr>
      <t>. So until 2029(</t>
    </r>
    <r>
      <rPr>
        <strike/>
        <sz val="11"/>
        <rFont val="Calibri"/>
        <family val="2"/>
        <charset val="186"/>
        <scheme val="minor"/>
      </rPr>
      <t>4821428/1500)+(4821428/100</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/1500)=</t>
    </r>
    <r>
      <rPr>
        <b/>
        <strike/>
        <sz val="11"/>
        <rFont val="Calibri"/>
        <family val="2"/>
        <charset val="186"/>
        <scheme val="minor"/>
      </rPr>
      <t>51428</t>
    </r>
    <r>
      <rPr>
        <b/>
        <sz val="11"/>
        <rFont val="Calibri"/>
        <family val="2"/>
        <charset val="186"/>
        <scheme val="minor"/>
      </rPr>
      <t xml:space="preserve">5257 </t>
    </r>
    <r>
      <rPr>
        <sz val="11"/>
        <rFont val="Calibri"/>
        <family val="2"/>
        <charset val="186"/>
        <scheme val="minor"/>
      </rPr>
      <t>units can be installed / modernized in total.  Since the action is new and it's funding model includes FI blending with subsidy, we assume that action's implementation will start  in 202</t>
    </r>
    <r>
      <rPr>
        <strike/>
        <sz val="11"/>
        <rFont val="Calibri"/>
        <family val="2"/>
        <charset val="186"/>
        <scheme val="minor"/>
      </rPr>
      <t>3</t>
    </r>
    <r>
      <rPr>
        <b/>
        <sz val="11"/>
        <rFont val="Calibri"/>
        <family val="2"/>
        <charset val="186"/>
        <scheme val="minor"/>
      </rPr>
      <t>4</t>
    </r>
    <r>
      <rPr>
        <sz val="11"/>
        <rFont val="Calibri"/>
        <family val="2"/>
        <charset val="186"/>
        <scheme val="minor"/>
      </rPr>
      <t xml:space="preserve">. Taking into account that at least 12 months will be needed for the project implementation,  It is assumed that by </t>
    </r>
    <r>
      <rPr>
        <b/>
        <sz val="11"/>
        <rFont val="Calibri"/>
        <family val="2"/>
        <charset val="186"/>
        <scheme val="minor"/>
      </rPr>
      <t>the end of</t>
    </r>
    <r>
      <rPr>
        <sz val="11"/>
        <rFont val="Calibri"/>
        <family val="2"/>
        <charset val="186"/>
        <scheme val="minor"/>
      </rPr>
      <t xml:space="preserve"> 2024, about 10 percent of the funds will be invested, respectively, about (</t>
    </r>
    <r>
      <rPr>
        <strike/>
        <sz val="11"/>
        <rFont val="Calibri"/>
        <family val="2"/>
        <charset val="186"/>
        <scheme val="minor"/>
      </rPr>
      <t>51428</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x 0,1)=</t>
    </r>
    <r>
      <rPr>
        <b/>
        <sz val="11"/>
        <rFont val="Calibri"/>
        <family val="2"/>
        <charset val="186"/>
        <scheme val="minor"/>
      </rPr>
      <t xml:space="preserve"> </t>
    </r>
    <r>
      <rPr>
        <b/>
        <sz val="11"/>
        <rFont val="Calibri"/>
        <family val="2"/>
        <charset val="186"/>
      </rPr>
      <t>~</t>
    </r>
    <r>
      <rPr>
        <strike/>
        <sz val="11"/>
        <rFont val="Calibri"/>
        <family val="2"/>
        <charset val="186"/>
        <scheme val="minor"/>
      </rPr>
      <t>5143</t>
    </r>
    <r>
      <rPr>
        <sz val="11"/>
        <rFont val="Calibri"/>
        <family val="2"/>
        <charset val="186"/>
        <scheme val="minor"/>
      </rPr>
      <t xml:space="preserve"> </t>
    </r>
    <r>
      <rPr>
        <b/>
        <sz val="11"/>
        <rFont val="Calibri"/>
        <family val="2"/>
        <charset val="186"/>
        <scheme val="minor"/>
      </rPr>
      <t xml:space="preserve"> 525</t>
    </r>
    <r>
      <rPr>
        <sz val="11"/>
        <rFont val="Calibri"/>
        <family val="2"/>
        <charset val="186"/>
        <scheme val="minor"/>
      </rPr>
      <t xml:space="preserve"> units will be installed . </t>
    </r>
    <r>
      <rPr>
        <i/>
        <sz val="11"/>
        <rFont val="Calibri"/>
        <family val="2"/>
        <charset val="186"/>
        <scheme val="minor"/>
      </rPr>
      <t xml:space="preserve">Seeking to calculate number of modernised meters which have remote system special output indicator is proposed for this action. </t>
    </r>
  </si>
  <si>
    <r>
      <t xml:space="preserve">The milestone 2024 and 2029 target for </t>
    </r>
    <r>
      <rPr>
        <strike/>
        <sz val="11"/>
        <rFont val="Calibri"/>
        <family val="2"/>
        <charset val="186"/>
        <scheme val="minor"/>
      </rPr>
      <t>RCO01 equals the milestone 2024 and 2029 target for RCO03.</t>
    </r>
    <r>
      <rPr>
        <sz val="11"/>
        <rFont val="Calibri"/>
        <family val="2"/>
        <scheme val="minor"/>
      </rPr>
      <t xml:space="preserve"> </t>
    </r>
    <r>
      <rPr>
        <b/>
        <sz val="11"/>
        <rFont val="Calibri"/>
        <family val="2"/>
        <charset val="186"/>
        <scheme val="minor"/>
      </rPr>
      <t xml:space="preserve">"Enterprises supported (of which: micro, small, medium, large)" equals the milestone 2024 and 2029 target for "Enterprises supported by financial instruments". </t>
    </r>
  </si>
  <si>
    <r>
      <rPr>
        <b/>
        <sz val="11"/>
        <rFont val="Calibri"/>
        <family val="2"/>
        <scheme val="minor"/>
      </rPr>
      <t>The Monitoring Committee approved the special project selection criteria which directs funds to the applicants from the Vilnius county of Lithuania</t>
    </r>
    <r>
      <rPr>
        <sz val="11"/>
        <rFont val="Calibri"/>
        <family val="2"/>
        <scheme val="minor"/>
      </rPr>
      <t xml:space="preserve">. It is assumed that </t>
    </r>
    <r>
      <rPr>
        <strike/>
        <sz val="11"/>
        <rFont val="Calibri"/>
        <family val="2"/>
        <scheme val="minor"/>
      </rPr>
      <t>all heat and hot water suppliers have to modernise  heat and hot meters.According to information provided by Lithuanian District Heating Association about 10 percent of enterprises already modernised mentioned meters. Therefore, it is assumed that about 40</t>
    </r>
    <r>
      <rPr>
        <sz val="11"/>
        <rFont val="Calibri"/>
        <family val="2"/>
        <scheme val="minor"/>
      </rPr>
      <t xml:space="preserve">  </t>
    </r>
    <r>
      <rPr>
        <b/>
        <sz val="11"/>
        <rFont val="Calibri"/>
        <family val="2"/>
        <scheme val="minor"/>
      </rPr>
      <t>in the Vilnius county of Lithuania 6</t>
    </r>
    <r>
      <rPr>
        <sz val="11"/>
        <rFont val="Calibri"/>
        <family val="2"/>
        <scheme val="minor"/>
      </rPr>
      <t xml:space="preserve"> enterprises  will apply for funding and be supported by financial instruments by 2029. Since implementation of the action will start in 2023 and taking into  account that not all the heat and hot water suppliers will have projects ready to submit in 2023, we assume that </t>
    </r>
    <r>
      <rPr>
        <strike/>
        <sz val="11"/>
        <rFont val="Calibri"/>
        <family val="2"/>
        <scheme val="minor"/>
      </rPr>
      <t>about 10 percent of allocation will be invested and accordingly 10 percent of enterprises be supported up to the end of 2024 40*0,1=4</t>
    </r>
    <r>
      <rPr>
        <sz val="11"/>
        <rFont val="Calibri"/>
        <family val="2"/>
        <scheme val="minor"/>
      </rPr>
      <t xml:space="preserve"> </t>
    </r>
    <r>
      <rPr>
        <b/>
        <sz val="11"/>
        <rFont val="Calibri"/>
        <family val="2"/>
        <scheme val="minor"/>
      </rPr>
      <t>1 enterprise will be supported by the end of 2024.</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</si>
  <si>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3 154 205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r>
      <rPr>
        <b/>
        <sz val="11"/>
        <rFont val="Calibri"/>
        <family val="2"/>
        <charset val="186"/>
        <scheme val="minor"/>
      </rPr>
      <t>~10 percent (2 km) is planned for the end of 2024.</t>
    </r>
  </si>
  <si>
    <r>
      <t xml:space="preserve">It is assumed that </t>
    </r>
    <r>
      <rPr>
        <strike/>
        <sz val="11"/>
        <rFont val="Calibri"/>
        <family val="2"/>
        <scheme val="minor"/>
      </rPr>
      <t>all</t>
    </r>
    <r>
      <rPr>
        <sz val="11"/>
        <rFont val="Calibri"/>
        <family val="2"/>
        <scheme val="minor"/>
      </rPr>
      <t xml:space="preserve"> </t>
    </r>
    <r>
      <rPr>
        <b/>
        <sz val="11"/>
        <rFont val="Calibri"/>
        <family val="2"/>
        <scheme val="minor"/>
      </rPr>
      <t>the majority of</t>
    </r>
    <r>
      <rPr>
        <sz val="11"/>
        <rFont val="Calibri"/>
        <family val="2"/>
        <scheme val="minor"/>
      </rPr>
      <t xml:space="preserve"> heat a</t>
    </r>
    <r>
      <rPr>
        <strike/>
        <sz val="11"/>
        <rFont val="Calibri"/>
        <family val="2"/>
        <scheme val="minor"/>
      </rPr>
      <t xml:space="preserve">nd hot water </t>
    </r>
    <r>
      <rPr>
        <sz val="11"/>
        <rFont val="Calibri"/>
        <family val="2"/>
        <scheme val="minor"/>
      </rPr>
      <t xml:space="preserve">suppliers have to modernise  heat </t>
    </r>
    <r>
      <rPr>
        <strike/>
        <sz val="11"/>
        <rFont val="Calibri"/>
        <family val="2"/>
        <scheme val="minor"/>
      </rPr>
      <t>and hot</t>
    </r>
    <r>
      <rPr>
        <sz val="11"/>
        <rFont val="Calibri"/>
        <family val="2"/>
        <scheme val="minor"/>
      </rPr>
      <t xml:space="preserve"> meters. According to information provided by Lithuanian District Heating Association about 10 percent of enterprises already modernised mentioned meters. </t>
    </r>
    <r>
      <rPr>
        <strike/>
        <sz val="11"/>
        <rFont val="Calibri"/>
        <family val="2"/>
        <scheme val="minor"/>
      </rPr>
      <t>Therefore,</t>
    </r>
    <r>
      <rPr>
        <sz val="11"/>
        <rFont val="Calibri"/>
        <family val="2"/>
        <scheme val="minor"/>
      </rPr>
      <t xml:space="preserve"> </t>
    </r>
    <r>
      <rPr>
        <b/>
        <sz val="11"/>
        <rFont val="Calibri"/>
        <family val="2"/>
        <scheme val="minor"/>
      </rPr>
      <t>I</t>
    </r>
    <r>
      <rPr>
        <strike/>
        <sz val="11"/>
        <rFont val="Calibri"/>
        <family val="2"/>
        <scheme val="minor"/>
      </rPr>
      <t>i</t>
    </r>
    <r>
      <rPr>
        <sz val="11"/>
        <rFont val="Calibri"/>
        <family val="2"/>
        <scheme val="minor"/>
      </rPr>
      <t xml:space="preserve">t is assumed that about </t>
    </r>
    <r>
      <rPr>
        <strike/>
        <sz val="11"/>
        <rFont val="Calibri"/>
        <family val="2"/>
        <scheme val="minor"/>
      </rPr>
      <t>40</t>
    </r>
    <r>
      <rPr>
        <sz val="11"/>
        <rFont val="Calibri"/>
        <family val="2"/>
        <scheme val="minor"/>
      </rPr>
      <t xml:space="preserve">  </t>
    </r>
    <r>
      <rPr>
        <b/>
        <sz val="11"/>
        <rFont val="Calibri"/>
        <family val="2"/>
        <scheme val="minor"/>
      </rPr>
      <t>27</t>
    </r>
    <r>
      <rPr>
        <sz val="11"/>
        <rFont val="Calibri"/>
        <family val="2"/>
        <scheme val="minor"/>
      </rPr>
      <t xml:space="preserve"> enterprises </t>
    </r>
    <r>
      <rPr>
        <b/>
        <sz val="11"/>
        <rFont val="Calibri"/>
        <family val="2"/>
        <scheme val="minor"/>
      </rPr>
      <t>of the Mid-West Lithuania</t>
    </r>
    <r>
      <rPr>
        <sz val="11"/>
        <rFont val="Calibri"/>
        <family val="2"/>
        <scheme val="minor"/>
      </rPr>
      <t xml:space="preserve"> would apply for funding and be supported by financial instruments by 2029. </t>
    </r>
    <r>
      <rPr>
        <strike/>
        <sz val="11"/>
        <rFont val="Calibri"/>
        <family val="2"/>
        <scheme val="minor"/>
      </rPr>
      <t>Out of them about 2/3 enterprises are located in Mid West Lithuania.</t>
    </r>
    <r>
      <rPr>
        <sz val="11"/>
        <rFont val="Calibri"/>
        <family val="2"/>
        <scheme val="minor"/>
      </rPr>
      <t xml:space="preserve"> Since implementation of the action will start in 202</t>
    </r>
    <r>
      <rPr>
        <strike/>
        <sz val="11"/>
        <rFont val="Calibri"/>
        <family val="2"/>
        <scheme val="minor"/>
      </rPr>
      <t>3</t>
    </r>
    <r>
      <rPr>
        <b/>
        <sz val="11"/>
        <rFont val="Calibri"/>
        <family val="2"/>
        <scheme val="minor"/>
      </rPr>
      <t>4</t>
    </r>
    <r>
      <rPr>
        <sz val="11"/>
        <rFont val="Calibri"/>
        <family val="2"/>
        <scheme val="minor"/>
      </rPr>
      <t xml:space="preserve"> </t>
    </r>
    <r>
      <rPr>
        <strike/>
        <sz val="11"/>
        <rFont val="Calibri"/>
        <family val="2"/>
        <scheme val="minor"/>
      </rPr>
      <t>and taking into  account that not all the heat and hot water suppliers will have projects ready to submit in 2023</t>
    </r>
    <r>
      <rPr>
        <sz val="11"/>
        <rFont val="Calibri"/>
        <family val="2"/>
        <scheme val="minor"/>
      </rPr>
      <t xml:space="preserve">, we assume that about 10 percent of allocation will be invested and accordingly 10 percent of enterprises be supported up to the end of 2024: </t>
    </r>
    <r>
      <rPr>
        <strike/>
        <sz val="11"/>
        <rFont val="Calibri"/>
        <family val="2"/>
        <scheme val="minor"/>
      </rPr>
      <t xml:space="preserve">(40 *2/3)*0,1 </t>
    </r>
    <r>
      <rPr>
        <b/>
        <sz val="11"/>
        <rFont val="Calibri"/>
        <family val="2"/>
        <charset val="186"/>
        <scheme val="minor"/>
      </rPr>
      <t>27/10</t>
    </r>
    <r>
      <rPr>
        <sz val="11"/>
        <rFont val="Calibri"/>
        <family val="2"/>
        <scheme val="minor"/>
      </rPr>
      <t>=</t>
    </r>
    <r>
      <rPr>
        <sz val="11"/>
        <rFont val="Calibri"/>
        <family val="2"/>
      </rPr>
      <t>~</t>
    </r>
    <r>
      <rPr>
        <sz val="11"/>
        <rFont val="Calibri"/>
        <family val="2"/>
        <scheme val="minor"/>
      </rPr>
      <t>3 .</t>
    </r>
  </si>
  <si>
    <t>Justification for the proposed change 2025-12</t>
  </si>
  <si>
    <r>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t>
    </r>
    <r>
      <rPr>
        <sz val="11"/>
        <rFont val="Calibri"/>
        <family val="2"/>
        <charset val="186"/>
        <scheme val="minor"/>
      </rPr>
      <t xml:space="preserve"> 2021-2027:</t>
    </r>
    <r>
      <rPr>
        <b/>
        <sz val="11"/>
        <rFont val="Calibri"/>
        <family val="2"/>
        <charset val="186"/>
        <scheme val="minor"/>
      </rPr>
      <t xml:space="preserve">  </t>
    </r>
    <r>
      <rPr>
        <strike/>
        <sz val="11"/>
        <rFont val="Calibri"/>
        <family val="2"/>
        <charset val="186"/>
        <scheme val="minor"/>
      </rPr>
      <t>29% * 268 = 78</t>
    </r>
    <r>
      <rPr>
        <b/>
        <sz val="11"/>
        <rFont val="Calibri"/>
        <family val="2"/>
        <charset val="186"/>
        <scheme val="minor"/>
      </rPr>
      <t xml:space="preserve"> 29% * 215 = 62</t>
    </r>
    <r>
      <rPr>
        <sz val="11"/>
        <rFont val="Calibri"/>
        <family val="2"/>
        <charset val="186"/>
        <scheme val="minor"/>
      </rPr>
      <t xml:space="preserve"> companies.</t>
    </r>
  </si>
  <si>
    <r>
      <t xml:space="preserve">The 2029 target for RCO01 equals the 2029 target for RCO02. </t>
    </r>
    <r>
      <rPr>
        <b/>
        <sz val="11"/>
        <rFont val="Calibri"/>
        <family val="2"/>
        <charset val="186"/>
        <scheme val="minor"/>
      </rPr>
      <t xml:space="preserve">2024 milestone value ramain the same.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</si>
  <si>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100.814.160,00 Eur (60.488.496,00*100/60).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(100.814.160,00/319.819,18)*0,85=268 enterprises. As regards milestines for 2024, it is assumed thet the progress of the action, according to the forecast made in 2022 March-April (data from planned calls for proposals and payments), would amount to 29% of the final targets set based on the allocation for 2021-2027: 29%*268=78 companies.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</si>
  <si>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strike/>
        <sz val="11"/>
        <rFont val="Calibri"/>
        <family val="2"/>
        <charset val="186"/>
        <scheme val="minor"/>
      </rPr>
      <t>100.814.160,00 Eur (60.488.496,00*100/60</t>
    </r>
    <r>
      <rPr>
        <sz val="11"/>
        <rFont val="Calibri"/>
        <family val="2"/>
        <scheme val="minor"/>
      </rPr>
      <t xml:space="preserve">) </t>
    </r>
    <r>
      <rPr>
        <b/>
        <sz val="11"/>
        <rFont val="Calibri"/>
        <family val="2"/>
        <scheme val="minor"/>
      </rPr>
      <t>81.032.730,00 Eur (48.619.638,00*100/60)</t>
    </r>
    <r>
      <rPr>
        <sz val="11"/>
        <rFont val="Calibri"/>
        <family val="2"/>
        <scheme val="minor"/>
      </rPr>
      <t>.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t>
    </r>
    <r>
      <rPr>
        <b/>
        <sz val="11"/>
        <rFont val="Calibri"/>
        <family val="2"/>
        <scheme val="minor"/>
      </rPr>
      <t xml:space="preserve"> </t>
    </r>
    <r>
      <rPr>
        <strike/>
        <sz val="11"/>
        <rFont val="Calibri"/>
        <family val="2"/>
        <charset val="186"/>
        <scheme val="minor"/>
      </rPr>
      <t>(100.814.160,00/319.819,18)*0,85=268</t>
    </r>
    <r>
      <rPr>
        <b/>
        <sz val="11"/>
        <rFont val="Calibri"/>
        <family val="2"/>
        <scheme val="minor"/>
      </rPr>
      <t xml:space="preserve"> (81.032.730,00/319.819,18)*0,85=215</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29% of the final targets set based on the allocation for 2021-2027:  </t>
    </r>
    <r>
      <rPr>
        <strike/>
        <sz val="11"/>
        <rFont val="Calibri"/>
        <family val="2"/>
        <charset val="186"/>
        <scheme val="minor"/>
      </rPr>
      <t>29%*268=78</t>
    </r>
    <r>
      <rPr>
        <sz val="11"/>
        <rFont val="Calibri"/>
        <family val="2"/>
        <scheme val="minor"/>
      </rPr>
      <t xml:space="preserve"> </t>
    </r>
    <r>
      <rPr>
        <b/>
        <sz val="11"/>
        <rFont val="Calibri"/>
        <family val="2"/>
        <scheme val="minor"/>
      </rPr>
      <t>29%*215=62 companies</t>
    </r>
    <r>
      <rPr>
        <sz val="11"/>
        <rFont val="Calibri"/>
        <family val="2"/>
        <scheme val="minor"/>
      </rPr>
      <t xml:space="preserve">.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</si>
  <si>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t>
    </r>
    <r>
      <rPr>
        <b/>
        <sz val="11"/>
        <rFont val="Calibri"/>
        <family val="2"/>
        <charset val="186"/>
        <scheme val="minor"/>
      </rPr>
      <t xml:space="preserve"> 86.306.993,33 Eur (51.784.196*100/60).</t>
    </r>
    <r>
      <rPr>
        <sz val="11"/>
        <rFont val="Calibri"/>
        <family val="2"/>
        <scheme val="minor"/>
      </rPr>
      <t xml:space="preserve">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t>
    </r>
    <r>
      <rPr>
        <b/>
        <sz val="11"/>
        <rFont val="Calibri"/>
        <family val="2"/>
        <charset val="186"/>
        <scheme val="minor"/>
      </rPr>
      <t>(86.306.993,33/319.819,18)*0,85=229</t>
    </r>
    <r>
      <rPr>
        <sz val="11"/>
        <rFont val="Calibri"/>
        <family val="2"/>
        <scheme val="minor"/>
      </rPr>
      <t xml:space="preserve"> enterprises. </t>
    </r>
    <r>
      <rPr>
        <b/>
        <sz val="11"/>
        <rFont val="Calibri"/>
        <family val="2"/>
        <charset val="186"/>
        <scheme val="minor"/>
      </rPr>
      <t xml:space="preserve">2024 milestone value ramain the same. </t>
    </r>
    <r>
      <rPr>
        <sz val="11"/>
        <rFont val="Calibri"/>
        <family val="2"/>
        <scheme val="minor"/>
      </rPr>
      <t xml:space="preserve">
</t>
    </r>
  </si>
  <si>
    <r>
      <t xml:space="preserve">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 It is assumed, that while investing </t>
    </r>
    <r>
      <rPr>
        <strike/>
        <sz val="11"/>
        <rFont val="Calibri"/>
        <family val="2"/>
        <charset val="186"/>
        <scheme val="minor"/>
      </rPr>
      <t>100.814.160,00 Eur</t>
    </r>
    <r>
      <rPr>
        <b/>
        <sz val="11"/>
        <rFont val="Calibri"/>
        <family val="2"/>
        <charset val="186"/>
        <scheme val="minor"/>
      </rPr>
      <t xml:space="preserve"> 81.032.730,00 Eur</t>
    </r>
    <r>
      <rPr>
        <sz val="11"/>
        <rFont val="Calibri"/>
        <family val="2"/>
        <charset val="186"/>
        <scheme val="minor"/>
      </rPr>
      <t>, the total amount of the energy that could be saved is calculated as follows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*1kWh)/((0,3+0,6) Eur/2))/1000kWh= </t>
    </r>
    <r>
      <rPr>
        <strike/>
        <sz val="11"/>
        <rFont val="Calibri"/>
        <family val="2"/>
        <charset val="186"/>
        <scheme val="minor"/>
      </rPr>
      <t>224.031,47</t>
    </r>
    <r>
      <rPr>
        <sz val="11"/>
        <rFont val="Calibri"/>
        <family val="2"/>
        <charset val="186"/>
        <scheme val="minor"/>
      </rPr>
      <t xml:space="preserve"> </t>
    </r>
    <r>
      <rPr>
        <b/>
        <sz val="11"/>
        <rFont val="Calibri"/>
        <family val="2"/>
        <charset val="186"/>
        <scheme val="minor"/>
      </rPr>
      <t>180.072,73</t>
    </r>
    <r>
      <rPr>
        <sz val="11"/>
        <rFont val="Calibri"/>
        <family val="2"/>
        <charset val="186"/>
        <scheme val="minor"/>
      </rPr>
      <t xml:space="preserve">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strike/>
        <sz val="11"/>
        <rFont val="Calibri"/>
        <family val="2"/>
        <charset val="186"/>
        <scheme val="minor"/>
      </rPr>
      <t>224.031,47MWh*100/22=1.018.325 MWh/year</t>
    </r>
    <r>
      <rPr>
        <sz val="11"/>
        <rFont val="Calibri"/>
        <family val="2"/>
        <charset val="186"/>
        <scheme val="minor"/>
      </rPr>
      <t xml:space="preserve"> </t>
    </r>
    <r>
      <rPr>
        <b/>
        <sz val="11"/>
        <rFont val="Calibri"/>
        <family val="2"/>
        <charset val="186"/>
        <scheme val="minor"/>
      </rPr>
      <t>180.072,73 MWh*100/22=818.512 MWh/year</t>
    </r>
    <r>
      <rPr>
        <sz val="11"/>
        <rFont val="Calibri"/>
        <family val="2"/>
        <charset val="186"/>
        <scheme val="minor"/>
      </rPr>
      <t xml:space="preserve">, and the final target 2029 for RCR26 is </t>
    </r>
    <r>
      <rPr>
        <strike/>
        <sz val="11"/>
        <rFont val="Calibri"/>
        <family val="2"/>
        <charset val="186"/>
        <scheme val="minor"/>
      </rPr>
      <t>1.018.325,86-224.031,47=794.293  MWh/year</t>
    </r>
    <r>
      <rPr>
        <sz val="11"/>
        <rFont val="Calibri"/>
        <family val="2"/>
        <charset val="186"/>
        <scheme val="minor"/>
      </rPr>
      <t xml:space="preserve"> </t>
    </r>
    <r>
      <rPr>
        <b/>
        <sz val="11"/>
        <rFont val="Calibri"/>
        <family val="2"/>
        <charset val="186"/>
        <scheme val="minor"/>
      </rPr>
      <t>818.512,41-180.072,73=638.440 MWh/year</t>
    </r>
    <r>
      <rPr>
        <sz val="11"/>
        <rFont val="Calibri"/>
        <family val="2"/>
        <charset val="186"/>
        <scheme val="minor"/>
      </rPr>
      <t>.</t>
    </r>
  </si>
  <si>
    <r>
      <t xml:space="preserve">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b/>
        <sz val="11"/>
        <rFont val="Calibri"/>
        <family val="2"/>
        <charset val="186"/>
        <scheme val="minor"/>
      </rPr>
      <t>86.306.993,33 Eur.</t>
    </r>
    <r>
      <rPr>
        <sz val="11"/>
        <rFont val="Calibri"/>
        <family val="2"/>
        <charset val="186"/>
        <scheme val="minor"/>
      </rPr>
      <t xml:space="preserve"> It is assumed, that while investing  </t>
    </r>
    <r>
      <rPr>
        <b/>
        <sz val="11"/>
        <rFont val="Calibri"/>
        <family val="2"/>
        <charset val="186"/>
        <scheme val="minor"/>
      </rPr>
      <t>86.306.993,33 Eur</t>
    </r>
    <r>
      <rPr>
        <sz val="11"/>
        <rFont val="Calibri"/>
        <family val="2"/>
        <charset val="186"/>
        <scheme val="minor"/>
      </rPr>
      <t>, the total amount of the energy that could be saved is calculated as follows   ((</t>
    </r>
    <r>
      <rPr>
        <b/>
        <sz val="11"/>
        <rFont val="Calibri"/>
        <family val="2"/>
        <charset val="186"/>
        <scheme val="minor"/>
      </rPr>
      <t>86.306.993,33 Eur</t>
    </r>
    <r>
      <rPr>
        <sz val="11"/>
        <rFont val="Calibri"/>
        <family val="2"/>
        <charset val="186"/>
        <scheme val="minor"/>
      </rPr>
      <t>*1kWh)/((0,3+0,6) Eur/2))/1000kWh=</t>
    </r>
    <r>
      <rPr>
        <sz val="11"/>
        <color rgb="FFFF0000"/>
        <rFont val="Calibri"/>
        <family val="2"/>
        <charset val="186"/>
        <scheme val="minor"/>
      </rPr>
      <t xml:space="preserve"> </t>
    </r>
    <r>
      <rPr>
        <b/>
        <sz val="11"/>
        <rFont val="Calibri"/>
        <family val="2"/>
        <charset val="186"/>
        <scheme val="minor"/>
      </rPr>
      <t>191.793,32 MWh</t>
    </r>
    <r>
      <rPr>
        <sz val="11"/>
        <rFont val="Calibri"/>
        <family val="2"/>
        <charset val="186"/>
        <scheme val="minor"/>
      </rPr>
      <t xml:space="preserve">.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b/>
        <sz val="11"/>
        <rFont val="Calibri"/>
        <family val="2"/>
        <charset val="186"/>
        <scheme val="minor"/>
      </rPr>
      <t>191.793,32 MWh*100/22=871.787,82 MWh/yea</t>
    </r>
    <r>
      <rPr>
        <sz val="11"/>
        <color rgb="FFFF0000"/>
        <rFont val="Calibri"/>
        <family val="2"/>
        <charset val="186"/>
        <scheme val="minor"/>
      </rPr>
      <t>r</t>
    </r>
    <r>
      <rPr>
        <sz val="11"/>
        <rFont val="Calibri"/>
        <family val="2"/>
        <charset val="186"/>
        <scheme val="minor"/>
      </rPr>
      <t xml:space="preserve">, and the final target 2029 for RCR26 is </t>
    </r>
    <r>
      <rPr>
        <b/>
        <sz val="11"/>
        <rFont val="Calibri"/>
        <family val="2"/>
        <charset val="186"/>
        <scheme val="minor"/>
      </rPr>
      <t>871.787,82- 191.793,32=679.994,5 MWh/year.</t>
    </r>
  </si>
  <si>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charset val="186"/>
        <scheme val="minor"/>
      </rPr>
      <t xml:space="preserve"> 1.018.325 MWh/year* 0,42 t CO2e/MWh=427.696  t CO2e/year</t>
    </r>
    <r>
      <rPr>
        <sz val="11"/>
        <rFont val="Calibri"/>
        <family val="2"/>
        <charset val="186"/>
        <scheme val="minor"/>
      </rPr>
      <t xml:space="preserve">  </t>
    </r>
    <r>
      <rPr>
        <b/>
        <sz val="11"/>
        <rFont val="Calibri"/>
        <family val="2"/>
        <charset val="186"/>
        <scheme val="minor"/>
      </rPr>
      <t>818.512 MWh/year* 0,42 t CO2e/MWh=343.775 t CO2e/year</t>
    </r>
    <r>
      <rPr>
        <sz val="11"/>
        <rFont val="Calibri"/>
        <family val="2"/>
        <charset val="186"/>
        <scheme val="minor"/>
      </rPr>
      <t xml:space="preserve">, the final (2029) target for RCR29 is  </t>
    </r>
    <r>
      <rPr>
        <strike/>
        <sz val="11"/>
        <rFont val="Calibri"/>
        <family val="2"/>
        <charset val="186"/>
        <scheme val="minor"/>
      </rPr>
      <t>794.293  MWh/year * 0,42 t CO2e/MWh=333.603 t CO2e/year</t>
    </r>
    <r>
      <rPr>
        <sz val="11"/>
        <rFont val="Calibri"/>
        <family val="2"/>
        <charset val="186"/>
        <scheme val="minor"/>
      </rPr>
      <t xml:space="preserve"> </t>
    </r>
    <r>
      <rPr>
        <b/>
        <sz val="11"/>
        <rFont val="Calibri"/>
        <family val="2"/>
        <charset val="186"/>
        <scheme val="minor"/>
      </rPr>
      <t>638.440  MWh/year * 0,42 t CO2e/MWh=268.145 t CO2e/year</t>
    </r>
    <r>
      <rPr>
        <sz val="11"/>
        <rFont val="Calibri"/>
        <family val="2"/>
        <charset val="186"/>
        <scheme val="minor"/>
      </rPr>
      <t>.</t>
    </r>
  </si>
  <si>
    <r>
      <rPr>
        <b/>
        <sz val="11"/>
        <rFont val="Calibri"/>
        <family val="2"/>
        <charset val="186"/>
        <scheme val="minor"/>
      </rPr>
      <t>Acoording to the order No. B1-290 made on 31 August 2022 by the Minister of Environment of the Republic of Lithuania "Description of the procedure for investments by legal entities in changing or reducing use of fossil fuels and/or use of renewable energy resources", it is stated that for electricity projects in Lithuania, the pollution factor is 0.15 t CO2e / MWh.</t>
    </r>
    <r>
      <rPr>
        <sz val="11"/>
        <rFont val="Calibri"/>
        <family val="2"/>
        <charset val="186"/>
        <scheme val="minor"/>
      </rPr>
      <t xml:space="preserve"> Taking into acount primary and final energy targets for RCR26, the primarary (2021) target for RCR29 is </t>
    </r>
    <r>
      <rPr>
        <sz val="11"/>
        <color rgb="FFFF0000"/>
        <rFont val="Calibri"/>
        <family val="2"/>
        <charset val="186"/>
        <scheme val="minor"/>
      </rPr>
      <t xml:space="preserve"> </t>
    </r>
    <r>
      <rPr>
        <b/>
        <sz val="11"/>
        <rFont val="Calibri"/>
        <family val="2"/>
        <charset val="186"/>
        <scheme val="minor"/>
      </rPr>
      <t>871.787,82</t>
    </r>
    <r>
      <rPr>
        <sz val="11"/>
        <color rgb="FFFF0000"/>
        <rFont val="Calibri"/>
        <family val="2"/>
        <charset val="186"/>
        <scheme val="minor"/>
      </rPr>
      <t xml:space="preserve"> </t>
    </r>
    <r>
      <rPr>
        <b/>
        <sz val="11"/>
        <rFont val="Calibri"/>
        <family val="2"/>
        <charset val="186"/>
        <scheme val="minor"/>
      </rPr>
      <t>MWh/year* 0,15 t CO2e/MWh=130.768,17 t CO2e/year</t>
    </r>
    <r>
      <rPr>
        <sz val="11"/>
        <rFont val="Calibri"/>
        <family val="2"/>
        <charset val="186"/>
        <scheme val="minor"/>
      </rPr>
      <t>, the final (2029) target for RCR29 is</t>
    </r>
    <r>
      <rPr>
        <sz val="11"/>
        <color rgb="FFFF0000"/>
        <rFont val="Calibri"/>
        <family val="2"/>
        <charset val="186"/>
        <scheme val="minor"/>
      </rPr>
      <t xml:space="preserve"> </t>
    </r>
    <r>
      <rPr>
        <b/>
        <sz val="11"/>
        <rFont val="Calibri"/>
        <family val="2"/>
        <charset val="186"/>
        <scheme val="minor"/>
      </rPr>
      <t>679.994,5  MWh/year * 0,15 t CO2e/MWh=101.999,18 t CO2e/year.</t>
    </r>
  </si>
  <si>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scheme val="minor"/>
      </rPr>
      <t xml:space="preserve"> </t>
    </r>
    <r>
      <rPr>
        <sz val="11"/>
        <rFont val="Calibri"/>
        <family val="2"/>
        <scheme val="minor"/>
      </rPr>
      <t>814.660 MWh/year* 0,42 t CO2e/MWh=342.157 t CO2e/year, the final (2029) target for RCR29 is 635.435 MWh/year * 0,42 t CO2e/MWh=266.883 t CO2e/year.</t>
    </r>
  </si>
  <si>
    <r>
      <rPr>
        <b/>
        <sz val="11"/>
        <rFont val="Calibri"/>
        <family val="2"/>
        <charset val="186"/>
        <scheme val="minor"/>
      </rPr>
      <t>Acoording to the order No. B1-290 made on 31 August 2022 by the Minister of Environment of the Republic of Lithuania "Description of the procedure for investments by legal entities in changing or reducing use of fossil fuels and/or use of renewable energy resources", it is stated that for electricity projects in Lithuania, the pollution factor is 0.15 t CO2e / MWh.</t>
    </r>
    <r>
      <rPr>
        <sz val="11"/>
        <rFont val="Calibri"/>
        <family val="2"/>
        <charset val="186"/>
        <scheme val="minor"/>
      </rPr>
      <t xml:space="preserve"> Taking into acount primary and final energy targets for RCR26, the primarary (2021) target for RCR29 is </t>
    </r>
    <r>
      <rPr>
        <b/>
        <sz val="11"/>
        <rFont val="Calibri"/>
        <family val="2"/>
        <charset val="186"/>
        <scheme val="minor"/>
      </rPr>
      <t>190.995,32 MWh/year* 0,15 t</t>
    </r>
    <r>
      <rPr>
        <sz val="11"/>
        <color rgb="FFFF0000"/>
        <rFont val="Calibri"/>
        <family val="2"/>
        <charset val="186"/>
        <scheme val="minor"/>
      </rPr>
      <t xml:space="preserve"> </t>
    </r>
    <r>
      <rPr>
        <b/>
        <sz val="11"/>
        <rFont val="Calibri"/>
        <family val="2"/>
        <charset val="186"/>
        <scheme val="minor"/>
      </rPr>
      <t>CO2e/MWh=28.649,30</t>
    </r>
    <r>
      <rPr>
        <sz val="11"/>
        <rFont val="Calibri"/>
        <family val="2"/>
        <charset val="186"/>
        <scheme val="minor"/>
      </rPr>
      <t xml:space="preserve"> t CO2e/year, the final (2029) target for RCR29 is</t>
    </r>
    <r>
      <rPr>
        <sz val="11"/>
        <color rgb="FFFF0000"/>
        <rFont val="Calibri"/>
        <family val="2"/>
        <charset val="186"/>
        <scheme val="minor"/>
      </rPr>
      <t xml:space="preserve"> </t>
    </r>
    <r>
      <rPr>
        <b/>
        <sz val="11"/>
        <rFont val="Calibri"/>
        <family val="2"/>
        <charset val="186"/>
        <scheme val="minor"/>
      </rPr>
      <t>148.976,35 MWh/year * 0,15 t CO2e/MWh= 22.346,45</t>
    </r>
    <r>
      <rPr>
        <sz val="11"/>
        <rFont val="Calibri"/>
        <family val="2"/>
        <charset val="186"/>
        <scheme val="minor"/>
      </rPr>
      <t xml:space="preserve"> t CO2e/year.</t>
    </r>
  </si>
  <si>
    <r>
      <t xml:space="preserve">Acoording to the order No. B1-290 made on 31 August 2022 by the Minister of Environment of the Republic of Lithuania "Description of the procedure for investments by legal entities in changing or reducing use of fossil fuels and/or use of renewable energy resources", it is stated that for electricity projects in Lithuania, the pollution factor is 0.15 t CO2e / MWh. Taking into acount primary and final energy targets for RCR26, the primarary (2021) target for RCR29 is  </t>
    </r>
    <r>
      <rPr>
        <b/>
        <sz val="11"/>
        <rFont val="Calibri"/>
        <family val="2"/>
        <charset val="186"/>
        <scheme val="minor"/>
      </rPr>
      <t>474.929,50</t>
    </r>
    <r>
      <rPr>
        <sz val="11"/>
        <rFont val="Calibri"/>
        <family val="2"/>
        <scheme val="minor"/>
      </rPr>
      <t xml:space="preserve"> MWh/year* 0,15 t CO2e/MWh=</t>
    </r>
    <r>
      <rPr>
        <b/>
        <sz val="11"/>
        <rFont val="Calibri"/>
        <family val="2"/>
        <charset val="186"/>
        <scheme val="minor"/>
      </rPr>
      <t>71.239,43</t>
    </r>
    <r>
      <rPr>
        <sz val="11"/>
        <color rgb="FFFF0000"/>
        <rFont val="Calibri"/>
        <family val="2"/>
        <charset val="186"/>
        <scheme val="minor"/>
      </rPr>
      <t xml:space="preserve"> </t>
    </r>
    <r>
      <rPr>
        <sz val="11"/>
        <rFont val="Calibri"/>
        <family val="2"/>
        <scheme val="minor"/>
      </rPr>
      <t xml:space="preserve">t CO2e/year, the final (2029) target for RCR29 is </t>
    </r>
    <r>
      <rPr>
        <b/>
        <sz val="11"/>
        <rFont val="Calibri"/>
        <family val="2"/>
        <charset val="186"/>
        <scheme val="minor"/>
      </rPr>
      <t xml:space="preserve">370.445,01 </t>
    </r>
    <r>
      <rPr>
        <sz val="11"/>
        <rFont val="Calibri"/>
        <family val="2"/>
        <scheme val="minor"/>
      </rPr>
      <t xml:space="preserve"> MWh/year * 0,15 t CO2e/MWh=</t>
    </r>
    <r>
      <rPr>
        <b/>
        <sz val="11"/>
        <rFont val="Calibri"/>
        <family val="2"/>
        <charset val="186"/>
        <scheme val="minor"/>
      </rPr>
      <t>55.566,75</t>
    </r>
    <r>
      <rPr>
        <sz val="11"/>
        <rFont val="Calibri"/>
        <family val="2"/>
        <scheme val="minor"/>
      </rPr>
      <t xml:space="preserve"> t CO2e/year.</t>
    </r>
  </si>
  <si>
    <t xml:space="preserve">The 2029 target for RCO01 equals the 2029 target for RCO02. 2024 milestone value ramains the same. </t>
  </si>
  <si>
    <r>
      <rPr>
        <b/>
        <sz val="11"/>
        <rFont val="Calibri"/>
        <family val="2"/>
        <charset val="186"/>
        <scheme val="minor"/>
      </rPr>
      <t>The value of the indicator is reduced in proportion to the amount of funds being redistributed (30.871.398) and allocated to a new priority.</t>
    </r>
    <r>
      <rPr>
        <sz val="11"/>
        <rFont val="Calibri"/>
        <family val="2"/>
        <charset val="186"/>
        <scheme val="minor"/>
      </rPr>
      <t xml:space="preserve">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The total amount of the action is calculated according to the experience of 2014-2020 and the intensity level accorindg to the State Aid rules and intensity of Capital region (EU-50%, national-50%) and it is </t>
    </r>
    <r>
      <rPr>
        <b/>
        <sz val="11"/>
        <rFont val="Calibri"/>
        <family val="2"/>
        <charset val="186"/>
        <scheme val="minor"/>
      </rPr>
      <t>18.908.536,00</t>
    </r>
    <r>
      <rPr>
        <sz val="11"/>
        <rFont val="Calibri"/>
        <family val="2"/>
        <charset val="186"/>
        <scheme val="minor"/>
      </rPr>
      <t xml:space="preserve"> Eur. It is assumed, that while investing  </t>
    </r>
    <r>
      <rPr>
        <b/>
        <sz val="11"/>
        <rFont val="Calibri"/>
        <family val="2"/>
        <charset val="186"/>
        <scheme val="minor"/>
      </rPr>
      <t>18.908.536,00</t>
    </r>
    <r>
      <rPr>
        <sz val="11"/>
        <rFont val="Calibri"/>
        <family val="2"/>
        <charset val="186"/>
        <scheme val="minor"/>
      </rPr>
      <t xml:space="preserve"> Eur, the total amount of the energy that could be saved is calculated as follows   (</t>
    </r>
    <r>
      <rPr>
        <b/>
        <sz val="11"/>
        <rFont val="Calibri"/>
        <family val="2"/>
        <charset val="186"/>
        <scheme val="minor"/>
      </rPr>
      <t>(18.908.536,00</t>
    </r>
    <r>
      <rPr>
        <sz val="11"/>
        <rFont val="Calibri"/>
        <family val="2"/>
        <charset val="186"/>
        <scheme val="minor"/>
      </rPr>
      <t>Eur*1kWh)/((0,3+0,6) Eur/2))/1000kWh=</t>
    </r>
    <r>
      <rPr>
        <b/>
        <sz val="11"/>
        <rFont val="Calibri"/>
        <family val="2"/>
        <charset val="186"/>
        <scheme val="minor"/>
      </rPr>
      <t>42.018,97</t>
    </r>
    <r>
      <rPr>
        <sz val="11"/>
        <rFont val="Calibri"/>
        <family val="2"/>
        <charset val="186"/>
        <scheme val="minor"/>
      </rPr>
      <t xml:space="preserve">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t>
    </r>
    <r>
      <rPr>
        <b/>
        <sz val="11"/>
        <rFont val="Calibri"/>
        <family val="2"/>
        <charset val="186"/>
        <scheme val="minor"/>
      </rPr>
      <t>42.018,97 MWh*100/22=190.995,32</t>
    </r>
    <r>
      <rPr>
        <sz val="11"/>
        <rFont val="Calibri"/>
        <family val="2"/>
        <charset val="186"/>
        <scheme val="minor"/>
      </rPr>
      <t xml:space="preserve"> MWh/year, and the final target 2029 for RCR26 is </t>
    </r>
    <r>
      <rPr>
        <b/>
        <sz val="11"/>
        <rFont val="Calibri"/>
        <family val="2"/>
        <charset val="186"/>
        <scheme val="minor"/>
      </rPr>
      <t>190.995,32-42.018,97=148.976,35</t>
    </r>
    <r>
      <rPr>
        <sz val="11"/>
        <rFont val="Calibri"/>
        <family val="2"/>
        <charset val="186"/>
        <scheme val="minor"/>
      </rPr>
      <t xml:space="preserve"> MWh/year.</t>
    </r>
  </si>
  <si>
    <r>
      <rPr>
        <b/>
        <sz val="11"/>
        <rFont val="Calibri"/>
        <family val="2"/>
        <scheme val="minor"/>
      </rPr>
      <t>The value of the indicator is reduced in proportion to the amount of funds being redistributed (30.871.398) and allocated to a new priority.</t>
    </r>
    <r>
      <rPr>
        <sz val="11"/>
        <rFont val="Calibri"/>
        <family val="2"/>
        <scheme val="minor"/>
      </rPr>
      <t xml:space="preserve">
The total amount of the action is calculated according to the experience of 2014-2020 and the intensity level accorindg to the State Aid rules and intensity for Capital region (EU-50%, national-50%) and it is  </t>
    </r>
    <r>
      <rPr>
        <b/>
        <sz val="11"/>
        <rFont val="Calibri"/>
        <family val="2"/>
        <scheme val="minor"/>
      </rPr>
      <t>18.908.536,00</t>
    </r>
    <r>
      <rPr>
        <sz val="11"/>
        <rFont val="Calibri"/>
        <family val="2"/>
        <scheme val="minor"/>
      </rPr>
      <t xml:space="preserve"> Eur </t>
    </r>
    <r>
      <rPr>
        <b/>
        <sz val="11"/>
        <rFont val="Calibri"/>
        <family val="2"/>
        <scheme val="minor"/>
      </rPr>
      <t>(9.454.268,00*100/50)</t>
    </r>
    <r>
      <rPr>
        <sz val="11"/>
        <rFont val="Calibri"/>
        <family val="2"/>
        <scheme val="minor"/>
      </rPr>
      <t xml:space="preserve">. The 2029 target for RCO02 is based on the assumption of 300.707,21 Eur average project value per enterprise (in terms of 2014-2020 financed projects in Capital Region under the 3 priority measures "Regio Invest LT+", "Regio potencialas“). Also the result is reduced 15 % because of implementation risk (according to the experience of 2014-2020 value of discontinued projects is 15% of the value of completed projects): </t>
    </r>
    <r>
      <rPr>
        <b/>
        <sz val="11"/>
        <rFont val="Calibri"/>
        <family val="2"/>
        <scheme val="minor"/>
      </rPr>
      <t>(18.908.536,00/300.707,21)*0,85=53</t>
    </r>
    <r>
      <rPr>
        <sz val="11"/>
        <rFont val="Calibri"/>
        <family val="2"/>
        <scheme val="minor"/>
      </rPr>
      <t xml:space="preserve"> enterprises. </t>
    </r>
    <r>
      <rPr>
        <b/>
        <sz val="11"/>
        <rFont val="Calibri"/>
        <family val="2"/>
        <scheme val="minor"/>
      </rPr>
      <t xml:space="preserve">2024 milestone value ramains the same. </t>
    </r>
  </si>
  <si>
    <r>
      <rPr>
        <b/>
        <sz val="11"/>
        <rFont val="Calibri"/>
        <family val="2"/>
        <scheme val="minor"/>
      </rPr>
      <t>The value of the indicator is reduced in proportion to the amount of funds being redistributed (23.573.385) and allocated to a new priority.</t>
    </r>
    <r>
      <rPr>
        <sz val="11"/>
        <rFont val="Calibri"/>
        <family val="2"/>
        <scheme val="minor"/>
      </rPr>
      <t xml:space="preserve">
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b/>
        <sz val="11"/>
        <rFont val="Calibri"/>
        <family val="2"/>
        <scheme val="minor"/>
      </rPr>
      <t>47.018.018,33 Eur (28.210.811,00*100/60)</t>
    </r>
    <r>
      <rPr>
        <sz val="11"/>
        <rFont val="Calibri"/>
        <family val="2"/>
        <scheme val="minor"/>
      </rPr>
      <t xml:space="preserve">.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t>
    </r>
    <r>
      <rPr>
        <b/>
        <sz val="11"/>
        <rFont val="Calibri"/>
        <family val="2"/>
        <scheme val="minor"/>
      </rPr>
      <t>(47.018.018,33/319.819,18)*0,85=125</t>
    </r>
    <r>
      <rPr>
        <sz val="11"/>
        <rFont val="Calibri"/>
        <family val="2"/>
        <scheme val="minor"/>
      </rPr>
      <t xml:space="preserve"> enterprises. 2024 milestone value ramains the same. 
</t>
    </r>
  </si>
  <si>
    <r>
      <rPr>
        <b/>
        <sz val="11"/>
        <rFont val="Calibri"/>
        <family val="2"/>
        <scheme val="minor"/>
      </rPr>
      <t>The value of the indicator is reduced in proportion to the amount of funds being redistributed (23.573.385) and allocated to a new priority.</t>
    </r>
    <r>
      <rPr>
        <sz val="11"/>
        <rFont val="Calibri"/>
        <family val="2"/>
        <scheme val="minor"/>
      </rPr>
      <t xml:space="preserve">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b/>
        <sz val="11"/>
        <rFont val="Calibri"/>
        <family val="2"/>
        <scheme val="minor"/>
      </rPr>
      <t>47.018.018,33 Eur.</t>
    </r>
    <r>
      <rPr>
        <sz val="11"/>
        <rFont val="Calibri"/>
        <family val="2"/>
        <scheme val="minor"/>
      </rPr>
      <t xml:space="preserve"> It is assumed, that while investing  </t>
    </r>
    <r>
      <rPr>
        <b/>
        <sz val="11"/>
        <rFont val="Calibri"/>
        <family val="2"/>
        <scheme val="minor"/>
      </rPr>
      <t>47.018.018,33 Eur</t>
    </r>
    <r>
      <rPr>
        <sz val="11"/>
        <rFont val="Calibri"/>
        <family val="2"/>
        <scheme val="minor"/>
      </rPr>
      <t xml:space="preserve">, the total amount of the energy that could be saved is calculated as follows  </t>
    </r>
    <r>
      <rPr>
        <b/>
        <sz val="11"/>
        <rFont val="Calibri"/>
        <family val="2"/>
        <scheme val="minor"/>
      </rPr>
      <t xml:space="preserve"> ((47.018.018,33 Eur</t>
    </r>
    <r>
      <rPr>
        <sz val="11"/>
        <rFont val="Calibri"/>
        <family val="2"/>
        <scheme val="minor"/>
      </rPr>
      <t>*1kWh)/((0,3+0,6) Eur/2))/1000kWh</t>
    </r>
    <r>
      <rPr>
        <b/>
        <sz val="11"/>
        <rFont val="Calibri"/>
        <family val="2"/>
        <scheme val="minor"/>
      </rPr>
      <t>= 104.484,49 MWh.</t>
    </r>
    <r>
      <rPr>
        <sz val="11"/>
        <rFont val="Calibri"/>
        <family val="2"/>
        <scheme val="minor"/>
      </rPr>
      <t xml:space="preserve">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b/>
        <sz val="11"/>
        <rFont val="Calibri"/>
        <family val="2"/>
        <scheme val="minor"/>
      </rPr>
      <t>104.484,49 MWh*100/22=474.929,50</t>
    </r>
    <r>
      <rPr>
        <sz val="11"/>
        <rFont val="Calibri"/>
        <family val="2"/>
        <scheme val="minor"/>
      </rPr>
      <t xml:space="preserve"> MWh/year, and the final target 2029 for RCR26 is </t>
    </r>
    <r>
      <rPr>
        <b/>
        <sz val="11"/>
        <rFont val="Calibri"/>
        <family val="2"/>
        <scheme val="minor"/>
      </rPr>
      <t>474.929,50-104.484,49=370.445,01</t>
    </r>
    <r>
      <rPr>
        <sz val="11"/>
        <rFont val="Calibri"/>
        <family val="2"/>
        <scheme val="minor"/>
      </rPr>
      <t xml:space="preserve"> MWh/year.</t>
    </r>
  </si>
  <si>
    <r>
      <t xml:space="preserve">The 2029 target for RCO01 equals the 2029 target for RCO02. </t>
    </r>
    <r>
      <rPr>
        <sz val="11"/>
        <rFont val="Calibri"/>
        <family val="2"/>
        <charset val="186"/>
        <scheme val="minor"/>
      </rPr>
      <t xml:space="preserve">2024 milestone value ramains the same. </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</si>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</sst>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_-;\-* #,##0\ _€_-;_-* &quot;-&quot;\ _€_-;_-@_-"/>
    <numFmt numFmtId="165" formatCode="_-* #,##0.00\ _€_-;\-* #,##0.00\ _€_-;_-* &quot;-&quot;??\ _€_-;_-@_-"/>
    <numFmt numFmtId="166" formatCode="#,##0.0"/>
    <numFmt numFmtId="167" formatCode="0.0"/>
    <numFmt numFmtId="168" formatCode="_-* #,##0\ _€_-;\-* #,##0\ _€_-;_-* &quot;-&quot;??\ _€_-;_-@_-"/>
    <numFmt numFmtId="169" formatCode="0_ ;\-0\ "/>
  </numFmts>
  <fonts count="9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sz val="11"/>
      <color theme="1"/>
      <name val="Calibri"/>
      <family val="2"/>
      <scheme val="minor"/>
    </font>
    <font>
      <sz val="11"/>
      <color rgb="FFFF0000"/>
      <name val="Calibri"/>
      <family val="2"/>
      <charset val="186"/>
      <scheme val="minor"/>
    </font>
    <font>
      <i/>
      <sz val="11"/>
      <color rgb="FFFF0000"/>
      <name val="Calibri"/>
      <family val="2"/>
      <charset val="186"/>
      <scheme val="minor"/>
    </font>
    <font>
      <sz val="11"/>
      <name val="Calibri"/>
      <family val="2"/>
      <charset val="186"/>
    </font>
    <font>
      <i/>
      <sz val="11"/>
      <name val="Calibri"/>
      <family val="2"/>
      <charset val="186"/>
    </font>
    <font>
      <u/>
      <sz val="11"/>
      <name val="Calibri"/>
      <family val="2"/>
      <charset val="186"/>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2"/>
      <color theme="1"/>
      <name val="Calibri"/>
      <family val="2"/>
      <scheme val="minor"/>
    </font>
    <font>
      <sz val="12"/>
      <color rgb="FF000000"/>
      <name val="Calibri"/>
      <family val="2"/>
      <scheme val="minor"/>
    </font>
    <font>
      <i/>
      <sz val="11"/>
      <name val="Calibri"/>
      <family val="2"/>
      <charset val="186"/>
      <scheme val="minor"/>
    </font>
    <font>
      <b/>
      <sz val="11"/>
      <name val="Calibri"/>
      <family val="2"/>
      <scheme val="minor"/>
    </font>
    <font>
      <sz val="11"/>
      <color rgb="FFFF0000"/>
      <name val="Calibri"/>
      <family val="2"/>
      <scheme val="minor"/>
    </font>
    <font>
      <b/>
      <sz val="11"/>
      <name val="Calibri"/>
      <family val="2"/>
      <charset val="186"/>
    </font>
    <font>
      <sz val="11"/>
      <name val="Calibri"/>
      <family val="2"/>
    </font>
    <font>
      <sz val="9"/>
      <color indexed="81"/>
      <name val="Tahoma"/>
      <family val="2"/>
      <charset val="186"/>
    </font>
    <font>
      <b/>
      <sz val="9"/>
      <color indexed="81"/>
      <name val="Tahoma"/>
      <family val="2"/>
      <charset val="186"/>
    </font>
    <font>
      <sz val="11"/>
      <color theme="1"/>
      <name val="Calibri"/>
      <family val="2"/>
      <charset val="186"/>
    </font>
    <font>
      <b/>
      <sz val="11"/>
      <color theme="1"/>
      <name val="Calibri"/>
      <family val="2"/>
      <charset val="186"/>
    </font>
    <font>
      <strike/>
      <sz val="11"/>
      <color theme="1"/>
      <name val="Calibri"/>
      <family val="2"/>
      <charset val="186"/>
    </font>
    <font>
      <u/>
      <sz val="11"/>
      <name val="Calibri"/>
      <family val="2"/>
      <charset val="186"/>
    </font>
    <font>
      <strike/>
      <sz val="11"/>
      <name val="Calibri"/>
      <family val="2"/>
      <charset val="186"/>
    </font>
    <font>
      <b/>
      <strike/>
      <sz val="11"/>
      <name val="Calibri"/>
      <family val="2"/>
      <charset val="186"/>
    </font>
    <font>
      <b/>
      <sz val="11"/>
      <color rgb="FF000000"/>
      <name val="Calibri"/>
      <family val="2"/>
      <charset val="186"/>
      <scheme val="minor"/>
    </font>
    <font>
      <sz val="11"/>
      <color rgb="FF000000"/>
      <name val="Calibri"/>
      <family val="2"/>
      <charset val="186"/>
      <scheme val="minor"/>
    </font>
    <font>
      <strike/>
      <sz val="11"/>
      <color rgb="FF000000"/>
      <name val="Calibri"/>
      <family val="2"/>
      <charset val="186"/>
      <scheme val="minor"/>
    </font>
    <font>
      <b/>
      <strike/>
      <sz val="11"/>
      <name val="Calibri"/>
      <family val="2"/>
      <charset val="186"/>
      <scheme val="minor"/>
    </font>
    <font>
      <strike/>
      <sz val="11"/>
      <name val="Calibri"/>
      <family val="2"/>
      <scheme val="minor"/>
    </font>
    <font>
      <sz val="11"/>
      <color rgb="FF0070C0"/>
      <name val="Calibri"/>
      <family val="2"/>
      <scheme val="minor"/>
    </font>
    <font>
      <sz val="11"/>
      <color rgb="FF0070C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165" fontId="64" fillId="0" borderId="0" applyFont="0" applyFill="0" applyBorder="0" applyAlignment="0" applyProtection="0"/>
    <xf numFmtId="164" fontId="64" fillId="0" borderId="0" applyFont="0" applyFill="0" applyBorder="0" applyAlignment="0" applyProtection="0"/>
    <xf numFmtId="9" fontId="64" fillId="0" borderId="0" applyFont="0" applyFill="0" applyBorder="0" applyAlignment="0" applyProtection="0"/>
  </cellStyleXfs>
  <cellXfs count="789">
    <xf numFmtId="0" fontId="0" fillId="0" borderId="0" xfId="0"/>
    <xf numFmtId="0" fontId="0" fillId="0" borderId="0" xfId="0" applyAlignment="1">
      <alignment vertical="center" wrapText="1"/>
    </xf>
    <xf numFmtId="0" fontId="0" fillId="2" borderId="0" xfId="0" applyFill="1" applyAlignment="1">
      <alignment horizontal="center" vertical="center" wrapText="1"/>
    </xf>
    <xf numFmtId="0" fontId="0" fillId="0" borderId="0" xfId="0" applyAlignment="1">
      <alignment horizontal="center" vertical="top" wrapText="1"/>
    </xf>
    <xf numFmtId="0" fontId="21" fillId="0" borderId="0" xfId="0" applyFont="1" applyAlignment="1">
      <alignment horizontal="center" vertical="center" wrapText="1"/>
    </xf>
    <xf numFmtId="0" fontId="21"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vertical="center"/>
    </xf>
    <xf numFmtId="0" fontId="0" fillId="0" borderId="0" xfId="0" applyAlignment="1">
      <alignment vertical="center"/>
    </xf>
    <xf numFmtId="0" fontId="0" fillId="0" borderId="8" xfId="0" applyBorder="1"/>
    <xf numFmtId="166" fontId="0" fillId="0" borderId="0" xfId="0" applyNumberFormat="1"/>
    <xf numFmtId="0" fontId="17" fillId="0" borderId="10" xfId="0" applyFont="1" applyBorder="1" applyAlignment="1">
      <alignment horizontal="center" vertical="center"/>
    </xf>
    <xf numFmtId="0" fontId="17" fillId="2" borderId="10" xfId="0" applyFont="1" applyFill="1" applyBorder="1" applyAlignment="1">
      <alignment horizontal="center" vertical="center" wrapText="1"/>
    </xf>
    <xf numFmtId="0" fontId="17" fillId="0" borderId="18" xfId="0" applyFont="1" applyBorder="1" applyAlignment="1">
      <alignment horizontal="center" vertical="center" wrapText="1"/>
    </xf>
    <xf numFmtId="166" fontId="0" fillId="0" borderId="0" xfId="0" applyNumberFormat="1" applyAlignment="1">
      <alignment vertical="center" wrapText="1"/>
    </xf>
    <xf numFmtId="0" fontId="0" fillId="0" borderId="0" xfId="0" applyAlignment="1">
      <alignment horizontal="center" vertical="center"/>
    </xf>
    <xf numFmtId="0" fontId="16" fillId="0" borderId="0" xfId="0" applyFont="1"/>
    <xf numFmtId="0" fontId="16" fillId="0" borderId="1" xfId="0" applyFont="1" applyBorder="1" applyAlignment="1">
      <alignment horizontal="center" vertical="center" wrapText="1"/>
    </xf>
    <xf numFmtId="0" fontId="16" fillId="0" borderId="25" xfId="0" applyFont="1" applyBorder="1"/>
    <xf numFmtId="0" fontId="23" fillId="0" borderId="0" xfId="0" applyFont="1"/>
    <xf numFmtId="0" fontId="19" fillId="0" borderId="0" xfId="0" applyFont="1"/>
    <xf numFmtId="0" fontId="16" fillId="0" borderId="0" xfId="0" applyFont="1" applyAlignment="1">
      <alignment wrapText="1"/>
    </xf>
    <xf numFmtId="0" fontId="28" fillId="0" borderId="1" xfId="0" applyFont="1" applyBorder="1" applyAlignment="1">
      <alignment horizontal="center" vertical="center" wrapText="1"/>
    </xf>
    <xf numFmtId="4" fontId="28" fillId="0" borderId="1" xfId="0" applyNumberFormat="1" applyFont="1" applyBorder="1" applyAlignment="1">
      <alignment horizontal="center" vertical="center" wrapText="1"/>
    </xf>
    <xf numFmtId="0" fontId="28" fillId="0" borderId="1" xfId="0" applyFont="1" applyBorder="1" applyAlignment="1">
      <alignment vertical="center" wrapText="1"/>
    </xf>
    <xf numFmtId="0" fontId="32"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28" xfId="0" applyBorder="1"/>
    <xf numFmtId="0" fontId="19" fillId="0" borderId="0" xfId="0" applyFont="1" applyAlignment="1">
      <alignment vertical="center" wrapText="1"/>
    </xf>
    <xf numFmtId="0" fontId="36" fillId="0" borderId="0" xfId="0" applyFont="1"/>
    <xf numFmtId="0" fontId="26" fillId="0" borderId="0" xfId="0" applyFont="1"/>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11" xfId="0" applyFont="1" applyBorder="1" applyAlignment="1">
      <alignment vertical="center" wrapText="1"/>
    </xf>
    <xf numFmtId="0" fontId="25" fillId="0" borderId="1" xfId="0" applyFont="1" applyBorder="1" applyAlignment="1">
      <alignment horizontal="center" vertical="center" wrapText="1"/>
    </xf>
    <xf numFmtId="166" fontId="32" fillId="0" borderId="1" xfId="0" applyNumberFormat="1" applyFont="1" applyBorder="1" applyAlignment="1">
      <alignment horizontal="center" vertical="center"/>
    </xf>
    <xf numFmtId="166" fontId="28" fillId="0" borderId="1" xfId="0" applyNumberFormat="1" applyFont="1" applyBorder="1" applyAlignment="1">
      <alignment horizontal="center" vertical="center"/>
    </xf>
    <xf numFmtId="0" fontId="40" fillId="0" borderId="0" xfId="0" applyFont="1"/>
    <xf numFmtId="0" fontId="26" fillId="0" borderId="1" xfId="0" applyFont="1" applyBorder="1" applyAlignment="1">
      <alignment horizontal="center" vertical="center"/>
    </xf>
    <xf numFmtId="166" fontId="25" fillId="0" borderId="2" xfId="0" applyNumberFormat="1" applyFont="1" applyBorder="1" applyAlignment="1">
      <alignment horizontal="center" vertical="center" wrapText="1"/>
    </xf>
    <xf numFmtId="0" fontId="26"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166" fontId="26" fillId="0" borderId="0" xfId="0" applyNumberFormat="1" applyFont="1"/>
    <xf numFmtId="166" fontId="25" fillId="0" borderId="12" xfId="0" applyNumberFormat="1" applyFont="1" applyBorder="1" applyAlignment="1">
      <alignment horizontal="left" vertical="center" wrapText="1"/>
    </xf>
    <xf numFmtId="0" fontId="26" fillId="0" borderId="0" xfId="0" applyFont="1" applyAlignment="1">
      <alignment horizontal="center"/>
    </xf>
    <xf numFmtId="166" fontId="25"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3" fontId="32" fillId="0" borderId="1" xfId="0" applyNumberFormat="1" applyFont="1" applyBorder="1" applyAlignment="1">
      <alignment horizontal="center" vertical="center"/>
    </xf>
    <xf numFmtId="166" fontId="32" fillId="0" borderId="1" xfId="0" applyNumberFormat="1" applyFont="1" applyBorder="1" applyAlignment="1">
      <alignment horizontal="center" vertical="center" wrapText="1"/>
    </xf>
    <xf numFmtId="0" fontId="25" fillId="0" borderId="2" xfId="0" applyFont="1" applyBorder="1" applyAlignment="1">
      <alignment horizontal="center" vertical="center"/>
    </xf>
    <xf numFmtId="3" fontId="26" fillId="0" borderId="1" xfId="0" applyNumberFormat="1" applyFont="1" applyBorder="1" applyAlignment="1">
      <alignment horizontal="center" vertical="center" wrapText="1"/>
    </xf>
    <xf numFmtId="166" fontId="26" fillId="0" borderId="1" xfId="0" applyNumberFormat="1" applyFont="1" applyBorder="1" applyAlignment="1">
      <alignment horizontal="center" vertical="center" wrapText="1"/>
    </xf>
    <xf numFmtId="0" fontId="26" fillId="0" borderId="1" xfId="0" applyFont="1" applyBorder="1" applyAlignment="1">
      <alignment horizontal="center" wrapText="1"/>
    </xf>
    <xf numFmtId="0" fontId="32" fillId="0" borderId="1" xfId="0" applyFont="1" applyBorder="1" applyAlignment="1">
      <alignment horizontal="center" vertical="center"/>
    </xf>
    <xf numFmtId="166" fontId="26" fillId="0" borderId="1" xfId="0" applyNumberFormat="1" applyFont="1" applyBorder="1" applyAlignment="1">
      <alignment horizontal="center" vertical="center"/>
    </xf>
    <xf numFmtId="0" fontId="26" fillId="0" borderId="2" xfId="0" applyFont="1" applyBorder="1" applyAlignment="1">
      <alignment horizontal="center" vertical="center" wrapText="1"/>
    </xf>
    <xf numFmtId="166" fontId="26" fillId="0" borderId="2" xfId="0" applyNumberFormat="1" applyFont="1" applyBorder="1" applyAlignment="1">
      <alignment horizontal="center" vertical="center" wrapText="1"/>
    </xf>
    <xf numFmtId="0" fontId="26" fillId="2" borderId="1" xfId="0" applyFont="1" applyFill="1" applyBorder="1" applyAlignment="1">
      <alignment horizontal="center" vertical="center" wrapText="1"/>
    </xf>
    <xf numFmtId="0" fontId="18" fillId="0" borderId="18" xfId="0" applyFont="1" applyBorder="1" applyAlignment="1">
      <alignment horizontal="left" vertical="center" wrapText="1"/>
    </xf>
    <xf numFmtId="0" fontId="19" fillId="0" borderId="1" xfId="0" applyFont="1" applyBorder="1" applyAlignment="1">
      <alignment horizontal="center" vertical="center"/>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2" fillId="0" borderId="1" xfId="0" applyFont="1" applyBorder="1" applyAlignment="1">
      <alignment horizontal="center" vertical="center"/>
    </xf>
    <xf numFmtId="0" fontId="29" fillId="0" borderId="2" xfId="0" applyFont="1" applyBorder="1" applyAlignment="1">
      <alignment horizontal="center" vertical="center"/>
    </xf>
    <xf numFmtId="0" fontId="19" fillId="0" borderId="1" xfId="0" applyFont="1" applyBorder="1" applyAlignment="1">
      <alignment vertical="top" wrapText="1"/>
    </xf>
    <xf numFmtId="0" fontId="26" fillId="0" borderId="1" xfId="0" applyFont="1" applyBorder="1" applyAlignment="1">
      <alignment vertical="center" wrapText="1"/>
    </xf>
    <xf numFmtId="0" fontId="26" fillId="0" borderId="1" xfId="0" applyFont="1" applyBorder="1" applyAlignment="1">
      <alignment horizontal="left" vertical="center" wrapText="1"/>
    </xf>
    <xf numFmtId="0" fontId="19" fillId="0" borderId="1" xfId="0" applyFont="1" applyBorder="1" applyAlignment="1">
      <alignment horizontal="left" vertical="center" wrapText="1"/>
    </xf>
    <xf numFmtId="0" fontId="26" fillId="0" borderId="11" xfId="0" applyFont="1" applyBorder="1" applyAlignment="1">
      <alignment horizontal="center" vertical="center" wrapText="1"/>
    </xf>
    <xf numFmtId="0" fontId="25" fillId="0" borderId="2" xfId="0" applyFont="1" applyBorder="1" applyAlignment="1">
      <alignment horizontal="center" vertical="center" wrapText="1"/>
    </xf>
    <xf numFmtId="4" fontId="32" fillId="0" borderId="1" xfId="0" applyNumberFormat="1" applyFont="1" applyBorder="1" applyAlignment="1">
      <alignment horizontal="center" vertical="center" wrapText="1"/>
    </xf>
    <xf numFmtId="166" fontId="28" fillId="0" borderId="1"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4" fontId="19" fillId="0" borderId="8" xfId="0" applyNumberFormat="1" applyFont="1" applyBorder="1" applyAlignment="1">
      <alignment horizontal="center" vertical="center" wrapText="1"/>
    </xf>
    <xf numFmtId="0" fontId="0" fillId="2" borderId="0" xfId="0" applyFill="1" applyAlignment="1">
      <alignment horizontal="center" vertical="top" wrapText="1"/>
    </xf>
    <xf numFmtId="4" fontId="0" fillId="0" borderId="0" xfId="0" applyNumberFormat="1" applyAlignment="1">
      <alignment horizontal="center" vertical="center"/>
    </xf>
    <xf numFmtId="0" fontId="30" fillId="0" borderId="2" xfId="0" applyFont="1" applyBorder="1" applyAlignment="1">
      <alignment horizontal="center" vertical="center" wrapText="1"/>
    </xf>
    <xf numFmtId="0" fontId="30" fillId="0" borderId="11" xfId="0" applyFont="1" applyBorder="1" applyAlignment="1">
      <alignment horizontal="center" vertical="center" wrapText="1"/>
    </xf>
    <xf numFmtId="0" fontId="19" fillId="0" borderId="2" xfId="0" applyFont="1" applyBorder="1" applyAlignment="1">
      <alignment vertical="top" wrapText="1"/>
    </xf>
    <xf numFmtId="0" fontId="33" fillId="0" borderId="2" xfId="0" applyFont="1" applyBorder="1" applyAlignment="1">
      <alignment horizontal="center" vertical="center" wrapText="1"/>
    </xf>
    <xf numFmtId="0" fontId="28" fillId="0" borderId="2" xfId="0" applyFont="1" applyBorder="1" applyAlignment="1">
      <alignment horizontal="center" vertical="center"/>
    </xf>
    <xf numFmtId="0" fontId="28" fillId="0" borderId="11" xfId="0" applyFont="1" applyBorder="1" applyAlignment="1">
      <alignment horizontal="center" vertical="center"/>
    </xf>
    <xf numFmtId="0" fontId="30" fillId="0" borderId="1" xfId="0" applyFont="1" applyBorder="1" applyAlignment="1">
      <alignment horizontal="center" vertical="center"/>
    </xf>
    <xf numFmtId="0" fontId="28" fillId="0" borderId="1" xfId="0" applyFont="1" applyBorder="1" applyAlignment="1">
      <alignment vertical="top" wrapText="1"/>
    </xf>
    <xf numFmtId="4" fontId="19" fillId="0" borderId="6" xfId="0" applyNumberFormat="1" applyFont="1" applyBorder="1" applyAlignment="1">
      <alignment horizontal="center" vertical="center" wrapText="1"/>
    </xf>
    <xf numFmtId="0" fontId="32" fillId="0" borderId="1" xfId="0" applyFont="1" applyBorder="1" applyAlignment="1">
      <alignment horizontal="left" vertical="center" wrapText="1"/>
    </xf>
    <xf numFmtId="4" fontId="19" fillId="0" borderId="1" xfId="0" applyNumberFormat="1" applyFont="1" applyBorder="1" applyAlignment="1">
      <alignment horizontal="center" vertical="center" wrapText="1"/>
    </xf>
    <xf numFmtId="0" fontId="26" fillId="0" borderId="1" xfId="0" applyFont="1" applyBorder="1" applyAlignment="1">
      <alignment horizontal="left" vertical="top" wrapText="1"/>
    </xf>
    <xf numFmtId="0" fontId="0" fillId="0" borderId="0" xfId="0" applyAlignment="1">
      <alignment horizontal="left" vertical="top"/>
    </xf>
    <xf numFmtId="0" fontId="19" fillId="0" borderId="1" xfId="0" applyFont="1" applyBorder="1" applyAlignment="1">
      <alignment horizontal="left" vertical="top" wrapText="1"/>
    </xf>
    <xf numFmtId="0" fontId="19" fillId="0" borderId="1" xfId="0" applyFont="1" applyBorder="1" applyAlignment="1">
      <alignment horizontal="left" wrapText="1"/>
    </xf>
    <xf numFmtId="0" fontId="19" fillId="0" borderId="3" xfId="0" applyFont="1" applyBorder="1" applyAlignment="1">
      <alignment horizontal="left" vertical="center" wrapText="1"/>
    </xf>
    <xf numFmtId="0" fontId="19" fillId="0" borderId="24" xfId="0" applyFont="1" applyBorder="1" applyAlignment="1">
      <alignment horizontal="left" vertical="center" wrapText="1"/>
    </xf>
    <xf numFmtId="0" fontId="19" fillId="0" borderId="3" xfId="0" applyFont="1" applyBorder="1" applyAlignment="1">
      <alignment horizontal="left" vertical="top" wrapText="1"/>
    </xf>
    <xf numFmtId="0" fontId="19" fillId="0" borderId="18" xfId="0" applyFont="1" applyBorder="1" applyAlignment="1">
      <alignment horizontal="left" vertical="top" wrapText="1"/>
    </xf>
    <xf numFmtId="0" fontId="19" fillId="0" borderId="3" xfId="0" applyFont="1" applyBorder="1" applyAlignment="1">
      <alignment vertical="center" wrapText="1"/>
    </xf>
    <xf numFmtId="0" fontId="19" fillId="0" borderId="3" xfId="0" applyFont="1" applyBorder="1" applyAlignment="1">
      <alignment horizontal="left" wrapText="1"/>
    </xf>
    <xf numFmtId="0" fontId="19" fillId="0" borderId="1" xfId="0" applyFont="1" applyBorder="1" applyAlignment="1">
      <alignment wrapText="1"/>
    </xf>
    <xf numFmtId="0" fontId="26" fillId="0" borderId="1" xfId="0" applyFont="1" applyBorder="1" applyAlignment="1">
      <alignment vertical="top" wrapText="1"/>
    </xf>
    <xf numFmtId="0" fontId="32" fillId="0" borderId="1" xfId="0" applyFont="1" applyBorder="1" applyAlignment="1">
      <alignment vertical="top" wrapText="1"/>
    </xf>
    <xf numFmtId="0" fontId="19" fillId="0" borderId="3" xfId="0" applyFont="1" applyBorder="1" applyAlignment="1">
      <alignment vertical="top" wrapText="1"/>
    </xf>
    <xf numFmtId="0" fontId="4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1" xfId="0" applyFont="1" applyBorder="1" applyAlignment="1">
      <alignment horizontal="center" vertical="center"/>
    </xf>
    <xf numFmtId="0" fontId="29" fillId="0" borderId="11" xfId="0" applyFont="1" applyBorder="1" applyAlignment="1">
      <alignment horizontal="center" vertical="center"/>
    </xf>
    <xf numFmtId="0" fontId="28" fillId="0" borderId="6" xfId="0" applyFont="1" applyBorder="1" applyAlignment="1">
      <alignment horizontal="center" vertical="center"/>
    </xf>
    <xf numFmtId="0" fontId="42" fillId="0" borderId="6" xfId="0" applyFont="1" applyBorder="1" applyAlignment="1">
      <alignment horizontal="center" vertical="center" wrapText="1"/>
    </xf>
    <xf numFmtId="0" fontId="42" fillId="0" borderId="6" xfId="0" applyFont="1" applyBorder="1" applyAlignment="1">
      <alignment horizontal="center" vertical="center"/>
    </xf>
    <xf numFmtId="0" fontId="32" fillId="0" borderId="6" xfId="0" applyFont="1" applyBorder="1" applyAlignment="1">
      <alignment horizontal="center" vertical="center" wrapText="1"/>
    </xf>
    <xf numFmtId="0" fontId="32" fillId="0" borderId="24"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1" xfId="0" applyFont="1" applyBorder="1" applyAlignment="1">
      <alignment vertical="center" wrapText="1"/>
    </xf>
    <xf numFmtId="0" fontId="38" fillId="0" borderId="1" xfId="0" applyFont="1" applyBorder="1" applyAlignment="1">
      <alignment horizontal="center" vertical="center" wrapText="1"/>
    </xf>
    <xf numFmtId="3" fontId="28" fillId="0" borderId="11" xfId="0" applyNumberFormat="1" applyFont="1" applyBorder="1" applyAlignment="1">
      <alignment horizontal="center" vertical="center"/>
    </xf>
    <xf numFmtId="3" fontId="28" fillId="0" borderId="1" xfId="0" applyNumberFormat="1" applyFont="1" applyBorder="1" applyAlignment="1">
      <alignment horizontal="center" vertical="center"/>
    </xf>
    <xf numFmtId="0" fontId="28" fillId="0" borderId="10" xfId="0" applyFont="1" applyBorder="1" applyAlignment="1">
      <alignment horizontal="center" vertical="center"/>
    </xf>
    <xf numFmtId="0" fontId="50" fillId="0" borderId="2"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1" xfId="0" applyFont="1" applyBorder="1" applyAlignment="1">
      <alignment horizontal="left" vertical="center" wrapText="1"/>
    </xf>
    <xf numFmtId="0" fontId="19" fillId="0" borderId="11" xfId="0" applyFont="1" applyBorder="1" applyAlignment="1">
      <alignment horizontal="center" vertical="center" wrapText="1"/>
    </xf>
    <xf numFmtId="0" fontId="28" fillId="0" borderId="8" xfId="0" applyFont="1" applyBorder="1" applyAlignment="1">
      <alignment horizontal="center" vertical="center"/>
    </xf>
    <xf numFmtId="0" fontId="19" fillId="0" borderId="17" xfId="0" applyFont="1" applyBorder="1" applyAlignment="1">
      <alignment vertical="top" wrapText="1"/>
    </xf>
    <xf numFmtId="0" fontId="19" fillId="0" borderId="24" xfId="0" applyFont="1" applyBorder="1" applyAlignment="1">
      <alignment vertical="top" wrapText="1"/>
    </xf>
    <xf numFmtId="0" fontId="19" fillId="0" borderId="18" xfId="0" applyFont="1" applyBorder="1" applyAlignment="1">
      <alignment vertical="top" wrapText="1"/>
    </xf>
    <xf numFmtId="0" fontId="28" fillId="0" borderId="17" xfId="0" applyFont="1" applyBorder="1" applyAlignment="1">
      <alignment horizontal="left" vertical="top" wrapText="1"/>
    </xf>
    <xf numFmtId="0" fontId="28" fillId="0" borderId="18" xfId="0" applyFont="1" applyBorder="1" applyAlignment="1">
      <alignment vertical="top" wrapText="1"/>
    </xf>
    <xf numFmtId="0" fontId="27" fillId="2" borderId="10" xfId="0" applyFont="1" applyFill="1" applyBorder="1" applyAlignment="1">
      <alignment horizontal="center" vertical="center" wrapText="1"/>
    </xf>
    <xf numFmtId="0" fontId="27" fillId="0" borderId="18" xfId="0" applyFont="1" applyBorder="1" applyAlignment="1">
      <alignment horizontal="center" vertical="center" wrapText="1"/>
    </xf>
    <xf numFmtId="0" fontId="51"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15" fillId="0" borderId="1" xfId="0" applyFont="1" applyBorder="1" applyAlignment="1">
      <alignment horizontal="center" vertical="center" wrapText="1"/>
    </xf>
    <xf numFmtId="0" fontId="0" fillId="0" borderId="25" xfId="0" applyBorder="1" applyAlignment="1">
      <alignment horizontal="left" vertical="top"/>
    </xf>
    <xf numFmtId="0" fontId="19" fillId="0" borderId="12" xfId="0" applyFont="1" applyBorder="1" applyAlignment="1">
      <alignment horizontal="left" vertical="top" wrapText="1"/>
    </xf>
    <xf numFmtId="0" fontId="0" fillId="0" borderId="26" xfId="0" applyBorder="1"/>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24" xfId="0" applyFont="1" applyBorder="1" applyAlignment="1">
      <alignment horizontal="left" vertical="top" wrapText="1"/>
    </xf>
    <xf numFmtId="0" fontId="19" fillId="0" borderId="6" xfId="0" applyFont="1" applyBorder="1" applyAlignment="1">
      <alignment horizontal="center" vertical="center" wrapText="1"/>
    </xf>
    <xf numFmtId="0" fontId="19" fillId="0" borderId="17" xfId="0" applyFont="1" applyBorder="1" applyAlignment="1">
      <alignment horizontal="left" vertical="top" wrapText="1"/>
    </xf>
    <xf numFmtId="0" fontId="16" fillId="0" borderId="26" xfId="0" applyFont="1" applyBorder="1"/>
    <xf numFmtId="167" fontId="16" fillId="0" borderId="1" xfId="0" applyNumberFormat="1" applyFont="1" applyBorder="1" applyAlignment="1">
      <alignment horizontal="center" vertical="center" wrapText="1"/>
    </xf>
    <xf numFmtId="0" fontId="26" fillId="0" borderId="15" xfId="0" applyFont="1" applyBorder="1" applyAlignment="1">
      <alignment horizontal="left" vertical="top" wrapText="1"/>
    </xf>
    <xf numFmtId="0" fontId="26" fillId="0" borderId="12" xfId="0" applyFont="1" applyBorder="1" applyAlignment="1">
      <alignment horizontal="left" vertical="top" wrapText="1"/>
    </xf>
    <xf numFmtId="3" fontId="32"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9" fillId="0" borderId="2" xfId="0" applyFont="1" applyBorder="1" applyAlignment="1">
      <alignment horizontal="center" vertical="center" wrapText="1"/>
    </xf>
    <xf numFmtId="3" fontId="28"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0" fontId="28" fillId="0" borderId="12" xfId="0" applyFont="1" applyBorder="1" applyAlignment="1">
      <alignment vertical="top" wrapText="1"/>
    </xf>
    <xf numFmtId="0" fontId="36" fillId="0" borderId="0" xfId="0" applyFont="1" applyAlignment="1">
      <alignment horizontal="center"/>
    </xf>
    <xf numFmtId="0" fontId="38" fillId="0" borderId="12" xfId="0" applyFont="1" applyBorder="1" applyAlignment="1">
      <alignment horizontal="center" vertical="center" wrapText="1"/>
    </xf>
    <xf numFmtId="0" fontId="32" fillId="0" borderId="2" xfId="0" applyFont="1" applyBorder="1" applyAlignment="1">
      <alignment horizontal="left" vertical="center" wrapText="1"/>
    </xf>
    <xf numFmtId="3" fontId="32" fillId="0" borderId="2" xfId="0" applyNumberFormat="1" applyFont="1" applyBorder="1" applyAlignment="1">
      <alignment horizontal="center" vertical="center"/>
    </xf>
    <xf numFmtId="0" fontId="29" fillId="0" borderId="1" xfId="0" applyFont="1" applyBorder="1" applyAlignment="1">
      <alignment vertical="center" wrapText="1"/>
    </xf>
    <xf numFmtId="0" fontId="32" fillId="0" borderId="2" xfId="0" applyFont="1" applyBorder="1" applyAlignment="1">
      <alignment vertical="center" wrapText="1"/>
    </xf>
    <xf numFmtId="167" fontId="15" fillId="0" borderId="1" xfId="0" applyNumberFormat="1" applyFont="1" applyBorder="1" applyAlignment="1">
      <alignment horizontal="center" vertical="center" wrapText="1"/>
    </xf>
    <xf numFmtId="166" fontId="55" fillId="0" borderId="0" xfId="0" applyNumberFormat="1" applyFont="1" applyAlignment="1">
      <alignment wrapText="1"/>
    </xf>
    <xf numFmtId="0" fontId="55" fillId="0" borderId="0" xfId="0" applyFont="1" applyAlignment="1">
      <alignment wrapText="1"/>
    </xf>
    <xf numFmtId="166" fontId="41" fillId="0" borderId="0" xfId="0" applyNumberFormat="1" applyFont="1"/>
    <xf numFmtId="0" fontId="26" fillId="0" borderId="6" xfId="0" applyFont="1" applyBorder="1" applyAlignment="1">
      <alignment horizontal="center" vertical="center" wrapText="1"/>
    </xf>
    <xf numFmtId="0" fontId="19" fillId="3" borderId="1" xfId="0" applyFont="1" applyFill="1" applyBorder="1" applyAlignment="1">
      <alignment horizontal="left" vertical="top" wrapText="1"/>
    </xf>
    <xf numFmtId="0" fontId="26" fillId="0" borderId="6" xfId="0" applyFont="1" applyBorder="1" applyAlignment="1">
      <alignment horizontal="center" vertical="center"/>
    </xf>
    <xf numFmtId="0" fontId="26" fillId="0" borderId="6" xfId="0" applyFont="1" applyBorder="1" applyAlignment="1">
      <alignment vertical="center" wrapText="1"/>
    </xf>
    <xf numFmtId="0" fontId="19" fillId="0" borderId="6" xfId="0" applyFont="1" applyBorder="1" applyAlignment="1">
      <alignment horizontal="left" vertical="center" wrapText="1"/>
    </xf>
    <xf numFmtId="0" fontId="52" fillId="0" borderId="0" xfId="0" applyFont="1"/>
    <xf numFmtId="0" fontId="0" fillId="0" borderId="29" xfId="0" applyBorder="1"/>
    <xf numFmtId="0" fontId="46" fillId="0" borderId="3" xfId="0" applyFont="1" applyBorder="1" applyAlignment="1">
      <alignment horizontal="left" vertical="top" wrapText="1"/>
    </xf>
    <xf numFmtId="0" fontId="19" fillId="3" borderId="1" xfId="0" applyFont="1" applyFill="1" applyBorder="1" applyAlignment="1">
      <alignment vertical="top" wrapText="1"/>
    </xf>
    <xf numFmtId="0" fontId="26" fillId="3" borderId="1" xfId="0" applyFont="1" applyFill="1" applyBorder="1" applyAlignment="1">
      <alignment vertical="top" wrapText="1"/>
    </xf>
    <xf numFmtId="0" fontId="19" fillId="3" borderId="6" xfId="0" applyFont="1" applyFill="1" applyBorder="1" applyAlignment="1">
      <alignment vertical="top" wrapText="1"/>
    </xf>
    <xf numFmtId="0" fontId="32" fillId="3" borderId="1" xfId="0" applyFont="1" applyFill="1" applyBorder="1" applyAlignment="1">
      <alignment vertical="top" wrapText="1"/>
    </xf>
    <xf numFmtId="0" fontId="32" fillId="0" borderId="6" xfId="0" applyFont="1" applyBorder="1" applyAlignment="1">
      <alignment horizontal="center" vertical="center"/>
    </xf>
    <xf numFmtId="0" fontId="32" fillId="0" borderId="6" xfId="0" applyFont="1" applyBorder="1" applyAlignment="1">
      <alignment horizontal="left" vertical="center" wrapText="1"/>
    </xf>
    <xf numFmtId="4" fontId="32" fillId="0" borderId="6" xfId="0" applyNumberFormat="1" applyFont="1" applyBorder="1" applyAlignment="1">
      <alignment horizontal="center" vertical="center" wrapText="1"/>
    </xf>
    <xf numFmtId="0" fontId="19" fillId="0" borderId="6" xfId="0" applyFont="1" applyBorder="1" applyAlignment="1">
      <alignment horizontal="left" vertical="top" wrapText="1"/>
    </xf>
    <xf numFmtId="0" fontId="49" fillId="0" borderId="1" xfId="0" applyFont="1" applyBorder="1" applyAlignment="1">
      <alignment horizontal="left" wrapText="1"/>
    </xf>
    <xf numFmtId="0" fontId="19" fillId="3" borderId="1" xfId="0" applyFont="1" applyFill="1" applyBorder="1" applyAlignment="1">
      <alignment wrapText="1"/>
    </xf>
    <xf numFmtId="0" fontId="32" fillId="0" borderId="8" xfId="0" applyFont="1" applyBorder="1" applyAlignment="1">
      <alignment horizontal="center" vertical="center" wrapText="1"/>
    </xf>
    <xf numFmtId="166" fontId="32" fillId="0" borderId="6" xfId="0" applyNumberFormat="1" applyFont="1" applyBorder="1" applyAlignment="1">
      <alignment horizontal="center" vertical="center" wrapText="1"/>
    </xf>
    <xf numFmtId="0" fontId="32" fillId="0" borderId="11" xfId="0" applyFont="1" applyBorder="1" applyAlignment="1">
      <alignment horizontal="left" vertical="center" wrapText="1"/>
    </xf>
    <xf numFmtId="0" fontId="28" fillId="0" borderId="29" xfId="0" applyFont="1" applyBorder="1" applyAlignment="1">
      <alignment vertical="top" wrapText="1"/>
    </xf>
    <xf numFmtId="0" fontId="19" fillId="3" borderId="11" xfId="0" applyFont="1" applyFill="1" applyBorder="1" applyAlignment="1">
      <alignment vertical="top" wrapText="1"/>
    </xf>
    <xf numFmtId="166" fontId="32" fillId="0" borderId="6" xfId="0" applyNumberFormat="1" applyFont="1" applyBorder="1" applyAlignment="1">
      <alignment horizontal="center" vertical="center"/>
    </xf>
    <xf numFmtId="4" fontId="32" fillId="0" borderId="11" xfId="0" applyNumberFormat="1" applyFont="1" applyBorder="1" applyAlignment="1">
      <alignment horizontal="center" vertical="center" wrapText="1"/>
    </xf>
    <xf numFmtId="166" fontId="32" fillId="0" borderId="2" xfId="0" applyNumberFormat="1" applyFont="1" applyBorder="1" applyAlignment="1">
      <alignment horizontal="center" vertical="center" wrapText="1"/>
    </xf>
    <xf numFmtId="166" fontId="32" fillId="0" borderId="11" xfId="0" applyNumberFormat="1" applyFont="1" applyBorder="1" applyAlignment="1">
      <alignment horizontal="center" vertical="center" wrapText="1"/>
    </xf>
    <xf numFmtId="0" fontId="32" fillId="0" borderId="11" xfId="0" applyFont="1" applyBorder="1" applyAlignment="1">
      <alignment horizontal="center" vertical="center"/>
    </xf>
    <xf numFmtId="166" fontId="32" fillId="0" borderId="8" xfId="0" applyNumberFormat="1" applyFont="1" applyBorder="1" applyAlignment="1">
      <alignment horizontal="center" vertical="center" wrapText="1"/>
    </xf>
    <xf numFmtId="166" fontId="32" fillId="0" borderId="2" xfId="0" applyNumberFormat="1" applyFont="1" applyBorder="1" applyAlignment="1">
      <alignment horizontal="center" vertical="center"/>
    </xf>
    <xf numFmtId="166" fontId="32" fillId="0" borderId="11" xfId="0" applyNumberFormat="1" applyFont="1" applyBorder="1" applyAlignment="1">
      <alignment horizontal="center" vertical="center"/>
    </xf>
    <xf numFmtId="0" fontId="17" fillId="0" borderId="10" xfId="0" applyFont="1" applyBorder="1" applyAlignment="1">
      <alignment vertical="top"/>
    </xf>
    <xf numFmtId="0" fontId="63" fillId="0" borderId="1" xfId="0" applyFont="1" applyBorder="1" applyAlignment="1">
      <alignment horizontal="center" vertical="center"/>
    </xf>
    <xf numFmtId="0" fontId="14" fillId="0" borderId="1" xfId="0" applyFont="1" applyBorder="1" applyAlignment="1">
      <alignment horizontal="center" vertical="center" wrapText="1"/>
    </xf>
    <xf numFmtId="4" fontId="0" fillId="0" borderId="0" xfId="0" applyNumberFormat="1"/>
    <xf numFmtId="0" fontId="14" fillId="0" borderId="1" xfId="0" applyFont="1" applyBorder="1" applyAlignment="1">
      <alignment horizontal="center" vertical="center"/>
    </xf>
    <xf numFmtId="3" fontId="63" fillId="0" borderId="1" xfId="0" applyNumberFormat="1" applyFont="1" applyBorder="1" applyAlignment="1">
      <alignment horizontal="center" vertical="center"/>
    </xf>
    <xf numFmtId="3" fontId="63" fillId="2" borderId="1" xfId="0" applyNumberFormat="1" applyFont="1" applyFill="1" applyBorder="1" applyAlignment="1">
      <alignment horizontal="center" vertical="center"/>
    </xf>
    <xf numFmtId="3" fontId="63" fillId="2" borderId="1" xfId="0" applyNumberFormat="1" applyFont="1" applyFill="1" applyBorder="1" applyAlignment="1">
      <alignment horizontal="center" vertical="center" wrapText="1"/>
    </xf>
    <xf numFmtId="3" fontId="63" fillId="0" borderId="1" xfId="0" applyNumberFormat="1" applyFont="1" applyBorder="1" applyAlignment="1">
      <alignment horizontal="center" vertical="center" wrapText="1"/>
    </xf>
    <xf numFmtId="0" fontId="14" fillId="0" borderId="0" xfId="0" applyFont="1"/>
    <xf numFmtId="0" fontId="14" fillId="0" borderId="0" xfId="0" applyFont="1" applyAlignment="1">
      <alignment horizontal="center" vertical="center"/>
    </xf>
    <xf numFmtId="166" fontId="14" fillId="0" borderId="0" xfId="0" applyNumberFormat="1" applyFont="1"/>
    <xf numFmtId="0" fontId="65" fillId="0" borderId="0" xfId="0" applyFont="1" applyAlignment="1">
      <alignment horizontal="center" vertical="center"/>
    </xf>
    <xf numFmtId="166" fontId="17" fillId="0" borderId="18" xfId="0" applyNumberFormat="1" applyFont="1" applyBorder="1" applyAlignment="1">
      <alignment horizontal="left" vertical="center" wrapText="1"/>
    </xf>
    <xf numFmtId="0" fontId="18" fillId="0" borderId="18" xfId="0" applyFont="1" applyBorder="1" applyAlignment="1">
      <alignment horizontal="center" vertical="center" wrapText="1"/>
    </xf>
    <xf numFmtId="3" fontId="63" fillId="0" borderId="11" xfId="0" applyNumberFormat="1" applyFont="1" applyBorder="1" applyAlignment="1">
      <alignment horizontal="center" vertical="center"/>
    </xf>
    <xf numFmtId="4" fontId="63" fillId="0" borderId="1" xfId="0" applyNumberFormat="1" applyFont="1" applyBorder="1" applyAlignment="1">
      <alignment horizontal="center" vertical="center" wrapText="1"/>
    </xf>
    <xf numFmtId="0" fontId="67" fillId="0" borderId="1" xfId="0" applyFont="1" applyBorder="1" applyAlignment="1">
      <alignment horizontal="center" vertical="center" wrapText="1"/>
    </xf>
    <xf numFmtId="0" fontId="67" fillId="2" borderId="1" xfId="0" applyFont="1" applyFill="1" applyBorder="1" applyAlignment="1">
      <alignment horizontal="center" vertical="center" wrapText="1"/>
    </xf>
    <xf numFmtId="0" fontId="63" fillId="0" borderId="11" xfId="0" applyFont="1" applyBorder="1" applyAlignment="1">
      <alignment horizontal="center" vertical="center"/>
    </xf>
    <xf numFmtId="0" fontId="67" fillId="0" borderId="11" xfId="0" applyFont="1" applyBorder="1" applyAlignment="1">
      <alignment horizontal="center" vertical="center" wrapText="1"/>
    </xf>
    <xf numFmtId="3" fontId="63" fillId="0" borderId="6" xfId="0" applyNumberFormat="1" applyFont="1" applyBorder="1" applyAlignment="1">
      <alignment horizontal="center" vertical="center" wrapText="1"/>
    </xf>
    <xf numFmtId="0" fontId="63" fillId="0" borderId="6" xfId="0" applyFont="1" applyBorder="1" applyAlignment="1">
      <alignment horizontal="center" vertical="center"/>
    </xf>
    <xf numFmtId="0" fontId="63" fillId="0" borderId="6" xfId="0" applyFont="1" applyBorder="1" applyAlignment="1">
      <alignment horizontal="center" vertical="center" wrapText="1"/>
    </xf>
    <xf numFmtId="166" fontId="63" fillId="0" borderId="6" xfId="0" applyNumberFormat="1" applyFont="1" applyBorder="1" applyAlignment="1">
      <alignment horizontal="center" vertical="center"/>
    </xf>
    <xf numFmtId="0" fontId="63" fillId="0" borderId="1" xfId="0" applyFont="1" applyBorder="1" applyAlignment="1">
      <alignment horizontal="center" vertical="center" wrapText="1"/>
    </xf>
    <xf numFmtId="166" fontId="63" fillId="0" borderId="1" xfId="0" applyNumberFormat="1" applyFont="1" applyBorder="1" applyAlignment="1">
      <alignment horizontal="center" vertical="center"/>
    </xf>
    <xf numFmtId="0" fontId="14" fillId="0" borderId="0" xfId="0" applyFont="1" applyAlignment="1">
      <alignment horizontal="center"/>
    </xf>
    <xf numFmtId="4" fontId="14" fillId="0" borderId="0" xfId="0" applyNumberFormat="1" applyFont="1" applyAlignment="1">
      <alignment horizontal="center" vertical="center"/>
    </xf>
    <xf numFmtId="4" fontId="14" fillId="0" borderId="0" xfId="0" applyNumberFormat="1" applyFont="1"/>
    <xf numFmtId="168" fontId="14" fillId="0" borderId="0" xfId="1" applyNumberFormat="1" applyFont="1"/>
    <xf numFmtId="0" fontId="14" fillId="0" borderId="0" xfId="0" applyFont="1" applyAlignment="1">
      <alignment horizontal="right"/>
    </xf>
    <xf numFmtId="0" fontId="14" fillId="0" borderId="0" xfId="0" applyFont="1" applyAlignment="1">
      <alignment vertical="center" wrapText="1"/>
    </xf>
    <xf numFmtId="0" fontId="14" fillId="0" borderId="34" xfId="0" applyFont="1" applyBorder="1" applyAlignment="1">
      <alignment horizontal="center" vertical="center"/>
    </xf>
    <xf numFmtId="3" fontId="14" fillId="0" borderId="1" xfId="0" applyNumberFormat="1" applyFont="1" applyBorder="1" applyAlignment="1">
      <alignment horizontal="center" vertical="center" wrapText="1"/>
    </xf>
    <xf numFmtId="3" fontId="14" fillId="0" borderId="35" xfId="0" applyNumberFormat="1" applyFont="1" applyBorder="1" applyAlignment="1">
      <alignment horizontal="center" vertical="center" wrapText="1"/>
    </xf>
    <xf numFmtId="0" fontId="63" fillId="0" borderId="34" xfId="0" applyFont="1" applyBorder="1" applyAlignment="1">
      <alignment horizontal="center" vertical="center"/>
    </xf>
    <xf numFmtId="3" fontId="63" fillId="0" borderId="35" xfId="0" applyNumberFormat="1" applyFont="1" applyBorder="1" applyAlignment="1">
      <alignment horizontal="center" vertical="center"/>
    </xf>
    <xf numFmtId="3" fontId="63" fillId="0" borderId="35" xfId="0" applyNumberFormat="1" applyFont="1" applyBorder="1" applyAlignment="1">
      <alignment horizontal="center" vertical="center" wrapText="1"/>
    </xf>
    <xf numFmtId="0" fontId="63" fillId="0" borderId="34" xfId="0" applyFont="1" applyBorder="1" applyAlignment="1">
      <alignment horizontal="center" vertical="center" wrapText="1"/>
    </xf>
    <xf numFmtId="3" fontId="14" fillId="0" borderId="0" xfId="0" applyNumberFormat="1" applyFont="1"/>
    <xf numFmtId="0" fontId="70" fillId="0" borderId="1" xfId="0" applyFont="1" applyBorder="1" applyAlignment="1">
      <alignment horizontal="center" vertical="center"/>
    </xf>
    <xf numFmtId="0" fontId="70" fillId="0" borderId="1" xfId="0" applyFont="1" applyBorder="1" applyAlignment="1">
      <alignment vertical="center"/>
    </xf>
    <xf numFmtId="0" fontId="71" fillId="0" borderId="0" xfId="0" applyFont="1" applyAlignment="1">
      <alignment vertical="center"/>
    </xf>
    <xf numFmtId="0" fontId="71" fillId="0" borderId="1" xfId="0" applyFont="1" applyBorder="1" applyAlignment="1">
      <alignment horizontal="center" vertical="center"/>
    </xf>
    <xf numFmtId="0" fontId="71" fillId="0" borderId="1" xfId="0" applyFont="1" applyBorder="1" applyAlignment="1">
      <alignment vertical="center"/>
    </xf>
    <xf numFmtId="0" fontId="72" fillId="0" borderId="1" xfId="0" applyFont="1" applyBorder="1" applyAlignment="1">
      <alignment vertical="center"/>
    </xf>
    <xf numFmtId="0" fontId="73" fillId="0" borderId="1" xfId="0" applyFont="1" applyBorder="1" applyAlignment="1">
      <alignment horizontal="left" vertical="center" wrapText="1"/>
    </xf>
    <xf numFmtId="0" fontId="72" fillId="0" borderId="1" xfId="0" applyFont="1" applyBorder="1" applyAlignment="1">
      <alignment horizontal="left" vertical="center"/>
    </xf>
    <xf numFmtId="0" fontId="75" fillId="0" borderId="1" xfId="0" applyFont="1" applyBorder="1"/>
    <xf numFmtId="0" fontId="75" fillId="0" borderId="1" xfId="0" applyFont="1" applyBorder="1" applyAlignment="1">
      <alignment vertical="top" wrapText="1"/>
    </xf>
    <xf numFmtId="0" fontId="72" fillId="0" borderId="1" xfId="0" applyFont="1" applyBorder="1" applyAlignment="1">
      <alignment vertical="center" wrapText="1"/>
    </xf>
    <xf numFmtId="0" fontId="75" fillId="0" borderId="1" xfId="0" applyFont="1" applyBorder="1" applyAlignment="1">
      <alignment horizontal="left" vertical="top" wrapText="1"/>
    </xf>
    <xf numFmtId="0" fontId="71" fillId="0" borderId="0" xfId="0" applyFont="1" applyAlignment="1">
      <alignment horizontal="center" vertical="center"/>
    </xf>
    <xf numFmtId="169" fontId="0" fillId="0" borderId="0" xfId="2" applyNumberFormat="1" applyFont="1" applyAlignment="1">
      <alignment vertical="center"/>
    </xf>
    <xf numFmtId="4" fontId="0" fillId="2" borderId="0" xfId="0" applyNumberFormat="1" applyFill="1"/>
    <xf numFmtId="1" fontId="63" fillId="0" borderId="1" xfId="0" applyNumberFormat="1" applyFont="1" applyBorder="1" applyAlignment="1">
      <alignment horizontal="center" vertical="center" wrapText="1"/>
    </xf>
    <xf numFmtId="3" fontId="0" fillId="0" borderId="0" xfId="0" applyNumberFormat="1"/>
    <xf numFmtId="0" fontId="22" fillId="2" borderId="34" xfId="0" applyFont="1" applyFill="1" applyBorder="1" applyAlignment="1">
      <alignment horizontal="center" vertical="center" wrapText="1"/>
    </xf>
    <xf numFmtId="1" fontId="63" fillId="0" borderId="35" xfId="0" applyNumberFormat="1" applyFont="1" applyBorder="1" applyAlignment="1">
      <alignment horizontal="center" vertical="center" wrapText="1"/>
    </xf>
    <xf numFmtId="1" fontId="22" fillId="0" borderId="15" xfId="0" applyNumberFormat="1" applyFont="1" applyBorder="1" applyAlignment="1">
      <alignment horizontal="center" vertical="center" wrapText="1"/>
    </xf>
    <xf numFmtId="0" fontId="77" fillId="0" borderId="1" xfId="0" applyFont="1" applyBorder="1" applyAlignment="1">
      <alignment vertical="center"/>
    </xf>
    <xf numFmtId="0" fontId="71" fillId="0" borderId="1" xfId="0" applyFont="1" applyBorder="1" applyAlignment="1">
      <alignment horizontal="left" vertical="center"/>
    </xf>
    <xf numFmtId="0" fontId="78" fillId="0" borderId="1" xfId="0" applyFont="1" applyBorder="1"/>
    <xf numFmtId="0" fontId="78" fillId="0" borderId="1" xfId="0" applyFont="1" applyBorder="1" applyAlignment="1">
      <alignment vertical="top" wrapText="1"/>
    </xf>
    <xf numFmtId="0" fontId="71" fillId="0" borderId="1" xfId="0" applyFont="1" applyBorder="1" applyAlignment="1">
      <alignment vertical="center" wrapText="1"/>
    </xf>
    <xf numFmtId="0" fontId="71" fillId="0" borderId="8" xfId="0" applyFont="1" applyBorder="1" applyAlignment="1">
      <alignment vertical="top"/>
    </xf>
    <xf numFmtId="0" fontId="71" fillId="0" borderId="8" xfId="0" applyFont="1" applyBorder="1" applyAlignment="1">
      <alignment wrapText="1"/>
    </xf>
    <xf numFmtId="0" fontId="63" fillId="0" borderId="0" xfId="0" applyFont="1" applyAlignment="1">
      <alignment vertical="center"/>
    </xf>
    <xf numFmtId="0" fontId="13" fillId="0" borderId="0" xfId="0" applyFont="1"/>
    <xf numFmtId="4" fontId="63" fillId="0" borderId="0" xfId="0" applyNumberFormat="1" applyFont="1"/>
    <xf numFmtId="4" fontId="14" fillId="0" borderId="0" xfId="0" applyNumberFormat="1" applyFont="1" applyAlignment="1">
      <alignment horizontal="right" vertical="center"/>
    </xf>
    <xf numFmtId="2" fontId="13" fillId="0" borderId="1" xfId="0" applyNumberFormat="1" applyFont="1" applyBorder="1" applyAlignment="1">
      <alignment horizontal="center" vertical="center" wrapText="1"/>
    </xf>
    <xf numFmtId="0" fontId="12" fillId="0" borderId="0" xfId="0" applyFont="1"/>
    <xf numFmtId="0" fontId="17" fillId="0" borderId="0" xfId="0" applyFont="1"/>
    <xf numFmtId="0" fontId="63" fillId="0" borderId="36" xfId="0" applyFont="1" applyBorder="1" applyAlignment="1">
      <alignment horizontal="center" vertical="center"/>
    </xf>
    <xf numFmtId="0" fontId="67" fillId="0" borderId="2" xfId="0" applyFont="1" applyBorder="1" applyAlignment="1">
      <alignment horizontal="center" vertical="center" wrapText="1"/>
    </xf>
    <xf numFmtId="0" fontId="67" fillId="0" borderId="8" xfId="0" applyFont="1" applyBorder="1" applyAlignment="1">
      <alignment horizontal="center" vertical="center" wrapText="1"/>
    </xf>
    <xf numFmtId="0" fontId="63" fillId="0" borderId="2" xfId="0" applyFont="1" applyBorder="1" applyAlignment="1">
      <alignment horizontal="center" vertical="center"/>
    </xf>
    <xf numFmtId="4" fontId="63" fillId="0" borderId="8" xfId="0" applyNumberFormat="1" applyFont="1" applyBorder="1" applyAlignment="1">
      <alignment horizontal="center" vertical="center" wrapText="1"/>
    </xf>
    <xf numFmtId="0" fontId="14" fillId="4" borderId="0" xfId="0" applyFont="1" applyFill="1"/>
    <xf numFmtId="0" fontId="11" fillId="0" borderId="0" xfId="0" applyFont="1"/>
    <xf numFmtId="0" fontId="81" fillId="0" borderId="0" xfId="0" applyFont="1"/>
    <xf numFmtId="3" fontId="63" fillId="2" borderId="11" xfId="0" applyNumberFormat="1" applyFont="1" applyFill="1" applyBorder="1" applyAlignment="1">
      <alignment horizontal="center" vertical="center"/>
    </xf>
    <xf numFmtId="3" fontId="63" fillId="2" borderId="6"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3" fontId="22" fillId="2" borderId="1" xfId="0"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horizontal="center" vertical="center"/>
    </xf>
    <xf numFmtId="3" fontId="22" fillId="2" borderId="4"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63" fillId="0" borderId="0" xfId="0" applyFont="1"/>
    <xf numFmtId="0" fontId="22" fillId="0" borderId="0" xfId="0" applyFont="1"/>
    <xf numFmtId="3" fontId="0" fillId="2" borderId="0" xfId="0" applyNumberFormat="1" applyFill="1"/>
    <xf numFmtId="0" fontId="10" fillId="0" borderId="0" xfId="0" applyFont="1"/>
    <xf numFmtId="3" fontId="22" fillId="0" borderId="35" xfId="0" applyNumberFormat="1" applyFont="1" applyBorder="1" applyAlignment="1">
      <alignment horizontal="center" vertical="center" wrapText="1"/>
    </xf>
    <xf numFmtId="0" fontId="22" fillId="2" borderId="10" xfId="0" applyFont="1" applyFill="1" applyBorder="1" applyAlignment="1">
      <alignment horizontal="center" vertical="center"/>
    </xf>
    <xf numFmtId="0" fontId="83" fillId="2" borderId="10" xfId="0" applyFont="1" applyFill="1" applyBorder="1" applyAlignment="1">
      <alignment horizontal="center" vertical="center" wrapText="1"/>
    </xf>
    <xf numFmtId="3" fontId="63" fillId="0" borderId="11" xfId="0" applyNumberFormat="1" applyFont="1" applyBorder="1" applyAlignment="1">
      <alignment horizontal="center" vertical="center" wrapText="1"/>
    </xf>
    <xf numFmtId="0" fontId="63" fillId="0" borderId="8"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2" xfId="0" applyFont="1" applyBorder="1" applyAlignment="1">
      <alignment horizontal="center" vertical="center" wrapText="1"/>
    </xf>
    <xf numFmtId="3" fontId="63" fillId="0" borderId="2" xfId="0" applyNumberFormat="1" applyFont="1" applyBorder="1" applyAlignment="1">
      <alignment horizontal="center" vertical="center" wrapText="1"/>
    </xf>
    <xf numFmtId="0" fontId="22" fillId="2" borderId="1" xfId="0" applyFont="1" applyFill="1" applyBorder="1" applyAlignment="1">
      <alignment horizontal="center" vertical="center" wrapText="1"/>
    </xf>
    <xf numFmtId="4" fontId="63" fillId="0" borderId="2" xfId="0" applyNumberFormat="1" applyFont="1" applyBorder="1" applyAlignment="1">
      <alignment horizontal="center" vertical="center" wrapText="1"/>
    </xf>
    <xf numFmtId="4" fontId="63" fillId="0" borderId="11" xfId="0" applyNumberFormat="1" applyFont="1" applyBorder="1" applyAlignment="1">
      <alignment horizontal="center" vertical="center" wrapText="1"/>
    </xf>
    <xf numFmtId="3" fontId="63" fillId="2" borderId="2" xfId="0" applyNumberFormat="1" applyFont="1" applyFill="1" applyBorder="1" applyAlignment="1">
      <alignment horizontal="center" vertical="center" wrapText="1"/>
    </xf>
    <xf numFmtId="3" fontId="22" fillId="0" borderId="0" xfId="0" applyNumberFormat="1" applyFont="1"/>
    <xf numFmtId="0" fontId="17" fillId="0" borderId="6" xfId="0" applyFont="1" applyBorder="1" applyAlignment="1">
      <alignment horizontal="center" vertical="center" wrapText="1"/>
    </xf>
    <xf numFmtId="0" fontId="9" fillId="0" borderId="0" xfId="0" applyFont="1"/>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2" borderId="1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28" xfId="0" applyFont="1" applyBorder="1"/>
    <xf numFmtId="0" fontId="9" fillId="0" borderId="0" xfId="0" applyFont="1" applyAlignment="1">
      <alignment horizontal="center"/>
    </xf>
    <xf numFmtId="166" fontId="9" fillId="0" borderId="0" xfId="0" applyNumberFormat="1" applyFont="1"/>
    <xf numFmtId="4" fontId="9" fillId="0" borderId="0" xfId="0" applyNumberFormat="1" applyFont="1" applyAlignment="1">
      <alignment horizontal="center" vertical="center"/>
    </xf>
    <xf numFmtId="4" fontId="9" fillId="0" borderId="0" xfId="0" applyNumberFormat="1" applyFont="1"/>
    <xf numFmtId="3" fontId="9" fillId="0" borderId="0" xfId="0" applyNumberFormat="1" applyFont="1"/>
    <xf numFmtId="3" fontId="9" fillId="0" borderId="0" xfId="0" applyNumberFormat="1" applyFont="1" applyAlignment="1">
      <alignment horizontal="center" vertical="center"/>
    </xf>
    <xf numFmtId="1" fontId="63" fillId="0" borderId="1" xfId="0" applyNumberFormat="1" applyFont="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14" xfId="0" applyFont="1" applyBorder="1" applyAlignment="1">
      <alignment horizontal="center" vertical="center" wrapText="1"/>
    </xf>
    <xf numFmtId="1" fontId="63" fillId="0" borderId="35" xfId="0" applyNumberFormat="1" applyFont="1" applyBorder="1" applyAlignment="1">
      <alignment horizontal="left" vertical="center" wrapText="1"/>
    </xf>
    <xf numFmtId="0" fontId="7" fillId="0" borderId="0" xfId="0" applyFont="1"/>
    <xf numFmtId="0" fontId="63" fillId="2" borderId="6" xfId="0" applyFont="1" applyFill="1" applyBorder="1" applyAlignment="1">
      <alignment horizontal="center" vertical="center"/>
    </xf>
    <xf numFmtId="0" fontId="63" fillId="2" borderId="6" xfId="0" applyFont="1" applyFill="1" applyBorder="1" applyAlignment="1">
      <alignment horizontal="center" vertical="center" wrapText="1"/>
    </xf>
    <xf numFmtId="3" fontId="63" fillId="2" borderId="6" xfId="0" applyNumberFormat="1" applyFont="1" applyFill="1" applyBorder="1" applyAlignment="1">
      <alignment horizontal="center" vertical="center"/>
    </xf>
    <xf numFmtId="4" fontId="63" fillId="2" borderId="6" xfId="0" applyNumberFormat="1" applyFont="1" applyFill="1" applyBorder="1" applyAlignment="1">
      <alignment horizontal="center" vertical="center" wrapText="1"/>
    </xf>
    <xf numFmtId="0" fontId="63" fillId="2" borderId="1" xfId="0" applyFont="1" applyFill="1" applyBorder="1" applyAlignment="1">
      <alignment horizontal="center" vertical="center"/>
    </xf>
    <xf numFmtId="0" fontId="63" fillId="2" borderId="1" xfId="0" applyFont="1" applyFill="1" applyBorder="1" applyAlignment="1">
      <alignment horizontal="center" vertical="center" wrapText="1"/>
    </xf>
    <xf numFmtId="0" fontId="63" fillId="2" borderId="2" xfId="0" applyFont="1" applyFill="1" applyBorder="1" applyAlignment="1">
      <alignment horizontal="center" vertical="center" wrapText="1"/>
    </xf>
    <xf numFmtId="3" fontId="63" fillId="2" borderId="2" xfId="0" applyNumberFormat="1" applyFont="1" applyFill="1" applyBorder="1" applyAlignment="1">
      <alignment horizontal="center" vertical="center"/>
    </xf>
    <xf numFmtId="1" fontId="63" fillId="2" borderId="2" xfId="0" applyNumberFormat="1" applyFont="1" applyFill="1" applyBorder="1" applyAlignment="1">
      <alignment horizontal="center" vertical="center" wrapText="1"/>
    </xf>
    <xf numFmtId="4" fontId="63" fillId="2" borderId="1" xfId="0" applyNumberFormat="1" applyFont="1" applyFill="1" applyBorder="1" applyAlignment="1">
      <alignment horizontal="center" vertical="center" wrapText="1"/>
    </xf>
    <xf numFmtId="0" fontId="63" fillId="2" borderId="11" xfId="0" applyFont="1" applyFill="1" applyBorder="1" applyAlignment="1">
      <alignment horizontal="center" vertical="center"/>
    </xf>
    <xf numFmtId="0" fontId="63" fillId="2" borderId="11" xfId="0" applyFont="1" applyFill="1" applyBorder="1" applyAlignment="1">
      <alignment horizontal="center" vertical="center" wrapText="1"/>
    </xf>
    <xf numFmtId="1" fontId="63" fillId="2" borderId="1" xfId="0" applyNumberFormat="1" applyFont="1" applyFill="1" applyBorder="1" applyAlignment="1">
      <alignment horizontal="center" vertical="center" wrapText="1"/>
    </xf>
    <xf numFmtId="0" fontId="63" fillId="2" borderId="10" xfId="0" applyFont="1" applyFill="1" applyBorder="1" applyAlignment="1">
      <alignment horizontal="center" vertical="center"/>
    </xf>
    <xf numFmtId="0" fontId="63" fillId="2" borderId="10" xfId="0" applyFont="1" applyFill="1" applyBorder="1" applyAlignment="1">
      <alignment horizontal="center" vertical="center" wrapText="1"/>
    </xf>
    <xf numFmtId="3" fontId="63" fillId="2" borderId="10" xfId="0" applyNumberFormat="1" applyFont="1" applyFill="1" applyBorder="1" applyAlignment="1">
      <alignment horizontal="center" vertical="center"/>
    </xf>
    <xf numFmtId="1" fontId="63" fillId="2" borderId="10" xfId="0" applyNumberFormat="1" applyFont="1" applyFill="1" applyBorder="1" applyAlignment="1">
      <alignment horizontal="center" vertical="center" wrapText="1"/>
    </xf>
    <xf numFmtId="3" fontId="63" fillId="2" borderId="10" xfId="0" applyNumberFormat="1" applyFont="1" applyFill="1" applyBorder="1" applyAlignment="1">
      <alignment horizontal="center" vertical="center" wrapText="1"/>
    </xf>
    <xf numFmtId="4" fontId="63" fillId="2" borderId="1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2" borderId="0" xfId="0" applyFont="1" applyFill="1" applyAlignment="1">
      <alignment horizontal="left"/>
    </xf>
    <xf numFmtId="166" fontId="6" fillId="2" borderId="0" xfId="0" applyNumberFormat="1" applyFont="1" applyFill="1"/>
    <xf numFmtId="0" fontId="6" fillId="2" borderId="0" xfId="0" applyFont="1" applyFill="1" applyAlignment="1">
      <alignment horizontal="center" vertical="center"/>
    </xf>
    <xf numFmtId="0" fontId="6" fillId="2" borderId="0" xfId="0" applyFont="1" applyFill="1"/>
    <xf numFmtId="0" fontId="63" fillId="2" borderId="0" xfId="0" applyFont="1" applyFill="1" applyAlignment="1">
      <alignment vertical="center"/>
    </xf>
    <xf numFmtId="0" fontId="63" fillId="2" borderId="1" xfId="0" applyFont="1" applyFill="1" applyBorder="1" applyAlignment="1">
      <alignment horizontal="left" vertical="center" wrapText="1"/>
    </xf>
    <xf numFmtId="0" fontId="65" fillId="2" borderId="0" xfId="0" applyFont="1" applyFill="1"/>
    <xf numFmtId="3" fontId="6" fillId="2" borderId="0" xfId="0" applyNumberFormat="1" applyFont="1" applyFill="1"/>
    <xf numFmtId="0" fontId="6" fillId="2" borderId="0" xfId="0" applyFont="1" applyFill="1" applyAlignment="1">
      <alignment horizontal="right"/>
    </xf>
    <xf numFmtId="168" fontId="6" fillId="2" borderId="0" xfId="1" applyNumberFormat="1" applyFont="1" applyFill="1"/>
    <xf numFmtId="0" fontId="63" fillId="2" borderId="0" xfId="0" applyFont="1" applyFill="1" applyAlignment="1">
      <alignment horizontal="center" vertical="center" wrapText="1"/>
    </xf>
    <xf numFmtId="3" fontId="63" fillId="2" borderId="0" xfId="0" applyNumberFormat="1" applyFont="1" applyFill="1" applyAlignment="1">
      <alignment horizontal="center" vertical="center" wrapText="1"/>
    </xf>
    <xf numFmtId="3" fontId="63" fillId="2" borderId="0" xfId="0" applyNumberFormat="1" applyFont="1" applyFill="1" applyAlignment="1">
      <alignment horizontal="center" vertical="center"/>
    </xf>
    <xf numFmtId="0" fontId="63" fillId="2" borderId="0" xfId="0" applyFont="1" applyFill="1" applyAlignment="1">
      <alignment horizontal="center" vertical="center"/>
    </xf>
    <xf numFmtId="4" fontId="63" fillId="2" borderId="0" xfId="0" applyNumberFormat="1" applyFont="1" applyFill="1" applyAlignment="1">
      <alignment horizontal="center" vertical="center" wrapText="1"/>
    </xf>
    <xf numFmtId="0" fontId="14" fillId="2" borderId="34"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 fontId="14" fillId="2" borderId="35" xfId="0" applyNumberFormat="1" applyFont="1" applyFill="1" applyBorder="1" applyAlignment="1">
      <alignment horizontal="center" vertical="center" wrapText="1"/>
    </xf>
    <xf numFmtId="0" fontId="14" fillId="2" borderId="0" xfId="0" applyFont="1" applyFill="1"/>
    <xf numFmtId="0" fontId="6" fillId="2" borderId="1" xfId="0" applyFont="1" applyFill="1" applyBorder="1" applyAlignment="1">
      <alignment horizontal="center" vertical="center"/>
    </xf>
    <xf numFmtId="3" fontId="6" fillId="2" borderId="0" xfId="1" applyNumberFormat="1" applyFont="1" applyFill="1"/>
    <xf numFmtId="3" fontId="63" fillId="2" borderId="0" xfId="1" applyNumberFormat="1" applyFont="1" applyFill="1"/>
    <xf numFmtId="0" fontId="5" fillId="2" borderId="0" xfId="0" applyFont="1" applyFill="1" applyAlignment="1">
      <alignment horizontal="center"/>
    </xf>
    <xf numFmtId="3" fontId="6" fillId="2" borderId="0" xfId="0" applyNumberFormat="1" applyFont="1" applyFill="1" applyAlignment="1">
      <alignment horizontal="center"/>
    </xf>
    <xf numFmtId="0" fontId="22" fillId="2" borderId="10" xfId="0" applyFont="1" applyFill="1" applyBorder="1" applyAlignment="1">
      <alignment horizontal="center" vertical="center" wrapText="1"/>
    </xf>
    <xf numFmtId="0" fontId="2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22" fillId="2" borderId="10" xfId="0" applyFont="1" applyFill="1" applyBorder="1" applyAlignment="1">
      <alignment horizontal="center" vertical="top" wrapText="1"/>
    </xf>
    <xf numFmtId="0" fontId="0" fillId="5" borderId="0" xfId="0" applyFill="1"/>
    <xf numFmtId="1" fontId="22" fillId="2" borderId="1" xfId="0" applyNumberFormat="1" applyFont="1" applyFill="1" applyBorder="1" applyAlignment="1">
      <alignment horizontal="center" vertical="center" wrapText="1"/>
    </xf>
    <xf numFmtId="0" fontId="0" fillId="2" borderId="34" xfId="0" applyFill="1" applyBorder="1" applyAlignment="1">
      <alignment horizontal="center" vertical="center" wrapText="1"/>
    </xf>
    <xf numFmtId="0" fontId="22" fillId="2" borderId="9" xfId="0" applyFont="1" applyFill="1" applyBorder="1" applyAlignment="1">
      <alignment horizontal="center" vertical="center" wrapText="1"/>
    </xf>
    <xf numFmtId="1" fontId="22" fillId="2" borderId="10" xfId="0" applyNumberFormat="1" applyFont="1" applyFill="1" applyBorder="1" applyAlignment="1">
      <alignment horizontal="center" vertical="center" wrapText="1"/>
    </xf>
    <xf numFmtId="0" fontId="17" fillId="2" borderId="6" xfId="0" applyFont="1" applyFill="1" applyBorder="1" applyAlignment="1">
      <alignment horizontal="center" vertical="center" wrapText="1"/>
    </xf>
    <xf numFmtId="0" fontId="63" fillId="2" borderId="14" xfId="0" applyFont="1" applyFill="1" applyBorder="1" applyAlignment="1">
      <alignment vertical="center" wrapText="1"/>
    </xf>
    <xf numFmtId="0" fontId="86" fillId="6" borderId="24" xfId="0" applyFont="1" applyFill="1" applyBorder="1" applyAlignment="1">
      <alignment vertical="center" wrapText="1"/>
    </xf>
    <xf numFmtId="0" fontId="63" fillId="2" borderId="35" xfId="0" applyFont="1" applyFill="1" applyBorder="1" applyAlignment="1">
      <alignment vertical="center" wrapText="1"/>
    </xf>
    <xf numFmtId="0" fontId="89" fillId="6" borderId="3" xfId="0" applyFont="1" applyFill="1" applyBorder="1" applyAlignment="1">
      <alignment wrapText="1"/>
    </xf>
    <xf numFmtId="0" fontId="63" fillId="2" borderId="35" xfId="0" applyFont="1" applyFill="1" applyBorder="1" applyAlignment="1">
      <alignment horizontal="left" vertical="center" wrapText="1"/>
    </xf>
    <xf numFmtId="0" fontId="89" fillId="6" borderId="3" xfId="0" applyFont="1" applyFill="1" applyBorder="1" applyAlignment="1">
      <alignment vertical="center" wrapText="1"/>
    </xf>
    <xf numFmtId="0" fontId="3" fillId="0" borderId="1" xfId="0" applyFont="1" applyBorder="1"/>
    <xf numFmtId="0" fontId="63" fillId="2" borderId="39" xfId="0" applyFont="1" applyFill="1" applyBorder="1" applyAlignment="1">
      <alignment horizontal="left" vertical="center" wrapText="1"/>
    </xf>
    <xf numFmtId="0" fontId="18" fillId="2" borderId="3" xfId="0" applyFont="1" applyFill="1" applyBorder="1" applyAlignment="1">
      <alignment vertical="top" wrapText="1"/>
    </xf>
    <xf numFmtId="0" fontId="67" fillId="2" borderId="3" xfId="0" applyFont="1" applyFill="1" applyBorder="1" applyAlignment="1">
      <alignment vertical="center" wrapText="1"/>
    </xf>
    <xf numFmtId="0" fontId="92" fillId="2" borderId="3" xfId="0" applyFont="1" applyFill="1" applyBorder="1" applyAlignment="1">
      <alignment vertical="top" wrapText="1"/>
    </xf>
    <xf numFmtId="0" fontId="63" fillId="2" borderId="3" xfId="0" applyFont="1" applyFill="1" applyBorder="1" applyAlignment="1">
      <alignment vertical="center" wrapText="1"/>
    </xf>
    <xf numFmtId="0" fontId="63" fillId="2" borderId="39" xfId="0" applyFont="1" applyFill="1" applyBorder="1" applyAlignment="1">
      <alignment vertical="center" wrapText="1"/>
    </xf>
    <xf numFmtId="0" fontId="63" fillId="2" borderId="17" xfId="0" applyFont="1" applyFill="1" applyBorder="1" applyAlignment="1">
      <alignment vertical="center" wrapText="1"/>
    </xf>
    <xf numFmtId="0" fontId="22" fillId="2" borderId="35" xfId="0" applyFont="1" applyFill="1" applyBorder="1" applyAlignment="1">
      <alignment vertical="center" wrapText="1"/>
    </xf>
    <xf numFmtId="0" fontId="22" fillId="2" borderId="24" xfId="0" applyFont="1" applyFill="1" applyBorder="1" applyAlignment="1">
      <alignment vertical="center" wrapText="1"/>
    </xf>
    <xf numFmtId="0" fontId="22" fillId="2" borderId="3" xfId="0" applyFont="1" applyFill="1" applyBorder="1" applyAlignment="1">
      <alignment vertical="center" wrapText="1"/>
    </xf>
    <xf numFmtId="0" fontId="22" fillId="2" borderId="15" xfId="0" applyFont="1" applyFill="1" applyBorder="1" applyAlignment="1">
      <alignment vertical="top" wrapText="1"/>
    </xf>
    <xf numFmtId="0" fontId="22" fillId="2" borderId="24" xfId="0" applyFont="1" applyFill="1" applyBorder="1" applyAlignment="1">
      <alignment vertical="top" wrapText="1"/>
    </xf>
    <xf numFmtId="0" fontId="3" fillId="0" borderId="24" xfId="0" applyFont="1" applyBorder="1" applyAlignment="1">
      <alignment wrapText="1"/>
    </xf>
    <xf numFmtId="0" fontId="3" fillId="0" borderId="3" xfId="0" applyFont="1" applyBorder="1" applyAlignment="1">
      <alignment vertical="center"/>
    </xf>
    <xf numFmtId="0" fontId="3" fillId="0" borderId="3" xfId="0" applyFont="1" applyBorder="1"/>
    <xf numFmtId="0" fontId="18" fillId="0" borderId="3" xfId="0" applyFont="1" applyBorder="1" applyAlignment="1">
      <alignment vertical="top" wrapText="1"/>
    </xf>
    <xf numFmtId="0" fontId="22" fillId="0" borderId="3" xfId="0" applyFont="1" applyBorder="1" applyAlignment="1">
      <alignment vertical="center" wrapText="1"/>
    </xf>
    <xf numFmtId="0" fontId="80" fillId="0" borderId="3" xfId="0" applyFont="1" applyBorder="1" applyAlignment="1">
      <alignment vertical="top" wrapText="1"/>
    </xf>
    <xf numFmtId="0" fontId="80" fillId="0" borderId="3" xfId="0" applyFont="1" applyBorder="1" applyAlignment="1">
      <alignment vertical="center" wrapText="1"/>
    </xf>
    <xf numFmtId="0" fontId="3" fillId="0" borderId="3" xfId="0" applyFont="1" applyBorder="1" applyAlignment="1">
      <alignment vertical="center" wrapText="1"/>
    </xf>
    <xf numFmtId="0" fontId="9" fillId="0" borderId="1" xfId="0" applyFont="1" applyBorder="1"/>
    <xf numFmtId="0" fontId="68" fillId="0" borderId="1" xfId="0" applyFont="1" applyBorder="1"/>
    <xf numFmtId="0" fontId="63" fillId="0" borderId="1" xfId="0" applyFont="1" applyBorder="1"/>
    <xf numFmtId="0" fontId="63" fillId="2" borderId="3" xfId="0" applyFont="1" applyFill="1" applyBorder="1" applyAlignment="1">
      <alignment horizontal="left" vertical="center" wrapText="1"/>
    </xf>
    <xf numFmtId="3" fontId="63" fillId="2" borderId="1" xfId="0" applyNumberFormat="1" applyFont="1" applyFill="1" applyBorder="1" applyAlignment="1">
      <alignment horizontal="left" vertical="center" wrapText="1"/>
    </xf>
    <xf numFmtId="0" fontId="6" fillId="2" borderId="1" xfId="0" applyFont="1" applyFill="1" applyBorder="1"/>
    <xf numFmtId="0" fontId="65" fillId="2" borderId="1" xfId="0" applyFont="1" applyFill="1" applyBorder="1" applyAlignment="1">
      <alignment horizontal="left" wrapText="1"/>
    </xf>
    <xf numFmtId="9" fontId="6" fillId="2" borderId="1" xfId="3" applyFont="1" applyFill="1" applyBorder="1"/>
    <xf numFmtId="168" fontId="6" fillId="2" borderId="1" xfId="1" applyNumberFormat="1" applyFont="1" applyFill="1" applyBorder="1" applyAlignment="1">
      <alignment wrapText="1"/>
    </xf>
    <xf numFmtId="0" fontId="63" fillId="2" borderId="1" xfId="0" applyFont="1" applyFill="1" applyBorder="1" applyAlignment="1">
      <alignment horizontal="left" wrapText="1"/>
    </xf>
    <xf numFmtId="0" fontId="63" fillId="2" borderId="0" xfId="0" applyFont="1" applyFill="1" applyAlignment="1">
      <alignment horizontal="left" vertical="center" wrapText="1"/>
    </xf>
    <xf numFmtId="0" fontId="65" fillId="2" borderId="0" xfId="0" applyFont="1" applyFill="1" applyAlignment="1">
      <alignment horizontal="left" wrapText="1"/>
    </xf>
    <xf numFmtId="0" fontId="22" fillId="0" borderId="14" xfId="0" applyFont="1" applyBorder="1" applyAlignment="1">
      <alignment vertical="center" wrapText="1"/>
    </xf>
    <xf numFmtId="0" fontId="22" fillId="2" borderId="17" xfId="0" applyFont="1" applyFill="1" applyBorder="1" applyAlignment="1">
      <alignment vertical="center" wrapText="1"/>
    </xf>
    <xf numFmtId="4" fontId="22" fillId="0" borderId="35" xfId="0" applyNumberFormat="1" applyFont="1" applyBorder="1" applyAlignment="1">
      <alignment horizontal="left" vertical="center" wrapText="1"/>
    </xf>
    <xf numFmtId="4" fontId="22" fillId="2" borderId="3" xfId="0" applyNumberFormat="1" applyFont="1" applyFill="1" applyBorder="1" applyAlignment="1">
      <alignment horizontal="left" vertical="center" wrapText="1"/>
    </xf>
    <xf numFmtId="4" fontId="63" fillId="2" borderId="3" xfId="0" applyNumberFormat="1" applyFont="1" applyFill="1" applyBorder="1" applyAlignment="1">
      <alignment horizontal="left" vertical="center" wrapText="1"/>
    </xf>
    <xf numFmtId="0" fontId="22" fillId="0" borderId="35" xfId="0" applyFont="1" applyBorder="1" applyAlignment="1">
      <alignment vertical="center" wrapText="1" readingOrder="1"/>
    </xf>
    <xf numFmtId="0" fontId="63" fillId="2" borderId="3" xfId="0" applyFont="1" applyFill="1" applyBorder="1" applyAlignment="1">
      <alignment vertical="center" wrapText="1" readingOrder="1"/>
    </xf>
    <xf numFmtId="0" fontId="22" fillId="0" borderId="35" xfId="0" applyFont="1" applyBorder="1" applyAlignment="1">
      <alignment vertical="center" wrapText="1"/>
    </xf>
    <xf numFmtId="4" fontId="22" fillId="0" borderId="15" xfId="0" applyNumberFormat="1" applyFont="1" applyBorder="1" applyAlignment="1">
      <alignment horizontal="left" vertical="center" wrapText="1"/>
    </xf>
    <xf numFmtId="0" fontId="0" fillId="2" borderId="1" xfId="0" applyFill="1" applyBorder="1" applyAlignment="1">
      <alignment vertical="center"/>
    </xf>
    <xf numFmtId="0" fontId="0" fillId="2" borderId="1" xfId="0" applyFill="1" applyBorder="1"/>
    <xf numFmtId="0" fontId="0" fillId="2" borderId="0" xfId="0" applyFill="1"/>
    <xf numFmtId="0" fontId="9" fillId="2" borderId="0" xfId="0" applyFont="1" applyFill="1"/>
    <xf numFmtId="0" fontId="63" fillId="2" borderId="0" xfId="0" applyFont="1" applyFill="1"/>
    <xf numFmtId="0" fontId="0" fillId="2" borderId="6" xfId="0" applyFill="1" applyBorder="1" applyAlignment="1">
      <alignment horizontal="center" vertical="center" wrapText="1"/>
    </xf>
    <xf numFmtId="4" fontId="22" fillId="2" borderId="6"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4" fontId="22" fillId="2" borderId="10" xfId="0" applyNumberFormat="1" applyFont="1" applyFill="1" applyBorder="1" applyAlignment="1">
      <alignment horizontal="center" vertical="center" wrapText="1"/>
    </xf>
    <xf numFmtId="0" fontId="22" fillId="3" borderId="1" xfId="0" applyFont="1" applyFill="1" applyBorder="1" applyAlignment="1">
      <alignment vertical="center" wrapText="1"/>
    </xf>
    <xf numFmtId="4" fontId="22" fillId="3" borderId="1" xfId="0" applyNumberFormat="1" applyFont="1" applyFill="1" applyBorder="1" applyAlignment="1">
      <alignment horizontal="left" vertical="center" wrapText="1"/>
    </xf>
    <xf numFmtId="0" fontId="22" fillId="3" borderId="1" xfId="0" applyFont="1" applyFill="1" applyBorder="1" applyAlignment="1">
      <alignment vertical="center" wrapText="1" readingOrder="1"/>
    </xf>
    <xf numFmtId="4" fontId="63" fillId="3" borderId="1" xfId="0" applyNumberFormat="1" applyFont="1" applyFill="1" applyBorder="1" applyAlignment="1">
      <alignment horizontal="left" vertical="center" wrapText="1"/>
    </xf>
    <xf numFmtId="3" fontId="22" fillId="2" borderId="0" xfId="0" applyNumberFormat="1" applyFont="1" applyFill="1"/>
    <xf numFmtId="1" fontId="22" fillId="2" borderId="6" xfId="0" applyNumberFormat="1" applyFont="1" applyFill="1" applyBorder="1" applyAlignment="1">
      <alignment horizontal="center" vertical="center" wrapText="1"/>
    </xf>
    <xf numFmtId="1" fontId="22" fillId="3" borderId="6" xfId="0" applyNumberFormat="1" applyFont="1" applyFill="1" applyBorder="1" applyAlignment="1">
      <alignment horizontal="center" vertical="center" wrapText="1"/>
    </xf>
    <xf numFmtId="1"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3" fontId="63" fillId="3" borderId="1" xfId="0" applyNumberFormat="1" applyFont="1" applyFill="1" applyBorder="1" applyAlignment="1">
      <alignment horizontal="center" vertical="center" wrapText="1"/>
    </xf>
    <xf numFmtId="3" fontId="22" fillId="3" borderId="10" xfId="0" applyNumberFormat="1" applyFont="1" applyFill="1" applyBorder="1" applyAlignment="1">
      <alignment horizontal="center" vertical="center" wrapText="1"/>
    </xf>
    <xf numFmtId="3" fontId="63" fillId="3" borderId="10" xfId="0" applyNumberFormat="1" applyFont="1" applyFill="1" applyBorder="1" applyAlignment="1">
      <alignment horizontal="center" vertical="center" wrapText="1"/>
    </xf>
    <xf numFmtId="3" fontId="22" fillId="0" borderId="0" xfId="0" applyNumberFormat="1" applyFont="1" applyAlignment="1">
      <alignment horizontal="center"/>
    </xf>
    <xf numFmtId="0" fontId="22" fillId="0" borderId="0" xfId="0" applyFont="1" applyAlignment="1">
      <alignment horizontal="center"/>
    </xf>
    <xf numFmtId="1" fontId="22" fillId="0" borderId="0" xfId="0" applyNumberFormat="1" applyFont="1" applyAlignment="1">
      <alignment horizontal="center"/>
    </xf>
    <xf numFmtId="3" fontId="63" fillId="0" borderId="0" xfId="0" applyNumberFormat="1" applyFont="1"/>
    <xf numFmtId="3" fontId="63" fillId="2" borderId="0" xfId="0" applyNumberFormat="1" applyFont="1" applyFill="1"/>
    <xf numFmtId="3" fontId="63" fillId="3" borderId="1" xfId="0" applyNumberFormat="1" applyFont="1" applyFill="1" applyBorder="1" applyAlignment="1">
      <alignment horizontal="center" vertical="center"/>
    </xf>
    <xf numFmtId="0" fontId="22" fillId="0" borderId="11" xfId="0" applyFont="1" applyBorder="1" applyAlignment="1">
      <alignment horizontal="center" vertical="center" wrapText="1"/>
    </xf>
    <xf numFmtId="0" fontId="98" fillId="2" borderId="0" xfId="0" applyFont="1" applyFill="1" applyAlignment="1">
      <alignment vertical="center" wrapText="1"/>
    </xf>
    <xf numFmtId="168" fontId="6" fillId="0" borderId="1" xfId="1" applyNumberFormat="1" applyFont="1" applyFill="1" applyBorder="1" applyAlignment="1">
      <alignment horizontal="left" vertical="top" wrapText="1"/>
    </xf>
    <xf numFmtId="168" fontId="6" fillId="0" borderId="1" xfId="0" applyNumberFormat="1" applyFont="1" applyBorder="1"/>
    <xf numFmtId="4" fontId="63" fillId="0" borderId="10"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0" fillId="2" borderId="10" xfId="0" applyFill="1" applyBorder="1"/>
    <xf numFmtId="0" fontId="0" fillId="2" borderId="2" xfId="0" applyFill="1" applyBorder="1" applyAlignment="1">
      <alignment wrapText="1"/>
    </xf>
    <xf numFmtId="0" fontId="22" fillId="3" borderId="6" xfId="0" applyFont="1" applyFill="1" applyBorder="1" applyAlignment="1">
      <alignment vertical="center" wrapText="1"/>
    </xf>
    <xf numFmtId="0" fontId="0" fillId="2" borderId="35" xfId="0" applyFill="1" applyBorder="1"/>
    <xf numFmtId="0" fontId="0" fillId="2" borderId="35" xfId="0" applyFill="1" applyBorder="1" applyAlignment="1">
      <alignment vertical="center"/>
    </xf>
    <xf numFmtId="0" fontId="0" fillId="2" borderId="18" xfId="0" applyFill="1" applyBorder="1"/>
    <xf numFmtId="4" fontId="63" fillId="3" borderId="42" xfId="0" applyNumberFormat="1" applyFont="1" applyFill="1" applyBorder="1" applyAlignment="1">
      <alignment horizontal="left" vertical="center" wrapText="1"/>
    </xf>
    <xf numFmtId="0" fontId="0" fillId="2" borderId="15" xfId="0" applyFill="1" applyBorder="1"/>
    <xf numFmtId="0" fontId="17" fillId="2" borderId="14" xfId="0" applyFont="1" applyFill="1" applyBorder="1" applyAlignment="1">
      <alignment horizontal="center" vertical="center"/>
    </xf>
    <xf numFmtId="0" fontId="2" fillId="3" borderId="1" xfId="0" applyFont="1" applyFill="1" applyBorder="1" applyAlignment="1">
      <alignment vertical="top" wrapText="1"/>
    </xf>
    <xf numFmtId="0" fontId="0" fillId="3" borderId="35" xfId="0" applyFill="1" applyBorder="1" applyAlignment="1">
      <alignment vertical="top" wrapText="1"/>
    </xf>
    <xf numFmtId="1" fontId="63" fillId="3"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9" fillId="0" borderId="1" xfId="0" applyFont="1" applyBorder="1"/>
    <xf numFmtId="0" fontId="63" fillId="0" borderId="1" xfId="0" applyFont="1" applyBorder="1"/>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67" fillId="6" borderId="3" xfId="0" applyFont="1" applyFill="1" applyBorder="1" applyAlignment="1">
      <alignment horizontal="left" vertical="center" wrapText="1"/>
    </xf>
    <xf numFmtId="0" fontId="63" fillId="2" borderId="29" xfId="0" applyFont="1" applyFill="1" applyBorder="1" applyAlignment="1">
      <alignment horizontal="left" vertical="center" wrapText="1"/>
    </xf>
    <xf numFmtId="0" fontId="63" fillId="2" borderId="24" xfId="0" applyFont="1" applyFill="1" applyBorder="1" applyAlignment="1">
      <alignment horizontal="left" vertical="center" wrapText="1"/>
    </xf>
    <xf numFmtId="0" fontId="3" fillId="0" borderId="12" xfId="0" applyFont="1" applyBorder="1" applyAlignment="1">
      <alignment horizontal="center"/>
    </xf>
    <xf numFmtId="0" fontId="3" fillId="0" borderId="29" xfId="0" applyFont="1" applyBorder="1" applyAlignment="1">
      <alignment horizontal="center"/>
    </xf>
    <xf numFmtId="0" fontId="3" fillId="0" borderId="24" xfId="0" applyFont="1" applyBorder="1" applyAlignment="1">
      <alignment horizontal="center"/>
    </xf>
    <xf numFmtId="0" fontId="63" fillId="2" borderId="40" xfId="0" applyFont="1" applyFill="1" applyBorder="1" applyAlignment="1">
      <alignment horizontal="left" vertical="center" wrapText="1"/>
    </xf>
    <xf numFmtId="0" fontId="63" fillId="2" borderId="41" xfId="0" applyFont="1" applyFill="1" applyBorder="1" applyAlignment="1">
      <alignment horizontal="left" vertical="center" wrapText="1"/>
    </xf>
    <xf numFmtId="0" fontId="63" fillId="0" borderId="12" xfId="0" applyFont="1" applyBorder="1" applyAlignment="1">
      <alignment horizontal="center" vertical="center" wrapText="1"/>
    </xf>
    <xf numFmtId="0" fontId="63" fillId="0" borderId="24" xfId="0" applyFont="1" applyBorder="1" applyAlignment="1">
      <alignment horizontal="center" vertical="center" wrapText="1"/>
    </xf>
    <xf numFmtId="0" fontId="17" fillId="3" borderId="1" xfId="0" applyFont="1" applyFill="1" applyBorder="1" applyAlignment="1">
      <alignment horizontal="center" vertical="center"/>
    </xf>
    <xf numFmtId="0" fontId="9" fillId="0" borderId="2" xfId="0" applyFont="1" applyBorder="1"/>
    <xf numFmtId="0" fontId="9" fillId="0" borderId="8" xfId="0" applyFont="1" applyBorder="1"/>
    <xf numFmtId="0" fontId="9" fillId="0" borderId="11" xfId="0" applyFont="1" applyBorder="1"/>
    <xf numFmtId="0" fontId="63" fillId="0" borderId="2" xfId="0" applyFont="1" applyBorder="1"/>
    <xf numFmtId="0" fontId="63" fillId="0" borderId="11" xfId="0" applyFont="1" applyBorder="1"/>
    <xf numFmtId="0" fontId="22" fillId="2" borderId="1" xfId="0" applyFont="1" applyFill="1" applyBorder="1" applyAlignment="1">
      <alignment horizontal="center" vertical="center" wrapText="1"/>
    </xf>
    <xf numFmtId="0" fontId="22" fillId="2" borderId="10" xfId="0" applyFont="1" applyFill="1" applyBorder="1" applyAlignment="1">
      <alignment horizontal="center" vertical="center" wrapText="1"/>
    </xf>
    <xf numFmtId="3" fontId="22" fillId="3" borderId="1" xfId="0" applyNumberFormat="1" applyFont="1" applyFill="1" applyBorder="1" applyAlignment="1">
      <alignment horizontal="center" vertical="top" wrapText="1"/>
    </xf>
    <xf numFmtId="3" fontId="22" fillId="3" borderId="10" xfId="0" applyNumberFormat="1" applyFont="1" applyFill="1" applyBorder="1" applyAlignment="1">
      <alignment horizontal="center" vertical="top" wrapText="1"/>
    </xf>
    <xf numFmtId="0" fontId="63" fillId="2" borderId="1"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9" xfId="0" applyFont="1" applyBorder="1" applyAlignment="1">
      <alignment horizontal="center" vertical="center" wrapText="1"/>
    </xf>
    <xf numFmtId="3" fontId="22" fillId="3" borderId="6" xfId="0" applyNumberFormat="1" applyFont="1" applyFill="1" applyBorder="1" applyAlignment="1">
      <alignment horizontal="center" vertical="top" wrapText="1"/>
    </xf>
    <xf numFmtId="0" fontId="18" fillId="0" borderId="6" xfId="0" applyFont="1" applyBorder="1" applyAlignment="1">
      <alignment horizontal="center" vertical="top" wrapText="1"/>
    </xf>
    <xf numFmtId="0" fontId="10" fillId="0" borderId="1" xfId="0" applyFont="1" applyBorder="1" applyAlignment="1">
      <alignment horizontal="center" vertical="top" wrapText="1"/>
    </xf>
    <xf numFmtId="0" fontId="10" fillId="0" borderId="10" xfId="0" applyFont="1" applyBorder="1" applyAlignment="1">
      <alignment horizontal="center" vertical="top"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4" fontId="63" fillId="2"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1"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8" xfId="0" applyNumberFormat="1" applyFont="1" applyBorder="1" applyAlignment="1">
      <alignment horizontal="center" vertical="center"/>
    </xf>
    <xf numFmtId="3" fontId="9" fillId="0" borderId="4" xfId="0" applyNumberFormat="1" applyFont="1" applyBorder="1" applyAlignment="1">
      <alignment horizontal="center" vertical="center"/>
    </xf>
    <xf numFmtId="0" fontId="9" fillId="0" borderId="2"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4" xfId="0" applyFont="1" applyBorder="1" applyAlignment="1">
      <alignment horizontal="center" vertical="center" wrapText="1"/>
    </xf>
    <xf numFmtId="3" fontId="63" fillId="2" borderId="2" xfId="0" applyNumberFormat="1" applyFont="1" applyFill="1" applyBorder="1" applyAlignment="1">
      <alignment horizontal="center" vertical="center" wrapText="1"/>
    </xf>
    <xf numFmtId="3" fontId="63" fillId="2" borderId="8" xfId="0" applyNumberFormat="1" applyFont="1" applyFill="1" applyBorder="1" applyAlignment="1">
      <alignment horizontal="center" vertical="center" wrapText="1"/>
    </xf>
    <xf numFmtId="3" fontId="63" fillId="2" borderId="4" xfId="0" applyNumberFormat="1"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63" fillId="2" borderId="2" xfId="0" applyFont="1" applyFill="1" applyBorder="1" applyAlignment="1">
      <alignment horizontal="center" vertical="center" wrapText="1"/>
    </xf>
    <xf numFmtId="3" fontId="63" fillId="2" borderId="11" xfId="0" applyNumberFormat="1" applyFont="1" applyFill="1" applyBorder="1" applyAlignment="1">
      <alignment horizontal="center" vertical="center" wrapText="1"/>
    </xf>
    <xf numFmtId="0" fontId="63" fillId="2" borderId="4" xfId="0" applyFont="1" applyFill="1" applyBorder="1" applyAlignment="1">
      <alignment horizontal="center" vertical="center" wrapText="1"/>
    </xf>
    <xf numFmtId="3" fontId="63" fillId="0" borderId="2" xfId="0" applyNumberFormat="1" applyFont="1" applyBorder="1" applyAlignment="1">
      <alignment horizontal="center" vertical="center" wrapText="1"/>
    </xf>
    <xf numFmtId="3" fontId="63" fillId="0" borderId="8" xfId="0" applyNumberFormat="1" applyFont="1" applyBorder="1" applyAlignment="1">
      <alignment horizontal="center" vertical="center" wrapText="1"/>
    </xf>
    <xf numFmtId="3" fontId="63" fillId="0" borderId="1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63" fillId="2" borderId="35" xfId="0" applyFont="1" applyFill="1" applyBorder="1" applyAlignment="1">
      <alignment horizontal="left" vertical="center" wrapText="1"/>
    </xf>
    <xf numFmtId="3" fontId="63" fillId="2" borderId="7"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3" fontId="63" fillId="0" borderId="1" xfId="0" applyNumberFormat="1" applyFont="1" applyBorder="1" applyAlignment="1">
      <alignment horizontal="center" vertical="center" wrapText="1"/>
    </xf>
    <xf numFmtId="1" fontId="63" fillId="2" borderId="2" xfId="0" applyNumberFormat="1" applyFont="1" applyFill="1" applyBorder="1" applyAlignment="1">
      <alignment horizontal="center" vertical="center" wrapText="1"/>
    </xf>
    <xf numFmtId="1" fontId="63" fillId="2" borderId="11" xfId="0" applyNumberFormat="1" applyFont="1" applyFill="1" applyBorder="1" applyAlignment="1">
      <alignment horizontal="center" vertical="center" wrapText="1"/>
    </xf>
    <xf numFmtId="4" fontId="63" fillId="2" borderId="2" xfId="0" applyNumberFormat="1" applyFont="1" applyFill="1" applyBorder="1" applyAlignment="1">
      <alignment horizontal="center" vertical="center" wrapText="1"/>
    </xf>
    <xf numFmtId="4" fontId="63" fillId="2" borderId="11"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7" fillId="2" borderId="0" xfId="0" applyFont="1" applyFill="1" applyAlignment="1">
      <alignment horizontal="left" vertical="center" wrapText="1"/>
    </xf>
    <xf numFmtId="0" fontId="18" fillId="0" borderId="0" xfId="0" applyFont="1" applyAlignment="1">
      <alignment horizontal="left" vertical="top"/>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166" fontId="17" fillId="0" borderId="7" xfId="0" applyNumberFormat="1" applyFont="1" applyBorder="1" applyAlignment="1">
      <alignment horizontal="center" vertical="center" wrapText="1"/>
    </xf>
    <xf numFmtId="166" fontId="17"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top" wrapText="1"/>
    </xf>
    <xf numFmtId="0" fontId="17" fillId="0" borderId="10" xfId="0" applyFont="1" applyBorder="1" applyAlignment="1">
      <alignment horizontal="center" vertical="top"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6" xfId="0" applyFont="1" applyBorder="1" applyAlignment="1">
      <alignment horizontal="center" vertical="top"/>
    </xf>
    <xf numFmtId="0" fontId="17" fillId="0" borderId="10" xfId="0" applyFont="1" applyBorder="1" applyAlignment="1">
      <alignment horizontal="center" vertical="top"/>
    </xf>
    <xf numFmtId="0" fontId="4" fillId="0" borderId="8" xfId="0" applyFont="1" applyBorder="1" applyAlignment="1">
      <alignment horizontal="center" vertical="center" wrapText="1"/>
    </xf>
    <xf numFmtId="3" fontId="9" fillId="0" borderId="1" xfId="0" applyNumberFormat="1" applyFont="1" applyBorder="1" applyAlignment="1">
      <alignment horizontal="center" vertical="center" wrapText="1"/>
    </xf>
    <xf numFmtId="166" fontId="26" fillId="0" borderId="2" xfId="0" applyNumberFormat="1" applyFont="1" applyBorder="1" applyAlignment="1">
      <alignment horizontal="center" vertical="center"/>
    </xf>
    <xf numFmtId="166" fontId="26" fillId="0" borderId="8" xfId="0" applyNumberFormat="1" applyFont="1" applyBorder="1" applyAlignment="1">
      <alignment horizontal="center" vertical="center"/>
    </xf>
    <xf numFmtId="166" fontId="26" fillId="0" borderId="11" xfId="0" applyNumberFormat="1"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166" fontId="26" fillId="0" borderId="6" xfId="0" applyNumberFormat="1" applyFont="1" applyBorder="1" applyAlignment="1">
      <alignment horizontal="center" vertical="center" wrapText="1"/>
    </xf>
    <xf numFmtId="166" fontId="26" fillId="0" borderId="1" xfId="0" applyNumberFormat="1" applyFont="1" applyBorder="1" applyAlignment="1">
      <alignment horizontal="center" vertical="center" wrapText="1"/>
    </xf>
    <xf numFmtId="0" fontId="26" fillId="0" borderId="6" xfId="0" applyFont="1" applyBorder="1" applyAlignment="1">
      <alignment horizontal="left" vertical="center" wrapText="1"/>
    </xf>
    <xf numFmtId="0" fontId="26" fillId="0" borderId="1" xfId="0" applyFont="1" applyBorder="1" applyAlignment="1">
      <alignment horizontal="left" vertical="center" wrapText="1"/>
    </xf>
    <xf numFmtId="166" fontId="26" fillId="0" borderId="2" xfId="0" applyNumberFormat="1" applyFont="1" applyBorder="1" applyAlignment="1">
      <alignment horizontal="center" vertical="center" wrapText="1"/>
    </xf>
    <xf numFmtId="166" fontId="26" fillId="0" borderId="8" xfId="0" applyNumberFormat="1" applyFont="1" applyBorder="1" applyAlignment="1">
      <alignment horizontal="center" vertical="center" wrapText="1"/>
    </xf>
    <xf numFmtId="166" fontId="26" fillId="0" borderId="11" xfId="0" applyNumberFormat="1" applyFont="1" applyBorder="1" applyAlignment="1">
      <alignment horizontal="center" vertical="center" wrapText="1"/>
    </xf>
    <xf numFmtId="0" fontId="32" fillId="3" borderId="2" xfId="0" applyFont="1" applyFill="1" applyBorder="1" applyAlignment="1">
      <alignment vertical="top" wrapText="1"/>
    </xf>
    <xf numFmtId="0" fontId="32" fillId="3" borderId="11" xfId="0" applyFont="1" applyFill="1" applyBorder="1" applyAlignment="1">
      <alignment vertical="top" wrapText="1"/>
    </xf>
    <xf numFmtId="0" fontId="26" fillId="0" borderId="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 xfId="0" applyFont="1" applyBorder="1" applyAlignment="1">
      <alignment vertical="center" wrapText="1"/>
    </xf>
    <xf numFmtId="0" fontId="26" fillId="0" borderId="11" xfId="0" applyFont="1" applyBorder="1" applyAlignment="1">
      <alignment vertical="center" wrapText="1"/>
    </xf>
    <xf numFmtId="166" fontId="32" fillId="0" borderId="2" xfId="0" applyNumberFormat="1" applyFont="1" applyBorder="1" applyAlignment="1">
      <alignment horizontal="center" vertical="center" wrapText="1"/>
    </xf>
    <xf numFmtId="166" fontId="32" fillId="0" borderId="1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11" xfId="0"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1" xfId="0" applyNumberFormat="1" applyFont="1" applyBorder="1" applyAlignment="1">
      <alignment horizontal="center" vertical="center" wrapText="1"/>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166" fontId="32" fillId="0" borderId="8" xfId="0" applyNumberFormat="1" applyFont="1" applyBorder="1" applyAlignment="1">
      <alignment horizontal="center" vertical="center" wrapText="1"/>
    </xf>
    <xf numFmtId="0" fontId="19" fillId="0" borderId="2" xfId="0" applyFont="1" applyBorder="1" applyAlignment="1">
      <alignment horizontal="left" vertical="top" wrapText="1"/>
    </xf>
    <xf numFmtId="0" fontId="19" fillId="0" borderId="8" xfId="0" applyFont="1" applyBorder="1" applyAlignment="1">
      <alignment horizontal="left" vertical="top" wrapText="1"/>
    </xf>
    <xf numFmtId="0" fontId="19" fillId="0" borderId="11" xfId="0" applyFont="1" applyBorder="1" applyAlignment="1">
      <alignment horizontal="left" vertical="top" wrapText="1"/>
    </xf>
    <xf numFmtId="0" fontId="26" fillId="3" borderId="2" xfId="0" applyFont="1" applyFill="1" applyBorder="1" applyAlignment="1">
      <alignment horizontal="left" vertical="top" wrapText="1"/>
    </xf>
    <xf numFmtId="0" fontId="26" fillId="3" borderId="8" xfId="0" applyFont="1" applyFill="1" applyBorder="1" applyAlignment="1">
      <alignment horizontal="left" vertical="top" wrapText="1"/>
    </xf>
    <xf numFmtId="0" fontId="19" fillId="3" borderId="11" xfId="0" applyFont="1" applyFill="1" applyBorder="1" applyAlignment="1">
      <alignment horizontal="left" vertical="top" wrapText="1"/>
    </xf>
    <xf numFmtId="166" fontId="26" fillId="0" borderId="7" xfId="0" applyNumberFormat="1"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11" xfId="0" applyFont="1" applyBorder="1" applyAlignment="1">
      <alignment horizontal="left" vertical="center" wrapText="1"/>
    </xf>
    <xf numFmtId="0" fontId="26" fillId="0" borderId="1" xfId="0" applyFont="1" applyBorder="1" applyAlignment="1">
      <alignment horizontal="center" vertical="center" wrapText="1"/>
    </xf>
    <xf numFmtId="166"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166" fontId="26" fillId="0" borderId="4"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4" fontId="19" fillId="0" borderId="4"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1" xfId="0" applyFont="1" applyBorder="1" applyAlignment="1">
      <alignment horizontal="center" vertical="center" wrapText="1"/>
    </xf>
    <xf numFmtId="4" fontId="26" fillId="0" borderId="2" xfId="0" applyNumberFormat="1" applyFont="1" applyBorder="1" applyAlignment="1">
      <alignment horizontal="center" vertical="center" wrapText="1"/>
    </xf>
    <xf numFmtId="4" fontId="26" fillId="0" borderId="8" xfId="0" applyNumberFormat="1" applyFont="1" applyBorder="1" applyAlignment="1">
      <alignment horizontal="center" vertical="center" wrapText="1"/>
    </xf>
    <xf numFmtId="4" fontId="26" fillId="0" borderId="11" xfId="0" applyNumberFormat="1" applyFont="1" applyBorder="1" applyAlignment="1">
      <alignment horizontal="center" vertical="center" wrapTex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wrapText="1"/>
    </xf>
    <xf numFmtId="0" fontId="25" fillId="0" borderId="22" xfId="0" applyFont="1" applyBorder="1" applyAlignment="1">
      <alignment horizontal="center" vertical="center" wrapText="1"/>
    </xf>
    <xf numFmtId="0" fontId="62" fillId="0" borderId="0" xfId="0" applyFont="1" applyAlignment="1">
      <alignment horizontal="left"/>
    </xf>
    <xf numFmtId="0" fontId="25" fillId="0" borderId="5" xfId="0" applyFont="1" applyBorder="1" applyAlignment="1">
      <alignment horizontal="center" vertical="center" wrapText="1"/>
    </xf>
    <xf numFmtId="0" fontId="25" fillId="0" borderId="13" xfId="0" applyFont="1" applyBorder="1" applyAlignment="1">
      <alignment horizontal="center" vertical="center" wrapText="1"/>
    </xf>
    <xf numFmtId="166" fontId="25" fillId="0" borderId="7" xfId="0" applyNumberFormat="1" applyFont="1" applyBorder="1" applyAlignment="1">
      <alignment horizontal="center" vertical="center" wrapText="1"/>
    </xf>
    <xf numFmtId="166" fontId="25" fillId="0" borderId="8"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 xfId="0" applyFont="1" applyBorder="1" applyAlignment="1">
      <alignment horizontal="center" vertical="center"/>
    </xf>
    <xf numFmtId="0" fontId="37"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166" fontId="19"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19" fillId="0" borderId="1" xfId="0" applyFont="1" applyBorder="1" applyAlignment="1">
      <alignment horizontal="left" vertical="top" wrapText="1"/>
    </xf>
    <xf numFmtId="0" fontId="26" fillId="0" borderId="2" xfId="0" applyFont="1" applyBorder="1" applyAlignment="1">
      <alignment horizontal="left" vertical="top" wrapText="1"/>
    </xf>
    <xf numFmtId="0" fontId="28" fillId="0" borderId="1" xfId="0" applyFont="1" applyBorder="1" applyAlignment="1">
      <alignment horizontal="center" vertical="center" wrapText="1"/>
    </xf>
    <xf numFmtId="0" fontId="26" fillId="0" borderId="1" xfId="0" applyFont="1" applyBorder="1" applyAlignment="1">
      <alignment vertical="center" wrapText="1"/>
    </xf>
    <xf numFmtId="0" fontId="19" fillId="0" borderId="1" xfId="0" applyFont="1" applyBorder="1" applyAlignment="1">
      <alignment vertical="center" wrapText="1"/>
    </xf>
    <xf numFmtId="166"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166" fontId="28" fillId="0" borderId="1"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0" fontId="32" fillId="0" borderId="1" xfId="0" applyFont="1" applyBorder="1" applyAlignment="1">
      <alignment vertical="top" wrapText="1"/>
    </xf>
    <xf numFmtId="4" fontId="26" fillId="0" borderId="11" xfId="0" applyNumberFormat="1" applyFont="1" applyBorder="1" applyAlignment="1">
      <alignment horizontal="center" vertical="center"/>
    </xf>
    <xf numFmtId="0" fontId="26" fillId="0" borderId="2" xfId="0" applyFont="1" applyBorder="1" applyAlignment="1">
      <alignment horizontal="center" vertical="center"/>
    </xf>
    <xf numFmtId="0" fontId="24" fillId="0" borderId="0" xfId="0" applyFont="1" applyAlignment="1">
      <alignment horizontal="left" wrapText="1"/>
    </xf>
    <xf numFmtId="166" fontId="17" fillId="0" borderId="6" xfId="0" applyNumberFormat="1" applyFont="1" applyBorder="1" applyAlignment="1">
      <alignment horizontal="center" vertical="center" wrapText="1"/>
    </xf>
    <xf numFmtId="166" fontId="17" fillId="0" borderId="10" xfId="0" applyNumberFormat="1"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166" fontId="0" fillId="0" borderId="11" xfId="0" applyNumberFormat="1" applyBorder="1" applyAlignment="1">
      <alignment horizontal="center" vertical="center" wrapText="1"/>
    </xf>
    <xf numFmtId="166" fontId="0" fillId="0" borderId="1" xfId="0" applyNumberFormat="1"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4" fontId="0" fillId="0" borderId="11"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11" xfId="0" applyNumberFormat="1" applyBorder="1" applyAlignment="1">
      <alignment horizontal="center" vertical="center"/>
    </xf>
    <xf numFmtId="4" fontId="0" fillId="0" borderId="1" xfId="0" applyNumberFormat="1" applyBorder="1" applyAlignment="1">
      <alignment horizontal="center" vertical="center"/>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4" xfId="0" applyNumberFormat="1" applyBorder="1" applyAlignment="1">
      <alignment horizontal="center" vertical="center" wrapText="1"/>
    </xf>
    <xf numFmtId="0" fontId="17"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xf>
    <xf numFmtId="0" fontId="25" fillId="0" borderId="23" xfId="0" applyFont="1" applyBorder="1" applyAlignment="1">
      <alignment horizontal="center" vertical="center" wrapText="1"/>
    </xf>
    <xf numFmtId="0" fontId="25" fillId="0" borderId="21" xfId="0" applyFont="1" applyBorder="1" applyAlignment="1">
      <alignment horizontal="center" vertical="center" wrapText="1"/>
    </xf>
    <xf numFmtId="166" fontId="0" fillId="0" borderId="8" xfId="0" applyNumberFormat="1" applyBorder="1" applyAlignment="1">
      <alignment horizontal="center" vertical="center" wrapText="1"/>
    </xf>
    <xf numFmtId="0" fontId="15"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8" xfId="0" applyBorder="1" applyAlignment="1">
      <alignment horizontal="center" vertical="center" wrapText="1"/>
    </xf>
    <xf numFmtId="166" fontId="0" fillId="0" borderId="2" xfId="0" applyNumberFormat="1" applyBorder="1" applyAlignment="1">
      <alignment horizontal="center" vertical="center" wrapText="1"/>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22" xfId="0" applyFont="1" applyBorder="1" applyAlignment="1">
      <alignment horizontal="center" vertical="center" wrapText="1"/>
    </xf>
    <xf numFmtId="0" fontId="30"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1" xfId="0" applyFont="1" applyBorder="1" applyAlignment="1">
      <alignment horizontal="center" vertical="center" wrapText="1"/>
    </xf>
    <xf numFmtId="0" fontId="0" fillId="0" borderId="2" xfId="0" applyBorder="1" applyAlignment="1">
      <alignment horizontal="center" vertical="center" wrapText="1"/>
    </xf>
    <xf numFmtId="4" fontId="28" fillId="0" borderId="2" xfId="0" applyNumberFormat="1" applyFont="1" applyBorder="1" applyAlignment="1">
      <alignment horizontal="center" vertical="center" wrapText="1"/>
    </xf>
    <xf numFmtId="4" fontId="28" fillId="0" borderId="8" xfId="0" applyNumberFormat="1" applyFont="1" applyBorder="1" applyAlignment="1">
      <alignment horizontal="center" vertical="center" wrapText="1"/>
    </xf>
    <xf numFmtId="4" fontId="28" fillId="0" borderId="11" xfId="0" applyNumberFormat="1" applyFont="1" applyBorder="1" applyAlignment="1">
      <alignment horizontal="center" vertical="center" wrapText="1"/>
    </xf>
    <xf numFmtId="0" fontId="19" fillId="0" borderId="8" xfId="0" applyFont="1" applyBorder="1" applyAlignment="1">
      <alignment vertical="top" wrapText="1"/>
    </xf>
    <xf numFmtId="0" fontId="19" fillId="0" borderId="11" xfId="0" applyFont="1" applyBorder="1" applyAlignment="1">
      <alignment vertical="top" wrapText="1"/>
    </xf>
    <xf numFmtId="0" fontId="28" fillId="0" borderId="2" xfId="0" applyFont="1" applyBorder="1" applyAlignment="1">
      <alignment horizontal="center" vertical="center" wrapText="1"/>
    </xf>
    <xf numFmtId="4" fontId="19" fillId="0" borderId="11" xfId="0" applyNumberFormat="1" applyFont="1" applyBorder="1" applyAlignment="1">
      <alignment horizontal="center" vertical="center" wrapText="1"/>
    </xf>
    <xf numFmtId="0" fontId="19" fillId="0" borderId="2" xfId="0" applyFont="1" applyBorder="1" applyAlignment="1">
      <alignment vertical="top" wrapText="1"/>
    </xf>
    <xf numFmtId="0" fontId="30"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11" xfId="0" applyFont="1" applyBorder="1" applyAlignment="1">
      <alignment horizontal="center" vertical="center" wrapText="1"/>
    </xf>
    <xf numFmtId="0" fontId="28" fillId="0" borderId="2" xfId="0" applyFont="1" applyBorder="1" applyAlignment="1">
      <alignment horizontal="center" vertical="center"/>
    </xf>
    <xf numFmtId="0" fontId="28" fillId="0" borderId="11" xfId="0" applyFont="1" applyBorder="1" applyAlignment="1">
      <alignment horizontal="center" vertical="center"/>
    </xf>
    <xf numFmtId="166" fontId="22" fillId="0" borderId="7"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2" fillId="0" borderId="11"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166" fontId="0" fillId="0" borderId="7" xfId="0" applyNumberFormat="1" applyBorder="1" applyAlignment="1">
      <alignment horizontal="center" vertical="center" wrapText="1"/>
    </xf>
    <xf numFmtId="4" fontId="0" fillId="0" borderId="7" xfId="0" applyNumberFormat="1" applyBorder="1" applyAlignment="1">
      <alignment horizontal="center" vertical="center" wrapText="1"/>
    </xf>
    <xf numFmtId="4" fontId="22" fillId="0" borderId="7"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xf>
    <xf numFmtId="0" fontId="19" fillId="0" borderId="11" xfId="0" applyFont="1" applyBorder="1" applyAlignment="1">
      <alignment horizontal="left" vertical="top"/>
    </xf>
    <xf numFmtId="0" fontId="28" fillId="0" borderId="4" xfId="0" applyFont="1" applyBorder="1" applyAlignment="1">
      <alignment horizontal="center" vertical="center" wrapText="1"/>
    </xf>
    <xf numFmtId="0" fontId="19" fillId="0" borderId="4" xfId="0" applyFont="1" applyBorder="1" applyAlignment="1">
      <alignment vertical="top" wrapText="1"/>
    </xf>
    <xf numFmtId="166" fontId="0" fillId="0" borderId="4" xfId="0" applyNumberFormat="1" applyBorder="1" applyAlignment="1">
      <alignment horizontal="center" vertical="center" wrapText="1"/>
    </xf>
    <xf numFmtId="0" fontId="0" fillId="0" borderId="4" xfId="0" applyBorder="1" applyAlignment="1">
      <alignment horizontal="center" vertical="center" wrapText="1"/>
    </xf>
    <xf numFmtId="166" fontId="22"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4" fontId="22" fillId="0" borderId="2" xfId="0" applyNumberFormat="1" applyFont="1" applyBorder="1" applyAlignment="1">
      <alignment horizontal="center" vertical="center"/>
    </xf>
    <xf numFmtId="166" fontId="28" fillId="0" borderId="2" xfId="0" applyNumberFormat="1" applyFont="1" applyBorder="1" applyAlignment="1">
      <alignment horizontal="center" vertical="center" wrapText="1"/>
    </xf>
    <xf numFmtId="166" fontId="28" fillId="0" borderId="8" xfId="0" applyNumberFormat="1" applyFont="1" applyBorder="1" applyAlignment="1">
      <alignment horizontal="center" vertical="center" wrapText="1"/>
    </xf>
    <xf numFmtId="166" fontId="28" fillId="0" borderId="11" xfId="0" applyNumberFormat="1" applyFont="1" applyBorder="1" applyAlignment="1">
      <alignment horizontal="center" vertical="center" wrapText="1"/>
    </xf>
    <xf numFmtId="166" fontId="19" fillId="0" borderId="2" xfId="0" applyNumberFormat="1" applyFont="1" applyBorder="1" applyAlignment="1">
      <alignment horizontal="center" vertical="center" wrapText="1"/>
    </xf>
    <xf numFmtId="166" fontId="19" fillId="0" borderId="8"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0" fontId="26" fillId="0" borderId="11" xfId="0" applyFont="1" applyBorder="1" applyAlignment="1">
      <alignment horizontal="center" vertical="center"/>
    </xf>
    <xf numFmtId="0" fontId="0" fillId="2" borderId="0" xfId="0" applyFill="1" applyAlignment="1">
      <alignment horizontal="center" vertical="top" wrapText="1"/>
    </xf>
    <xf numFmtId="4" fontId="0" fillId="0" borderId="0" xfId="0" applyNumberFormat="1" applyAlignment="1">
      <alignment horizontal="center" vertical="center"/>
    </xf>
    <xf numFmtId="0" fontId="0" fillId="0" borderId="0" xfId="0" applyAlignment="1">
      <alignment horizontal="center" vertical="center"/>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7" fillId="0" borderId="23"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xf>
    <xf numFmtId="0" fontId="27" fillId="0" borderId="22" xfId="0" applyFont="1" applyBorder="1" applyAlignment="1">
      <alignment horizontal="center" vertical="center"/>
    </xf>
    <xf numFmtId="0" fontId="27" fillId="0" borderId="27" xfId="0" applyFont="1" applyBorder="1" applyAlignment="1">
      <alignment horizontal="center" vertical="center" wrapText="1"/>
    </xf>
    <xf numFmtId="0" fontId="49"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9" xfId="0" applyFont="1" applyBorder="1" applyAlignment="1">
      <alignment horizontal="center" vertical="center" wrapText="1"/>
    </xf>
    <xf numFmtId="4" fontId="19" fillId="0" borderId="7" xfId="0" applyNumberFormat="1" applyFont="1" applyBorder="1" applyAlignment="1">
      <alignment horizontal="center" vertical="center" wrapText="1"/>
    </xf>
    <xf numFmtId="0" fontId="19" fillId="2" borderId="7" xfId="0" applyFont="1" applyFill="1" applyBorder="1" applyAlignment="1">
      <alignment horizontal="left" vertical="center" wrapText="1"/>
    </xf>
    <xf numFmtId="166" fontId="19" fillId="0" borderId="7" xfId="0" applyNumberFormat="1" applyFont="1" applyBorder="1" applyAlignment="1">
      <alignment horizontal="center" vertical="center" wrapText="1"/>
    </xf>
    <xf numFmtId="166" fontId="19" fillId="0" borderId="7" xfId="0" applyNumberFormat="1" applyFont="1" applyBorder="1" applyAlignment="1">
      <alignment horizontal="center" vertical="center"/>
    </xf>
    <xf numFmtId="0" fontId="19" fillId="0" borderId="4" xfId="0" applyFont="1" applyBorder="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19" fillId="0" borderId="20" xfId="0" applyFont="1" applyBorder="1" applyAlignment="1">
      <alignment horizontal="center" vertical="center" wrapText="1"/>
    </xf>
    <xf numFmtId="0" fontId="28" fillId="2" borderId="6" xfId="0" applyFont="1" applyFill="1" applyBorder="1" applyAlignment="1">
      <alignment horizontal="left" vertical="center" wrapText="1"/>
    </xf>
    <xf numFmtId="0" fontId="28" fillId="2" borderId="10" xfId="0" applyFont="1" applyFill="1" applyBorder="1" applyAlignment="1">
      <alignment horizontal="left" vertical="center" wrapText="1"/>
    </xf>
    <xf numFmtId="166" fontId="28" fillId="0" borderId="6" xfId="0" applyNumberFormat="1" applyFont="1" applyBorder="1" applyAlignment="1">
      <alignment horizontal="center" vertical="center" wrapText="1"/>
    </xf>
    <xf numFmtId="166" fontId="28" fillId="0" borderId="10" xfId="0" applyNumberFormat="1" applyFont="1" applyBorder="1" applyAlignment="1">
      <alignment horizontal="center" vertical="center" wrapText="1"/>
    </xf>
    <xf numFmtId="166" fontId="28" fillId="0" borderId="6" xfId="0" applyNumberFormat="1" applyFont="1" applyBorder="1" applyAlignment="1">
      <alignment horizontal="center" vertical="center"/>
    </xf>
    <xf numFmtId="166" fontId="28" fillId="0" borderId="10" xfId="0" applyNumberFormat="1" applyFont="1" applyBorder="1" applyAlignment="1">
      <alignment horizontal="center" vertical="center"/>
    </xf>
    <xf numFmtId="166" fontId="19" fillId="0" borderId="4" xfId="0" applyNumberFormat="1" applyFont="1" applyBorder="1" applyAlignment="1">
      <alignment horizontal="center" vertical="center" wrapText="1"/>
    </xf>
    <xf numFmtId="166" fontId="19" fillId="0" borderId="8" xfId="0" applyNumberFormat="1" applyFont="1" applyBorder="1" applyAlignment="1">
      <alignment horizontal="center" vertical="center"/>
    </xf>
  </cellXfs>
  <cellStyles count="4">
    <cellStyle name="Įprastas" xfId="0" builtinId="0"/>
    <cellStyle name="Kablelis" xfId="1" builtinId="3"/>
    <cellStyle name="Kablelis [0]" xfId="2" builtinId="6"/>
    <cellStyle name="Procentai"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3635-046B-42EA-9E34-BF298607BC0A}">
  <dimension ref="A1:DB272"/>
  <sheetViews>
    <sheetView tabSelected="1" zoomScale="60" zoomScaleNormal="60" workbookViewId="0">
      <selection activeCell="E38" sqref="E38:E40"/>
    </sheetView>
  </sheetViews>
  <sheetFormatPr defaultColWidth="9.109375" defaultRowHeight="14.4" x14ac:dyDescent="0.3"/>
  <cols>
    <col min="1" max="1" width="21.33203125" style="207" customWidth="1"/>
    <col min="2" max="2" width="21.5546875" style="209" customWidth="1"/>
    <col min="3" max="3" width="14.88671875" style="207" customWidth="1"/>
    <col min="4" max="4" width="22.88671875" style="209" customWidth="1"/>
    <col min="5" max="5" width="22.88671875" style="208" customWidth="1"/>
    <col min="6" max="6" width="11.33203125" style="207" customWidth="1"/>
    <col min="7" max="8" width="19" style="207" customWidth="1"/>
    <col min="9" max="9" width="20.109375" style="207" customWidth="1"/>
    <col min="10" max="10" width="17.88671875" style="207" customWidth="1"/>
    <col min="11" max="11" width="19.44140625" style="207" customWidth="1"/>
    <col min="12" max="12" width="29.6640625" style="207" customWidth="1"/>
    <col min="13" max="13" width="17.33203125" style="207" customWidth="1"/>
    <col min="14" max="14" width="12.44140625" style="207" customWidth="1"/>
    <col min="15" max="15" width="22.33203125" style="278" customWidth="1"/>
    <col min="16" max="16" width="22.33203125" style="208" customWidth="1"/>
    <col min="17" max="17" width="19.5546875" style="207" customWidth="1"/>
    <col min="18" max="18" width="102.44140625" style="207" customWidth="1"/>
    <col min="19" max="19" width="110.44140625" style="207" customWidth="1"/>
    <col min="20" max="21" width="99.33203125" style="207" customWidth="1"/>
    <col min="22" max="22" width="45.33203125" style="207" customWidth="1"/>
    <col min="23" max="23" width="26.6640625" style="207" customWidth="1"/>
    <col min="24" max="28" width="9.109375" style="207"/>
    <col min="29" max="85" width="9.109375" style="369"/>
    <col min="86" max="16384" width="9.109375" style="207"/>
  </cols>
  <sheetData>
    <row r="1" spans="1:106" x14ac:dyDescent="0.3">
      <c r="A1" s="272" t="s">
        <v>333</v>
      </c>
      <c r="O1" s="207"/>
    </row>
    <row r="2" spans="1:106" ht="18" customHeight="1" x14ac:dyDescent="0.3">
      <c r="A2" s="566" t="s">
        <v>375</v>
      </c>
      <c r="B2" s="566"/>
      <c r="C2" s="566"/>
      <c r="D2" s="566"/>
      <c r="E2" s="566"/>
      <c r="F2" s="566"/>
      <c r="G2" s="566"/>
      <c r="O2" s="207"/>
    </row>
    <row r="3" spans="1:106" ht="15" thickBot="1" x14ac:dyDescent="0.35">
      <c r="A3" s="207" t="s">
        <v>246</v>
      </c>
      <c r="O3" s="207"/>
      <c r="R3" s="210"/>
    </row>
    <row r="4" spans="1:106" s="309" customFormat="1" ht="32.25" customHeight="1" x14ac:dyDescent="0.3">
      <c r="A4" s="567" t="s">
        <v>235</v>
      </c>
      <c r="B4" s="569" t="s">
        <v>48</v>
      </c>
      <c r="C4" s="569" t="s">
        <v>247</v>
      </c>
      <c r="D4" s="571" t="s">
        <v>2</v>
      </c>
      <c r="E4" s="572"/>
      <c r="F4" s="572"/>
      <c r="G4" s="571" t="s">
        <v>20</v>
      </c>
      <c r="H4" s="580" t="s">
        <v>111</v>
      </c>
      <c r="I4" s="580"/>
      <c r="J4" s="574" t="s">
        <v>181</v>
      </c>
      <c r="K4" s="580" t="s">
        <v>115</v>
      </c>
      <c r="L4" s="574" t="s">
        <v>182</v>
      </c>
      <c r="M4" s="574" t="s">
        <v>140</v>
      </c>
      <c r="N4" s="574"/>
      <c r="O4" s="574" t="s">
        <v>248</v>
      </c>
      <c r="P4" s="574" t="s">
        <v>123</v>
      </c>
      <c r="Q4" s="576" t="s">
        <v>122</v>
      </c>
      <c r="R4" s="578" t="s">
        <v>61</v>
      </c>
      <c r="S4" s="484" t="s">
        <v>381</v>
      </c>
      <c r="T4" s="484" t="s">
        <v>382</v>
      </c>
      <c r="U4" s="496" t="s">
        <v>405</v>
      </c>
      <c r="V4" s="481" t="s">
        <v>424</v>
      </c>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6"/>
      <c r="CA4" s="436"/>
      <c r="CB4" s="436"/>
      <c r="CC4" s="436"/>
      <c r="CD4" s="436"/>
      <c r="CE4" s="436"/>
      <c r="CF4" s="436"/>
      <c r="CG4" s="436"/>
    </row>
    <row r="5" spans="1:106" s="309" customFormat="1" ht="54.75" customHeight="1" thickBot="1" x14ac:dyDescent="0.35">
      <c r="A5" s="568"/>
      <c r="B5" s="570"/>
      <c r="C5" s="570"/>
      <c r="D5" s="75" t="s">
        <v>10</v>
      </c>
      <c r="E5" s="211" t="s">
        <v>49</v>
      </c>
      <c r="F5" s="212" t="s">
        <v>275</v>
      </c>
      <c r="G5" s="573"/>
      <c r="H5" s="75" t="s">
        <v>249</v>
      </c>
      <c r="I5" s="75" t="s">
        <v>250</v>
      </c>
      <c r="J5" s="575"/>
      <c r="K5" s="581"/>
      <c r="L5" s="575"/>
      <c r="M5" s="198" t="s">
        <v>126</v>
      </c>
      <c r="N5" s="198" t="s">
        <v>125</v>
      </c>
      <c r="O5" s="575"/>
      <c r="P5" s="575"/>
      <c r="Q5" s="577"/>
      <c r="R5" s="579"/>
      <c r="S5" s="485"/>
      <c r="T5" s="485"/>
      <c r="U5" s="496"/>
      <c r="V5" s="481"/>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c r="BI5" s="436"/>
      <c r="BJ5" s="436"/>
      <c r="BK5" s="436"/>
      <c r="BL5" s="436"/>
      <c r="BM5" s="436"/>
      <c r="BN5" s="436"/>
      <c r="BO5" s="436"/>
      <c r="BP5" s="436"/>
      <c r="BQ5" s="436"/>
      <c r="BR5" s="436"/>
      <c r="BS5" s="436"/>
      <c r="BT5" s="436"/>
      <c r="BU5" s="436"/>
      <c r="BV5" s="436"/>
      <c r="BW5" s="436"/>
      <c r="BX5" s="436"/>
      <c r="BY5" s="436"/>
      <c r="BZ5" s="436"/>
      <c r="CA5" s="436"/>
      <c r="CB5" s="436"/>
      <c r="CC5" s="436"/>
      <c r="CD5" s="436"/>
      <c r="CE5" s="436"/>
      <c r="CF5" s="436"/>
      <c r="CG5" s="436"/>
    </row>
    <row r="6" spans="1:106" s="309" customFormat="1" ht="213.6" customHeight="1" x14ac:dyDescent="0.3">
      <c r="A6" s="582" t="s">
        <v>376</v>
      </c>
      <c r="B6" s="524">
        <f>F6</f>
        <v>45315789.526315793</v>
      </c>
      <c r="C6" s="523">
        <v>41500000</v>
      </c>
      <c r="D6" s="520" t="s">
        <v>276</v>
      </c>
      <c r="E6" s="523">
        <f>C6*0.05/0.95+1631579</f>
        <v>3815789.5263157897</v>
      </c>
      <c r="F6" s="523">
        <f>C6+E6</f>
        <v>45315789.526315793</v>
      </c>
      <c r="G6" s="523">
        <f>(C6-(C6*0.0411)+E6)</f>
        <v>43610139.526315793</v>
      </c>
      <c r="H6" s="310" t="s">
        <v>332</v>
      </c>
      <c r="I6" s="311" t="s">
        <v>316</v>
      </c>
      <c r="J6" s="525" t="s">
        <v>119</v>
      </c>
      <c r="K6" s="562" t="s">
        <v>120</v>
      </c>
      <c r="L6" s="312" t="s">
        <v>146</v>
      </c>
      <c r="M6" s="213">
        <v>0</v>
      </c>
      <c r="N6" s="213" t="s">
        <v>47</v>
      </c>
      <c r="O6" s="281">
        <v>1025</v>
      </c>
      <c r="P6" s="298">
        <v>10252</v>
      </c>
      <c r="Q6" s="305" t="s">
        <v>354</v>
      </c>
      <c r="R6" s="385" t="s">
        <v>346</v>
      </c>
      <c r="S6" s="386" t="s">
        <v>389</v>
      </c>
      <c r="T6" s="404"/>
      <c r="U6" s="412"/>
      <c r="V6" s="478" t="s">
        <v>425</v>
      </c>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c r="BD6" s="436"/>
      <c r="BE6" s="436"/>
      <c r="BF6" s="436"/>
      <c r="BG6" s="436"/>
      <c r="BH6" s="436"/>
      <c r="BI6" s="436"/>
      <c r="BJ6" s="436"/>
      <c r="BK6" s="436"/>
      <c r="BL6" s="436"/>
      <c r="BM6" s="436"/>
      <c r="BN6" s="436"/>
      <c r="BO6" s="436"/>
      <c r="BP6" s="436"/>
      <c r="BQ6" s="436"/>
      <c r="BR6" s="436"/>
      <c r="BS6" s="436"/>
      <c r="BT6" s="436"/>
      <c r="BU6" s="436"/>
      <c r="BV6" s="436"/>
      <c r="BW6" s="436"/>
      <c r="BX6" s="436"/>
      <c r="BY6" s="436"/>
      <c r="BZ6" s="436"/>
      <c r="CA6" s="436"/>
      <c r="CB6" s="436"/>
      <c r="CC6" s="436"/>
      <c r="CD6" s="436"/>
      <c r="CE6" s="436"/>
      <c r="CF6" s="436"/>
      <c r="CG6" s="436"/>
    </row>
    <row r="7" spans="1:106" s="309" customFormat="1" ht="115.5" customHeight="1" x14ac:dyDescent="0.3">
      <c r="A7" s="520"/>
      <c r="B7" s="583"/>
      <c r="C7" s="523"/>
      <c r="D7" s="520"/>
      <c r="E7" s="523"/>
      <c r="F7" s="523"/>
      <c r="G7" s="523"/>
      <c r="H7" s="313" t="s">
        <v>252</v>
      </c>
      <c r="I7" s="314" t="s">
        <v>258</v>
      </c>
      <c r="J7" s="520"/>
      <c r="K7" s="563"/>
      <c r="L7" s="315" t="s">
        <v>150</v>
      </c>
      <c r="M7" s="203">
        <v>298026</v>
      </c>
      <c r="N7" s="254">
        <v>2021</v>
      </c>
      <c r="O7" s="203" t="s">
        <v>47</v>
      </c>
      <c r="P7" s="203">
        <v>84374</v>
      </c>
      <c r="Q7" s="214" t="s">
        <v>354</v>
      </c>
      <c r="R7" s="387" t="s">
        <v>323</v>
      </c>
      <c r="S7" s="388" t="s">
        <v>390</v>
      </c>
      <c r="T7" s="405"/>
      <c r="U7" s="412"/>
      <c r="V7" s="412"/>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c r="BD7" s="436"/>
      <c r="BE7" s="436"/>
      <c r="BF7" s="436"/>
      <c r="BG7" s="436"/>
      <c r="BH7" s="436"/>
      <c r="BI7" s="436"/>
      <c r="BJ7" s="436"/>
      <c r="BK7" s="436"/>
      <c r="BL7" s="436"/>
      <c r="BM7" s="436"/>
      <c r="BN7" s="436"/>
      <c r="BO7" s="436"/>
      <c r="BP7" s="436"/>
      <c r="BQ7" s="436"/>
      <c r="BR7" s="436"/>
      <c r="BS7" s="436"/>
      <c r="BT7" s="436"/>
      <c r="BU7" s="436"/>
      <c r="BV7" s="436"/>
      <c r="BW7" s="436"/>
      <c r="BX7" s="436"/>
      <c r="BY7" s="436"/>
      <c r="BZ7" s="436"/>
      <c r="CA7" s="436"/>
      <c r="CB7" s="436"/>
      <c r="CC7" s="436"/>
      <c r="CD7" s="436"/>
      <c r="CE7" s="436"/>
      <c r="CF7" s="436"/>
      <c r="CG7" s="436"/>
    </row>
    <row r="8" spans="1:106" s="309" customFormat="1" ht="122.4" customHeight="1" x14ac:dyDescent="0.3">
      <c r="A8" s="520"/>
      <c r="B8" s="583"/>
      <c r="C8" s="524"/>
      <c r="D8" s="526"/>
      <c r="E8" s="524"/>
      <c r="F8" s="524"/>
      <c r="G8" s="524"/>
      <c r="H8" s="199" t="s">
        <v>38</v>
      </c>
      <c r="I8" s="215" t="s">
        <v>259</v>
      </c>
      <c r="J8" s="526"/>
      <c r="K8" s="564"/>
      <c r="L8" s="216" t="s">
        <v>254</v>
      </c>
      <c r="M8" s="298">
        <v>11921</v>
      </c>
      <c r="N8" s="254">
        <v>2021</v>
      </c>
      <c r="O8" s="203" t="s">
        <v>47</v>
      </c>
      <c r="P8" s="206">
        <v>675</v>
      </c>
      <c r="Q8" s="214" t="s">
        <v>354</v>
      </c>
      <c r="R8" s="389" t="s">
        <v>324</v>
      </c>
      <c r="S8" s="390" t="s">
        <v>391</v>
      </c>
      <c r="T8" s="406"/>
      <c r="U8" s="412"/>
      <c r="V8" s="412"/>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c r="BN8" s="436"/>
      <c r="BO8" s="436"/>
      <c r="BP8" s="436"/>
      <c r="BQ8" s="436"/>
      <c r="BR8" s="436"/>
      <c r="BS8" s="436"/>
      <c r="BT8" s="436"/>
      <c r="BU8" s="436"/>
      <c r="BV8" s="436"/>
      <c r="BW8" s="436"/>
      <c r="BX8" s="436"/>
      <c r="BY8" s="436"/>
      <c r="BZ8" s="436"/>
      <c r="CA8" s="436"/>
      <c r="CB8" s="436"/>
      <c r="CC8" s="436"/>
      <c r="CD8" s="436"/>
      <c r="CE8" s="436"/>
      <c r="CF8" s="436"/>
      <c r="CG8" s="436"/>
    </row>
    <row r="9" spans="1:106" s="309" customFormat="1" ht="15" customHeight="1" x14ac:dyDescent="0.3">
      <c r="A9" s="520"/>
      <c r="B9" s="530">
        <f>F9</f>
        <v>45315789.526315793</v>
      </c>
      <c r="C9" s="530">
        <v>41500000</v>
      </c>
      <c r="D9" s="538" t="s">
        <v>276</v>
      </c>
      <c r="E9" s="530">
        <f>C9*0.05/0.95+1631579</f>
        <v>3815789.5263157897</v>
      </c>
      <c r="F9" s="530">
        <f>C9+E9</f>
        <v>45315789.526315793</v>
      </c>
      <c r="G9" s="530">
        <f>C9-(C9*0.0411)+E9</f>
        <v>43610139.526315793</v>
      </c>
      <c r="H9" s="538" t="s">
        <v>332</v>
      </c>
      <c r="I9" s="538" t="s">
        <v>316</v>
      </c>
      <c r="J9" s="538" t="s">
        <v>253</v>
      </c>
      <c r="K9" s="538" t="s">
        <v>144</v>
      </c>
      <c r="L9" s="556" t="s">
        <v>146</v>
      </c>
      <c r="M9" s="557">
        <v>0</v>
      </c>
      <c r="N9" s="557" t="s">
        <v>47</v>
      </c>
      <c r="O9" s="541">
        <v>1025</v>
      </c>
      <c r="P9" s="550">
        <v>10252</v>
      </c>
      <c r="Q9" s="553" t="s">
        <v>354</v>
      </c>
      <c r="R9" s="554" t="s">
        <v>347</v>
      </c>
      <c r="S9" s="486" t="s">
        <v>392</v>
      </c>
      <c r="T9" s="489"/>
      <c r="U9" s="497"/>
      <c r="V9" s="482"/>
      <c r="AC9" s="436"/>
      <c r="AD9" s="436"/>
      <c r="AE9" s="436"/>
      <c r="AF9" s="436"/>
      <c r="AG9" s="436"/>
      <c r="AH9" s="436"/>
      <c r="AI9" s="436"/>
      <c r="AJ9" s="436"/>
      <c r="AK9" s="436"/>
      <c r="AL9" s="436"/>
      <c r="AM9" s="436"/>
      <c r="AN9" s="436"/>
      <c r="AO9" s="436"/>
      <c r="AP9" s="436"/>
      <c r="AQ9" s="436"/>
      <c r="AR9" s="436"/>
      <c r="AS9" s="436"/>
      <c r="AT9" s="436"/>
      <c r="AU9" s="436"/>
      <c r="AV9" s="436"/>
      <c r="AW9" s="436"/>
      <c r="AX9" s="436"/>
      <c r="AY9" s="436"/>
      <c r="AZ9" s="436"/>
      <c r="BA9" s="436"/>
      <c r="BB9" s="436"/>
      <c r="BC9" s="436"/>
      <c r="BD9" s="436"/>
      <c r="BE9" s="436"/>
      <c r="BF9" s="436"/>
      <c r="BG9" s="436"/>
      <c r="BH9" s="436"/>
      <c r="BI9" s="436"/>
      <c r="BJ9" s="436"/>
      <c r="BK9" s="436"/>
      <c r="BL9" s="436"/>
      <c r="BM9" s="436"/>
      <c r="BN9" s="436"/>
      <c r="BO9" s="436"/>
      <c r="BP9" s="436"/>
      <c r="BQ9" s="436"/>
      <c r="BR9" s="436"/>
      <c r="BS9" s="436"/>
      <c r="BT9" s="436"/>
      <c r="BU9" s="436"/>
      <c r="BV9" s="436"/>
      <c r="BW9" s="436"/>
      <c r="BX9" s="436"/>
      <c r="BY9" s="436"/>
      <c r="BZ9" s="436"/>
      <c r="CA9" s="436"/>
      <c r="CB9" s="436"/>
      <c r="CC9" s="436"/>
      <c r="CD9" s="436"/>
      <c r="CE9" s="436"/>
      <c r="CF9" s="436"/>
      <c r="CG9" s="436"/>
    </row>
    <row r="10" spans="1:106" s="309" customFormat="1" ht="15" customHeight="1" x14ac:dyDescent="0.3">
      <c r="A10" s="520"/>
      <c r="B10" s="523"/>
      <c r="C10" s="523"/>
      <c r="D10" s="520"/>
      <c r="E10" s="523"/>
      <c r="F10" s="523"/>
      <c r="G10" s="523"/>
      <c r="H10" s="520"/>
      <c r="I10" s="520"/>
      <c r="J10" s="520"/>
      <c r="K10" s="520"/>
      <c r="L10" s="556"/>
      <c r="M10" s="557"/>
      <c r="N10" s="557"/>
      <c r="O10" s="542"/>
      <c r="P10" s="551"/>
      <c r="Q10" s="520"/>
      <c r="R10" s="554"/>
      <c r="S10" s="487"/>
      <c r="T10" s="490"/>
      <c r="U10" s="498"/>
      <c r="V10" s="482"/>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6"/>
      <c r="AZ10" s="436"/>
      <c r="BA10" s="436"/>
      <c r="BB10" s="436"/>
      <c r="BC10" s="436"/>
      <c r="BD10" s="436"/>
      <c r="BE10" s="436"/>
      <c r="BF10" s="436"/>
      <c r="BG10" s="436"/>
      <c r="BH10" s="436"/>
      <c r="BI10" s="436"/>
      <c r="BJ10" s="436"/>
      <c r="BK10" s="436"/>
      <c r="BL10" s="436"/>
      <c r="BM10" s="436"/>
      <c r="BN10" s="436"/>
      <c r="BO10" s="436"/>
      <c r="BP10" s="436"/>
      <c r="BQ10" s="436"/>
      <c r="BR10" s="436"/>
      <c r="BS10" s="436"/>
      <c r="BT10" s="436"/>
      <c r="BU10" s="436"/>
      <c r="BV10" s="436"/>
      <c r="BW10" s="436"/>
      <c r="BX10" s="436"/>
      <c r="BY10" s="436"/>
      <c r="BZ10" s="436"/>
      <c r="CA10" s="436"/>
      <c r="CB10" s="436"/>
      <c r="CC10" s="436"/>
      <c r="CD10" s="436"/>
      <c r="CE10" s="436"/>
      <c r="CF10" s="436"/>
      <c r="CG10" s="436"/>
    </row>
    <row r="11" spans="1:106" s="309" customFormat="1" ht="186.6" customHeight="1" x14ac:dyDescent="0.3">
      <c r="A11" s="520"/>
      <c r="B11" s="523"/>
      <c r="C11" s="523"/>
      <c r="D11" s="520"/>
      <c r="E11" s="523"/>
      <c r="F11" s="523"/>
      <c r="G11" s="523"/>
      <c r="H11" s="526"/>
      <c r="I11" s="526"/>
      <c r="J11" s="520"/>
      <c r="K11" s="520"/>
      <c r="L11" s="556"/>
      <c r="M11" s="557"/>
      <c r="N11" s="557"/>
      <c r="O11" s="548"/>
      <c r="P11" s="552"/>
      <c r="Q11" s="526"/>
      <c r="R11" s="554"/>
      <c r="S11" s="488"/>
      <c r="T11" s="491"/>
      <c r="U11" s="499"/>
      <c r="V11" s="482"/>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436"/>
      <c r="BC11" s="436"/>
      <c r="BD11" s="436"/>
      <c r="BE11" s="436"/>
      <c r="BF11" s="436"/>
      <c r="BG11" s="436"/>
      <c r="BH11" s="436"/>
      <c r="BI11" s="436"/>
      <c r="BJ11" s="436"/>
      <c r="BK11" s="436"/>
      <c r="BL11" s="436"/>
      <c r="BM11" s="436"/>
      <c r="BN11" s="436"/>
      <c r="BO11" s="436"/>
      <c r="BP11" s="436"/>
      <c r="BQ11" s="436"/>
      <c r="BR11" s="436"/>
      <c r="BS11" s="436"/>
      <c r="BT11" s="436"/>
      <c r="BU11" s="436"/>
      <c r="BV11" s="436"/>
      <c r="BW11" s="436"/>
      <c r="BX11" s="436"/>
      <c r="BY11" s="436"/>
      <c r="BZ11" s="436"/>
      <c r="CA11" s="436"/>
      <c r="CB11" s="436"/>
      <c r="CC11" s="436"/>
      <c r="CD11" s="436"/>
      <c r="CE11" s="436"/>
      <c r="CF11" s="436"/>
      <c r="CG11" s="436"/>
    </row>
    <row r="12" spans="1:106" s="316" customFormat="1" ht="114" customHeight="1" thickBot="1" x14ac:dyDescent="0.35">
      <c r="A12" s="520"/>
      <c r="B12" s="523"/>
      <c r="C12" s="523"/>
      <c r="D12" s="520"/>
      <c r="E12" s="523"/>
      <c r="F12" s="523"/>
      <c r="G12" s="523"/>
      <c r="H12" s="313" t="s">
        <v>252</v>
      </c>
      <c r="I12" s="314" t="s">
        <v>258</v>
      </c>
      <c r="J12" s="520"/>
      <c r="K12" s="520"/>
      <c r="L12" s="314" t="s">
        <v>150</v>
      </c>
      <c r="M12" s="203">
        <v>298026</v>
      </c>
      <c r="N12" s="254">
        <v>2021</v>
      </c>
      <c r="O12" s="203" t="s">
        <v>47</v>
      </c>
      <c r="P12" s="203">
        <v>84374</v>
      </c>
      <c r="Q12" s="305" t="s">
        <v>354</v>
      </c>
      <c r="R12" s="387" t="s">
        <v>325</v>
      </c>
      <c r="S12" s="388" t="s">
        <v>390</v>
      </c>
      <c r="T12" s="405"/>
      <c r="U12" s="412"/>
      <c r="V12" s="412"/>
      <c r="W12" s="309"/>
      <c r="X12" s="309"/>
      <c r="Y12" s="309"/>
      <c r="Z12" s="309"/>
      <c r="AA12" s="309"/>
      <c r="AB12" s="309"/>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309"/>
      <c r="CI12" s="309"/>
      <c r="CJ12" s="309"/>
      <c r="CK12" s="309"/>
      <c r="CL12" s="309"/>
      <c r="CM12" s="309"/>
      <c r="CN12" s="309"/>
      <c r="CO12" s="309"/>
      <c r="CP12" s="309"/>
      <c r="CQ12" s="309"/>
      <c r="CR12" s="309"/>
      <c r="CS12" s="309"/>
      <c r="CT12" s="309"/>
      <c r="CU12" s="309"/>
      <c r="CV12" s="309"/>
      <c r="CW12" s="309"/>
      <c r="CX12" s="309"/>
      <c r="CY12" s="309"/>
      <c r="CZ12" s="309"/>
      <c r="DA12" s="309"/>
      <c r="DB12" s="309"/>
    </row>
    <row r="13" spans="1:106" s="309" customFormat="1" ht="110.25" customHeight="1" thickBot="1" x14ac:dyDescent="0.35">
      <c r="A13" s="521"/>
      <c r="B13" s="531"/>
      <c r="C13" s="531"/>
      <c r="D13" s="521"/>
      <c r="E13" s="531"/>
      <c r="F13" s="531"/>
      <c r="G13" s="531"/>
      <c r="H13" s="217" t="s">
        <v>38</v>
      </c>
      <c r="I13" s="218" t="s">
        <v>259</v>
      </c>
      <c r="J13" s="521"/>
      <c r="K13" s="521"/>
      <c r="L13" s="216" t="s">
        <v>254</v>
      </c>
      <c r="M13" s="298">
        <v>11921</v>
      </c>
      <c r="N13" s="254">
        <v>2021</v>
      </c>
      <c r="O13" s="203" t="s">
        <v>47</v>
      </c>
      <c r="P13" s="206">
        <v>675</v>
      </c>
      <c r="Q13" s="305" t="s">
        <v>354</v>
      </c>
      <c r="R13" s="392" t="s">
        <v>326</v>
      </c>
      <c r="S13" s="390" t="s">
        <v>391</v>
      </c>
      <c r="T13" s="406"/>
      <c r="U13" s="413"/>
      <c r="V13" s="412"/>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c r="BR13" s="436"/>
      <c r="BS13" s="436"/>
      <c r="BT13" s="436"/>
      <c r="BU13" s="436"/>
      <c r="BV13" s="436"/>
      <c r="BW13" s="436"/>
      <c r="BX13" s="436"/>
      <c r="BY13" s="436"/>
      <c r="BZ13" s="436"/>
      <c r="CA13" s="436"/>
      <c r="CB13" s="436"/>
      <c r="CC13" s="436"/>
      <c r="CD13" s="436"/>
      <c r="CE13" s="436"/>
      <c r="CF13" s="436"/>
      <c r="CG13" s="436"/>
    </row>
    <row r="14" spans="1:106" s="291" customFormat="1" ht="138.75" customHeight="1" x14ac:dyDescent="0.3">
      <c r="A14" s="527" t="s">
        <v>378</v>
      </c>
      <c r="B14" s="555">
        <f>G14</f>
        <v>31000000</v>
      </c>
      <c r="C14" s="555">
        <v>31000000</v>
      </c>
      <c r="D14" s="544" t="s">
        <v>358</v>
      </c>
      <c r="E14" s="555">
        <v>0</v>
      </c>
      <c r="F14" s="555">
        <f>C14+E14</f>
        <v>31000000</v>
      </c>
      <c r="G14" s="555">
        <f>F14</f>
        <v>31000000</v>
      </c>
      <c r="H14" s="329" t="s">
        <v>40</v>
      </c>
      <c r="I14" s="330" t="s">
        <v>261</v>
      </c>
      <c r="J14" s="544" t="s">
        <v>119</v>
      </c>
      <c r="K14" s="544" t="s">
        <v>120</v>
      </c>
      <c r="L14" s="330" t="s">
        <v>148</v>
      </c>
      <c r="M14" s="331">
        <v>0</v>
      </c>
      <c r="N14" s="331" t="s">
        <v>47</v>
      </c>
      <c r="O14" s="282">
        <v>0</v>
      </c>
      <c r="P14" s="331">
        <v>87970</v>
      </c>
      <c r="Q14" s="332" t="s">
        <v>354</v>
      </c>
      <c r="R14" s="385" t="s">
        <v>355</v>
      </c>
      <c r="S14" s="393" t="s">
        <v>393</v>
      </c>
      <c r="T14" s="407"/>
      <c r="U14" s="414"/>
      <c r="V14" s="414"/>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7"/>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c r="BV14" s="437"/>
      <c r="BW14" s="437"/>
      <c r="BX14" s="437"/>
      <c r="BY14" s="437"/>
      <c r="BZ14" s="437"/>
      <c r="CA14" s="437"/>
      <c r="CB14" s="437"/>
      <c r="CC14" s="437"/>
      <c r="CD14" s="437"/>
      <c r="CE14" s="437"/>
      <c r="CF14" s="437"/>
      <c r="CG14" s="437"/>
    </row>
    <row r="15" spans="1:106" s="291" customFormat="1" ht="37.5" customHeight="1" x14ac:dyDescent="0.3">
      <c r="A15" s="528"/>
      <c r="B15" s="542"/>
      <c r="C15" s="542"/>
      <c r="D15" s="545"/>
      <c r="E15" s="542"/>
      <c r="F15" s="542"/>
      <c r="G15" s="542"/>
      <c r="H15" s="547" t="s">
        <v>252</v>
      </c>
      <c r="I15" s="547" t="s">
        <v>257</v>
      </c>
      <c r="J15" s="545"/>
      <c r="K15" s="545"/>
      <c r="L15" s="547" t="s">
        <v>150</v>
      </c>
      <c r="M15" s="541">
        <v>19353</v>
      </c>
      <c r="N15" s="558">
        <v>2021</v>
      </c>
      <c r="O15" s="541" t="s">
        <v>47</v>
      </c>
      <c r="P15" s="541">
        <v>11611</v>
      </c>
      <c r="Q15" s="560" t="s">
        <v>354</v>
      </c>
      <c r="R15" s="554" t="s">
        <v>356</v>
      </c>
      <c r="S15" s="492" t="s">
        <v>394</v>
      </c>
      <c r="T15" s="494"/>
      <c r="U15" s="500"/>
      <c r="V15" s="483"/>
      <c r="AC15" s="437"/>
      <c r="AD15" s="437"/>
      <c r="AE15" s="437"/>
      <c r="AF15" s="437"/>
      <c r="AG15" s="437"/>
      <c r="AH15" s="437"/>
      <c r="AI15" s="437"/>
      <c r="AJ15" s="437"/>
      <c r="AK15" s="437"/>
      <c r="AL15" s="437"/>
      <c r="AM15" s="437"/>
      <c r="AN15" s="437"/>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7"/>
      <c r="BW15" s="437"/>
      <c r="BX15" s="437"/>
      <c r="BY15" s="437"/>
      <c r="BZ15" s="437"/>
      <c r="CA15" s="437"/>
      <c r="CB15" s="437"/>
      <c r="CC15" s="437"/>
      <c r="CD15" s="437"/>
      <c r="CE15" s="437"/>
      <c r="CF15" s="437"/>
      <c r="CG15" s="437"/>
    </row>
    <row r="16" spans="1:106" s="291" customFormat="1" ht="94.5" customHeight="1" x14ac:dyDescent="0.3">
      <c r="A16" s="528"/>
      <c r="B16" s="542"/>
      <c r="C16" s="542"/>
      <c r="D16" s="545"/>
      <c r="E16" s="542"/>
      <c r="F16" s="542"/>
      <c r="G16" s="542"/>
      <c r="H16" s="546"/>
      <c r="I16" s="546"/>
      <c r="J16" s="545"/>
      <c r="K16" s="545"/>
      <c r="L16" s="546"/>
      <c r="M16" s="548"/>
      <c r="N16" s="559"/>
      <c r="O16" s="548"/>
      <c r="P16" s="548"/>
      <c r="Q16" s="561"/>
      <c r="R16" s="554"/>
      <c r="S16" s="493"/>
      <c r="T16" s="495"/>
      <c r="U16" s="501"/>
      <c r="V16" s="483"/>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c r="BW16" s="437"/>
      <c r="BX16" s="437"/>
      <c r="BY16" s="437"/>
      <c r="BZ16" s="437"/>
      <c r="CA16" s="437"/>
      <c r="CB16" s="437"/>
      <c r="CC16" s="437"/>
      <c r="CD16" s="437"/>
      <c r="CE16" s="437"/>
      <c r="CF16" s="437"/>
      <c r="CG16" s="437"/>
    </row>
    <row r="17" spans="1:85" s="291" customFormat="1" ht="62.4" customHeight="1" x14ac:dyDescent="0.3">
      <c r="A17" s="528"/>
      <c r="B17" s="542"/>
      <c r="C17" s="542"/>
      <c r="D17" s="545"/>
      <c r="E17" s="542"/>
      <c r="F17" s="542"/>
      <c r="G17" s="542"/>
      <c r="H17" s="333" t="s">
        <v>38</v>
      </c>
      <c r="I17" s="334" t="s">
        <v>259</v>
      </c>
      <c r="J17" s="546"/>
      <c r="K17" s="545"/>
      <c r="L17" s="335" t="s">
        <v>254</v>
      </c>
      <c r="M17" s="336">
        <v>1935</v>
      </c>
      <c r="N17" s="337">
        <v>2021</v>
      </c>
      <c r="O17" s="306" t="s">
        <v>47</v>
      </c>
      <c r="P17" s="336">
        <v>1161</v>
      </c>
      <c r="Q17" s="338" t="s">
        <v>354</v>
      </c>
      <c r="R17" s="387" t="s">
        <v>357</v>
      </c>
      <c r="S17" s="394" t="s">
        <v>395</v>
      </c>
      <c r="T17" s="408"/>
      <c r="U17" s="414"/>
      <c r="V17" s="414"/>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c r="BW17" s="437"/>
      <c r="BX17" s="437"/>
      <c r="BY17" s="437"/>
      <c r="BZ17" s="437"/>
      <c r="CA17" s="437"/>
      <c r="CB17" s="437"/>
      <c r="CC17" s="437"/>
      <c r="CD17" s="437"/>
      <c r="CE17" s="437"/>
      <c r="CF17" s="437"/>
      <c r="CG17" s="437"/>
    </row>
    <row r="18" spans="1:85" s="291" customFormat="1" ht="116.4" customHeight="1" x14ac:dyDescent="0.3">
      <c r="A18" s="528"/>
      <c r="B18" s="541">
        <f>G18</f>
        <v>31000000</v>
      </c>
      <c r="C18" s="541">
        <v>31000000</v>
      </c>
      <c r="D18" s="547" t="s">
        <v>359</v>
      </c>
      <c r="E18" s="541">
        <v>0</v>
      </c>
      <c r="F18" s="541">
        <f>C18+E18</f>
        <v>31000000</v>
      </c>
      <c r="G18" s="541">
        <f>F18</f>
        <v>31000000</v>
      </c>
      <c r="H18" s="339" t="s">
        <v>40</v>
      </c>
      <c r="I18" s="340" t="s">
        <v>261</v>
      </c>
      <c r="J18" s="545" t="s">
        <v>253</v>
      </c>
      <c r="K18" s="547" t="s">
        <v>144</v>
      </c>
      <c r="L18" s="334" t="s">
        <v>148</v>
      </c>
      <c r="M18" s="204">
        <v>0</v>
      </c>
      <c r="N18" s="204" t="s">
        <v>47</v>
      </c>
      <c r="O18" s="205">
        <v>0</v>
      </c>
      <c r="P18" s="204">
        <v>87970</v>
      </c>
      <c r="Q18" s="338" t="s">
        <v>354</v>
      </c>
      <c r="R18" s="387" t="s">
        <v>355</v>
      </c>
      <c r="S18" s="395" t="s">
        <v>396</v>
      </c>
      <c r="T18" s="409"/>
      <c r="U18" s="414"/>
      <c r="V18" s="414"/>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c r="BW18" s="437"/>
      <c r="BX18" s="437"/>
      <c r="BY18" s="437"/>
      <c r="BZ18" s="437"/>
      <c r="CA18" s="437"/>
      <c r="CB18" s="437"/>
      <c r="CC18" s="437"/>
      <c r="CD18" s="437"/>
      <c r="CE18" s="437"/>
      <c r="CF18" s="437"/>
      <c r="CG18" s="437"/>
    </row>
    <row r="19" spans="1:85" s="291" customFormat="1" ht="102.6" customHeight="1" x14ac:dyDescent="0.3">
      <c r="A19" s="528"/>
      <c r="B19" s="542"/>
      <c r="C19" s="542"/>
      <c r="D19" s="545"/>
      <c r="E19" s="542"/>
      <c r="F19" s="542"/>
      <c r="G19" s="542"/>
      <c r="H19" s="333" t="s">
        <v>252</v>
      </c>
      <c r="I19" s="334" t="s">
        <v>257</v>
      </c>
      <c r="J19" s="545"/>
      <c r="K19" s="545"/>
      <c r="L19" s="334" t="s">
        <v>150</v>
      </c>
      <c r="M19" s="204">
        <v>19353</v>
      </c>
      <c r="N19" s="341">
        <v>2021</v>
      </c>
      <c r="O19" s="205" t="s">
        <v>47</v>
      </c>
      <c r="P19" s="204">
        <v>11611</v>
      </c>
      <c r="Q19" s="338" t="s">
        <v>354</v>
      </c>
      <c r="R19" s="387" t="s">
        <v>356</v>
      </c>
      <c r="S19" s="396" t="s">
        <v>394</v>
      </c>
      <c r="T19" s="410"/>
      <c r="U19" s="414"/>
      <c r="V19" s="414"/>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c r="BW19" s="437"/>
      <c r="BX19" s="437"/>
      <c r="BY19" s="437"/>
      <c r="BZ19" s="437"/>
      <c r="CA19" s="437"/>
      <c r="CB19" s="437"/>
      <c r="CC19" s="437"/>
      <c r="CD19" s="437"/>
      <c r="CE19" s="437"/>
      <c r="CF19" s="437"/>
      <c r="CG19" s="437"/>
    </row>
    <row r="20" spans="1:85" s="291" customFormat="1" ht="85.5" customHeight="1" thickBot="1" x14ac:dyDescent="0.35">
      <c r="A20" s="540"/>
      <c r="B20" s="543"/>
      <c r="C20" s="543"/>
      <c r="D20" s="549"/>
      <c r="E20" s="543"/>
      <c r="F20" s="543"/>
      <c r="G20" s="543"/>
      <c r="H20" s="342" t="s">
        <v>38</v>
      </c>
      <c r="I20" s="343" t="s">
        <v>259</v>
      </c>
      <c r="J20" s="549"/>
      <c r="K20" s="549"/>
      <c r="L20" s="343" t="s">
        <v>254</v>
      </c>
      <c r="M20" s="344">
        <v>1935</v>
      </c>
      <c r="N20" s="345">
        <v>2021</v>
      </c>
      <c r="O20" s="346" t="s">
        <v>47</v>
      </c>
      <c r="P20" s="344">
        <v>1161</v>
      </c>
      <c r="Q20" s="347" t="s">
        <v>354</v>
      </c>
      <c r="R20" s="397" t="s">
        <v>357</v>
      </c>
      <c r="S20" s="394" t="s">
        <v>395</v>
      </c>
      <c r="T20" s="408"/>
      <c r="U20" s="414"/>
      <c r="V20" s="414"/>
      <c r="AC20" s="437"/>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7"/>
      <c r="CF20" s="437"/>
      <c r="CG20" s="437"/>
    </row>
    <row r="21" spans="1:85" s="309" customFormat="1" ht="339.6" customHeight="1" x14ac:dyDescent="0.3">
      <c r="A21" s="519" t="s">
        <v>380</v>
      </c>
      <c r="B21" s="522">
        <f>G21</f>
        <v>14210526.315789474</v>
      </c>
      <c r="C21" s="522">
        <v>13500000</v>
      </c>
      <c r="D21" s="525" t="s">
        <v>314</v>
      </c>
      <c r="E21" s="522">
        <f>C21*0.05/0.95</f>
        <v>710526.31578947371</v>
      </c>
      <c r="F21" s="522">
        <f>C21+E21</f>
        <v>14210526.315789474</v>
      </c>
      <c r="G21" s="522">
        <f>F21</f>
        <v>14210526.315789474</v>
      </c>
      <c r="H21" s="220" t="s">
        <v>252</v>
      </c>
      <c r="I21" s="221" t="s">
        <v>256</v>
      </c>
      <c r="J21" s="525" t="s">
        <v>119</v>
      </c>
      <c r="K21" s="527" t="s">
        <v>120</v>
      </c>
      <c r="L21" s="221" t="s">
        <v>150</v>
      </c>
      <c r="M21" s="219">
        <v>1846750</v>
      </c>
      <c r="N21" s="221">
        <v>2021</v>
      </c>
      <c r="O21" s="222" t="s">
        <v>47</v>
      </c>
      <c r="P21" s="219">
        <v>1827501</v>
      </c>
      <c r="Q21" s="305" t="s">
        <v>354</v>
      </c>
      <c r="R21" s="385" t="s">
        <v>327</v>
      </c>
      <c r="S21" s="398" t="s">
        <v>397</v>
      </c>
      <c r="T21" s="406"/>
      <c r="U21" s="412"/>
      <c r="V21" s="412"/>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c r="BG21" s="436"/>
      <c r="BH21" s="436"/>
      <c r="BI21" s="436"/>
      <c r="BJ21" s="436"/>
      <c r="BK21" s="436"/>
      <c r="BL21" s="436"/>
      <c r="BM21" s="436"/>
      <c r="BN21" s="436"/>
      <c r="BO21" s="436"/>
      <c r="BP21" s="436"/>
      <c r="BQ21" s="436"/>
      <c r="BR21" s="436"/>
      <c r="BS21" s="436"/>
      <c r="BT21" s="436"/>
      <c r="BU21" s="436"/>
      <c r="BV21" s="436"/>
      <c r="BW21" s="436"/>
      <c r="BX21" s="436"/>
      <c r="BY21" s="436"/>
      <c r="BZ21" s="436"/>
      <c r="CA21" s="436"/>
      <c r="CB21" s="436"/>
      <c r="CC21" s="436"/>
      <c r="CD21" s="436"/>
      <c r="CE21" s="436"/>
      <c r="CF21" s="436"/>
      <c r="CG21" s="436"/>
    </row>
    <row r="22" spans="1:85" s="309" customFormat="1" ht="174.6" customHeight="1" x14ac:dyDescent="0.3">
      <c r="A22" s="520"/>
      <c r="B22" s="523"/>
      <c r="C22" s="523"/>
      <c r="D22" s="520"/>
      <c r="E22" s="523"/>
      <c r="F22" s="523"/>
      <c r="G22" s="523"/>
      <c r="H22" s="199" t="s">
        <v>255</v>
      </c>
      <c r="I22" s="223" t="s">
        <v>260</v>
      </c>
      <c r="J22" s="520"/>
      <c r="K22" s="528"/>
      <c r="L22" s="199" t="s">
        <v>32</v>
      </c>
      <c r="M22" s="213">
        <v>0</v>
      </c>
      <c r="N22" s="203" t="s">
        <v>47</v>
      </c>
      <c r="O22" s="204">
        <v>2</v>
      </c>
      <c r="P22" s="206">
        <v>17</v>
      </c>
      <c r="Q22" s="305" t="s">
        <v>354</v>
      </c>
      <c r="R22" s="387" t="s">
        <v>338</v>
      </c>
      <c r="S22" s="396" t="s">
        <v>398</v>
      </c>
      <c r="T22" s="406"/>
      <c r="U22" s="412"/>
      <c r="V22" s="412"/>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436"/>
      <c r="BY22" s="436"/>
      <c r="BZ22" s="436"/>
      <c r="CA22" s="436"/>
      <c r="CB22" s="436"/>
      <c r="CC22" s="436"/>
      <c r="CD22" s="436"/>
      <c r="CE22" s="436"/>
      <c r="CF22" s="436"/>
      <c r="CG22" s="436"/>
    </row>
    <row r="23" spans="1:85" s="309" customFormat="1" ht="61.5" customHeight="1" x14ac:dyDescent="0.3">
      <c r="A23" s="520"/>
      <c r="B23" s="523"/>
      <c r="C23" s="523"/>
      <c r="D23" s="520"/>
      <c r="E23" s="523"/>
      <c r="F23" s="523"/>
      <c r="G23" s="523"/>
      <c r="H23" s="199" t="s">
        <v>38</v>
      </c>
      <c r="I23" s="215" t="s">
        <v>259</v>
      </c>
      <c r="J23" s="520"/>
      <c r="K23" s="528"/>
      <c r="L23" s="215" t="s">
        <v>254</v>
      </c>
      <c r="M23" s="206">
        <v>184675</v>
      </c>
      <c r="N23" s="223">
        <v>2021</v>
      </c>
      <c r="O23" s="199" t="s">
        <v>47</v>
      </c>
      <c r="P23" s="206">
        <v>182750</v>
      </c>
      <c r="Q23" s="305" t="s">
        <v>354</v>
      </c>
      <c r="R23" s="387" t="s">
        <v>277</v>
      </c>
      <c r="S23" s="396" t="s">
        <v>399</v>
      </c>
      <c r="T23" s="406"/>
      <c r="U23" s="412"/>
      <c r="V23" s="412"/>
      <c r="AC23" s="436"/>
      <c r="AD23" s="436"/>
      <c r="AE23" s="436"/>
      <c r="AF23" s="436"/>
      <c r="AG23" s="436"/>
      <c r="AH23" s="436"/>
      <c r="AI23" s="436"/>
      <c r="AJ23" s="436"/>
      <c r="AK23" s="436"/>
      <c r="AL23" s="436"/>
      <c r="AM23" s="436"/>
      <c r="AN23" s="436"/>
      <c r="AO23" s="436"/>
      <c r="AP23" s="436"/>
      <c r="AQ23" s="436"/>
      <c r="AR23" s="436"/>
      <c r="AS23" s="436"/>
      <c r="AT23" s="436"/>
      <c r="AU23" s="436"/>
      <c r="AV23" s="436"/>
      <c r="AW23" s="436"/>
      <c r="AX23" s="436"/>
      <c r="AY23" s="436"/>
      <c r="AZ23" s="436"/>
      <c r="BA23" s="436"/>
      <c r="BB23" s="436"/>
      <c r="BC23" s="436"/>
      <c r="BD23" s="436"/>
      <c r="BE23" s="436"/>
      <c r="BF23" s="436"/>
      <c r="BG23" s="436"/>
      <c r="BH23" s="436"/>
      <c r="BI23" s="436"/>
      <c r="BJ23" s="436"/>
      <c r="BK23" s="436"/>
      <c r="BL23" s="436"/>
      <c r="BM23" s="436"/>
      <c r="BN23" s="436"/>
      <c r="BO23" s="436"/>
      <c r="BP23" s="436"/>
      <c r="BQ23" s="436"/>
      <c r="BR23" s="436"/>
      <c r="BS23" s="436"/>
      <c r="BT23" s="436"/>
      <c r="BU23" s="436"/>
      <c r="BV23" s="436"/>
      <c r="BW23" s="436"/>
      <c r="BX23" s="436"/>
      <c r="BY23" s="436"/>
      <c r="BZ23" s="436"/>
      <c r="CA23" s="436"/>
      <c r="CB23" s="436"/>
      <c r="CC23" s="436"/>
      <c r="CD23" s="436"/>
      <c r="CE23" s="436"/>
      <c r="CF23" s="436"/>
      <c r="CG23" s="436"/>
    </row>
    <row r="24" spans="1:85" s="309" customFormat="1" ht="225" customHeight="1" thickBot="1" x14ac:dyDescent="0.35">
      <c r="A24" s="520"/>
      <c r="B24" s="523"/>
      <c r="C24" s="523"/>
      <c r="D24" s="520"/>
      <c r="E24" s="523"/>
      <c r="F24" s="523"/>
      <c r="G24" s="523"/>
      <c r="H24" s="300" t="s">
        <v>332</v>
      </c>
      <c r="I24" s="300" t="s">
        <v>268</v>
      </c>
      <c r="J24" s="520"/>
      <c r="K24" s="528"/>
      <c r="L24" s="299" t="s">
        <v>330</v>
      </c>
      <c r="M24" s="302">
        <v>0</v>
      </c>
      <c r="N24" s="301" t="s">
        <v>47</v>
      </c>
      <c r="O24" s="306">
        <v>525</v>
      </c>
      <c r="P24" s="302">
        <v>5257</v>
      </c>
      <c r="Q24" s="304" t="s">
        <v>354</v>
      </c>
      <c r="R24" s="387" t="s">
        <v>339</v>
      </c>
      <c r="S24" s="396" t="s">
        <v>400</v>
      </c>
      <c r="T24" s="406"/>
      <c r="U24" s="412"/>
      <c r="V24" s="412"/>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436"/>
      <c r="BH24" s="436"/>
      <c r="BI24" s="436"/>
      <c r="BJ24" s="436"/>
      <c r="BK24" s="436"/>
      <c r="BL24" s="436"/>
      <c r="BM24" s="436"/>
      <c r="BN24" s="436"/>
      <c r="BO24" s="436"/>
      <c r="BP24" s="436"/>
      <c r="BQ24" s="436"/>
      <c r="BR24" s="436"/>
      <c r="BS24" s="436"/>
      <c r="BT24" s="436"/>
      <c r="BU24" s="436"/>
      <c r="BV24" s="436"/>
      <c r="BW24" s="436"/>
      <c r="BX24" s="436"/>
      <c r="BY24" s="436"/>
      <c r="BZ24" s="436"/>
      <c r="CA24" s="436"/>
      <c r="CB24" s="436"/>
      <c r="CC24" s="436"/>
      <c r="CD24" s="436"/>
      <c r="CE24" s="436"/>
      <c r="CF24" s="436"/>
      <c r="CG24" s="436"/>
    </row>
    <row r="25" spans="1:85" s="309" customFormat="1" ht="105" customHeight="1" x14ac:dyDescent="0.3">
      <c r="A25" s="520"/>
      <c r="B25" s="523"/>
      <c r="C25" s="523"/>
      <c r="D25" s="520"/>
      <c r="E25" s="523"/>
      <c r="F25" s="523"/>
      <c r="G25" s="523"/>
      <c r="H25" s="468" t="s">
        <v>332</v>
      </c>
      <c r="I25" s="289" t="s">
        <v>304</v>
      </c>
      <c r="J25" s="520"/>
      <c r="K25" s="528"/>
      <c r="L25" s="303" t="s">
        <v>152</v>
      </c>
      <c r="M25" s="303">
        <v>0</v>
      </c>
      <c r="N25" s="303" t="s">
        <v>47</v>
      </c>
      <c r="O25" s="283">
        <v>1</v>
      </c>
      <c r="P25" s="284">
        <v>6</v>
      </c>
      <c r="Q25" s="285" t="s">
        <v>305</v>
      </c>
      <c r="R25" s="399" t="s">
        <v>337</v>
      </c>
      <c r="S25" s="400" t="s">
        <v>401</v>
      </c>
      <c r="T25" s="411"/>
      <c r="U25" s="412"/>
      <c r="V25" s="391" t="s">
        <v>372</v>
      </c>
      <c r="AC25" s="436"/>
      <c r="AD25" s="436"/>
      <c r="AE25" s="436"/>
      <c r="AF25" s="436"/>
      <c r="AG25" s="436"/>
      <c r="AH25" s="436"/>
      <c r="AI25" s="436"/>
      <c r="AJ25" s="436"/>
      <c r="AK25" s="436"/>
      <c r="AL25" s="436"/>
      <c r="AM25" s="436"/>
      <c r="AN25" s="436"/>
      <c r="AO25" s="436"/>
      <c r="AP25" s="436"/>
      <c r="AQ25" s="436"/>
      <c r="AR25" s="436"/>
      <c r="AS25" s="436"/>
      <c r="AT25" s="436"/>
      <c r="AU25" s="436"/>
      <c r="AV25" s="436"/>
      <c r="AW25" s="436"/>
      <c r="AX25" s="436"/>
      <c r="AY25" s="436"/>
      <c r="AZ25" s="436"/>
      <c r="BA25" s="436"/>
      <c r="BB25" s="436"/>
      <c r="BC25" s="436"/>
      <c r="BD25" s="436"/>
      <c r="BE25" s="436"/>
      <c r="BF25" s="436"/>
      <c r="BG25" s="436"/>
      <c r="BH25" s="436"/>
      <c r="BI25" s="436"/>
      <c r="BJ25" s="436"/>
      <c r="BK25" s="436"/>
      <c r="BL25" s="436"/>
      <c r="BM25" s="436"/>
      <c r="BN25" s="436"/>
      <c r="BO25" s="436"/>
      <c r="BP25" s="436"/>
      <c r="BQ25" s="436"/>
      <c r="BR25" s="436"/>
      <c r="BS25" s="436"/>
      <c r="BT25" s="436"/>
      <c r="BU25" s="436"/>
      <c r="BV25" s="436"/>
      <c r="BW25" s="436"/>
      <c r="BX25" s="436"/>
      <c r="BY25" s="436"/>
      <c r="BZ25" s="436"/>
      <c r="CA25" s="436"/>
      <c r="CB25" s="436"/>
      <c r="CC25" s="436"/>
      <c r="CD25" s="436"/>
      <c r="CE25" s="436"/>
      <c r="CF25" s="436"/>
      <c r="CG25" s="436"/>
    </row>
    <row r="26" spans="1:85" s="309" customFormat="1" ht="144.75" customHeight="1" thickBot="1" x14ac:dyDescent="0.35">
      <c r="A26" s="520"/>
      <c r="B26" s="524"/>
      <c r="C26" s="524"/>
      <c r="D26" s="526"/>
      <c r="E26" s="524"/>
      <c r="F26" s="524"/>
      <c r="G26" s="524"/>
      <c r="H26" s="463" t="s">
        <v>332</v>
      </c>
      <c r="I26" s="290" t="s">
        <v>336</v>
      </c>
      <c r="J26" s="526"/>
      <c r="K26" s="529"/>
      <c r="L26" s="286" t="s">
        <v>152</v>
      </c>
      <c r="M26" s="286">
        <v>0</v>
      </c>
      <c r="N26" s="286" t="s">
        <v>47</v>
      </c>
      <c r="O26" s="287">
        <v>1</v>
      </c>
      <c r="P26" s="288">
        <v>6</v>
      </c>
      <c r="Q26" s="214" t="s">
        <v>354</v>
      </c>
      <c r="R26" s="399" t="s">
        <v>345</v>
      </c>
      <c r="S26" s="400" t="s">
        <v>402</v>
      </c>
      <c r="T26" s="406"/>
      <c r="U26" s="412"/>
      <c r="V26" s="391" t="s">
        <v>373</v>
      </c>
      <c r="AC26" s="436"/>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c r="BB26" s="436"/>
      <c r="BC26" s="436"/>
      <c r="BD26" s="436"/>
      <c r="BE26" s="436"/>
      <c r="BF26" s="436"/>
      <c r="BG26" s="436"/>
      <c r="BH26" s="436"/>
      <c r="BI26" s="436"/>
      <c r="BJ26" s="436"/>
      <c r="BK26" s="436"/>
      <c r="BL26" s="436"/>
      <c r="BM26" s="436"/>
      <c r="BN26" s="436"/>
      <c r="BO26" s="436"/>
      <c r="BP26" s="436"/>
      <c r="BQ26" s="436"/>
      <c r="BR26" s="436"/>
      <c r="BS26" s="436"/>
      <c r="BT26" s="436"/>
      <c r="BU26" s="436"/>
      <c r="BV26" s="436"/>
      <c r="BW26" s="436"/>
      <c r="BX26" s="436"/>
      <c r="BY26" s="436"/>
      <c r="BZ26" s="436"/>
      <c r="CA26" s="436"/>
      <c r="CB26" s="436"/>
      <c r="CC26" s="436"/>
      <c r="CD26" s="436"/>
      <c r="CE26" s="436"/>
      <c r="CF26" s="436"/>
      <c r="CG26" s="436"/>
    </row>
    <row r="27" spans="1:85" s="309" customFormat="1" ht="378.75" customHeight="1" x14ac:dyDescent="0.3">
      <c r="A27" s="520"/>
      <c r="B27" s="530">
        <f>G27</f>
        <v>14210526.315789474</v>
      </c>
      <c r="C27" s="530">
        <v>13500000</v>
      </c>
      <c r="D27" s="532" t="s">
        <v>315</v>
      </c>
      <c r="E27" s="530">
        <f>C27*0.05/0.95</f>
        <v>710526.31578947371</v>
      </c>
      <c r="F27" s="530">
        <f>C27+E27</f>
        <v>14210526.315789474</v>
      </c>
      <c r="G27" s="535">
        <f>F27</f>
        <v>14210526.315789474</v>
      </c>
      <c r="H27" s="199" t="s">
        <v>252</v>
      </c>
      <c r="I27" s="223" t="s">
        <v>256</v>
      </c>
      <c r="J27" s="538" t="s">
        <v>253</v>
      </c>
      <c r="K27" s="539" t="s">
        <v>144</v>
      </c>
      <c r="L27" s="223" t="s">
        <v>150</v>
      </c>
      <c r="M27" s="203">
        <v>1846750</v>
      </c>
      <c r="N27" s="223">
        <v>2021</v>
      </c>
      <c r="O27" s="224" t="s">
        <v>47</v>
      </c>
      <c r="P27" s="206">
        <v>1827501</v>
      </c>
      <c r="Q27" s="305" t="s">
        <v>344</v>
      </c>
      <c r="R27" s="387" t="s">
        <v>328</v>
      </c>
      <c r="S27" s="398" t="s">
        <v>397</v>
      </c>
      <c r="T27" s="406"/>
      <c r="U27" s="412"/>
      <c r="V27" s="412"/>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436"/>
      <c r="BS27" s="436"/>
      <c r="BT27" s="436"/>
      <c r="BU27" s="436"/>
      <c r="BV27" s="436"/>
      <c r="BW27" s="436"/>
      <c r="BX27" s="436"/>
      <c r="BY27" s="436"/>
      <c r="BZ27" s="436"/>
      <c r="CA27" s="436"/>
      <c r="CB27" s="436"/>
      <c r="CC27" s="436"/>
      <c r="CD27" s="436"/>
      <c r="CE27" s="436"/>
      <c r="CF27" s="436"/>
      <c r="CG27" s="436"/>
    </row>
    <row r="28" spans="1:85" s="309" customFormat="1" ht="153.9" customHeight="1" x14ac:dyDescent="0.3">
      <c r="A28" s="520"/>
      <c r="B28" s="523"/>
      <c r="C28" s="523"/>
      <c r="D28" s="533"/>
      <c r="E28" s="523"/>
      <c r="F28" s="523"/>
      <c r="G28" s="536"/>
      <c r="H28" s="199" t="s">
        <v>255</v>
      </c>
      <c r="I28" s="223" t="s">
        <v>260</v>
      </c>
      <c r="J28" s="520"/>
      <c r="K28" s="528"/>
      <c r="L28" s="223" t="s">
        <v>32</v>
      </c>
      <c r="M28" s="203">
        <v>0</v>
      </c>
      <c r="N28" s="199" t="s">
        <v>47</v>
      </c>
      <c r="O28" s="204">
        <v>2</v>
      </c>
      <c r="P28" s="206">
        <v>17</v>
      </c>
      <c r="Q28" s="305" t="s">
        <v>354</v>
      </c>
      <c r="R28" s="387" t="s">
        <v>348</v>
      </c>
      <c r="S28" s="396" t="s">
        <v>403</v>
      </c>
      <c r="T28" s="406"/>
      <c r="U28" s="412"/>
      <c r="V28" s="412"/>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436"/>
      <c r="BG28" s="436"/>
      <c r="BH28" s="436"/>
      <c r="BI28" s="436"/>
      <c r="BJ28" s="436"/>
      <c r="BK28" s="436"/>
      <c r="BL28" s="436"/>
      <c r="BM28" s="436"/>
      <c r="BN28" s="436"/>
      <c r="BO28" s="436"/>
      <c r="BP28" s="436"/>
      <c r="BQ28" s="436"/>
      <c r="BR28" s="436"/>
      <c r="BS28" s="436"/>
      <c r="BT28" s="436"/>
      <c r="BU28" s="436"/>
      <c r="BV28" s="436"/>
      <c r="BW28" s="436"/>
      <c r="BX28" s="436"/>
      <c r="BY28" s="436"/>
      <c r="BZ28" s="436"/>
      <c r="CA28" s="436"/>
      <c r="CB28" s="436"/>
      <c r="CC28" s="436"/>
      <c r="CD28" s="436"/>
      <c r="CE28" s="436"/>
      <c r="CF28" s="436"/>
      <c r="CG28" s="436"/>
    </row>
    <row r="29" spans="1:85" s="309" customFormat="1" ht="259.5" customHeight="1" x14ac:dyDescent="0.3">
      <c r="A29" s="520"/>
      <c r="B29" s="523"/>
      <c r="C29" s="523"/>
      <c r="D29" s="533"/>
      <c r="E29" s="523"/>
      <c r="F29" s="523"/>
      <c r="G29" s="536"/>
      <c r="H29" s="301" t="s">
        <v>332</v>
      </c>
      <c r="I29" s="223" t="s">
        <v>268</v>
      </c>
      <c r="J29" s="520"/>
      <c r="K29" s="528"/>
      <c r="L29" s="223" t="s">
        <v>330</v>
      </c>
      <c r="M29" s="206">
        <v>0</v>
      </c>
      <c r="N29" s="223" t="s">
        <v>47</v>
      </c>
      <c r="O29" s="205">
        <v>525</v>
      </c>
      <c r="P29" s="206">
        <v>5257</v>
      </c>
      <c r="Q29" s="305" t="s">
        <v>354</v>
      </c>
      <c r="R29" s="387" t="s">
        <v>349</v>
      </c>
      <c r="S29" s="396" t="s">
        <v>400</v>
      </c>
      <c r="T29" s="406"/>
      <c r="U29" s="412"/>
      <c r="V29" s="412"/>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6"/>
      <c r="BF29" s="436"/>
      <c r="BG29" s="436"/>
      <c r="BH29" s="436"/>
      <c r="BI29" s="436"/>
      <c r="BJ29" s="436"/>
      <c r="BK29" s="436"/>
      <c r="BL29" s="436"/>
      <c r="BM29" s="436"/>
      <c r="BN29" s="436"/>
      <c r="BO29" s="436"/>
      <c r="BP29" s="436"/>
      <c r="BQ29" s="436"/>
      <c r="BR29" s="436"/>
      <c r="BS29" s="436"/>
      <c r="BT29" s="436"/>
      <c r="BU29" s="436"/>
      <c r="BV29" s="436"/>
      <c r="BW29" s="436"/>
      <c r="BX29" s="436"/>
      <c r="BY29" s="436"/>
      <c r="BZ29" s="436"/>
      <c r="CA29" s="436"/>
      <c r="CB29" s="436"/>
      <c r="CC29" s="436"/>
      <c r="CD29" s="436"/>
      <c r="CE29" s="436"/>
      <c r="CF29" s="436"/>
      <c r="CG29" s="436"/>
    </row>
    <row r="30" spans="1:85" s="309" customFormat="1" ht="66.900000000000006" customHeight="1" x14ac:dyDescent="0.3">
      <c r="A30" s="520"/>
      <c r="B30" s="523"/>
      <c r="C30" s="523"/>
      <c r="D30" s="533"/>
      <c r="E30" s="523"/>
      <c r="F30" s="523"/>
      <c r="G30" s="536"/>
      <c r="H30" s="273" t="s">
        <v>38</v>
      </c>
      <c r="I30" s="274" t="s">
        <v>259</v>
      </c>
      <c r="J30" s="520"/>
      <c r="K30" s="528"/>
      <c r="L30" s="275" t="s">
        <v>254</v>
      </c>
      <c r="M30" s="302">
        <v>184675</v>
      </c>
      <c r="N30" s="301">
        <v>2021</v>
      </c>
      <c r="O30" s="276" t="s">
        <v>47</v>
      </c>
      <c r="P30" s="302">
        <v>182750</v>
      </c>
      <c r="Q30" s="277" t="s">
        <v>354</v>
      </c>
      <c r="R30" s="387" t="s">
        <v>322</v>
      </c>
      <c r="S30" s="396" t="s">
        <v>399</v>
      </c>
      <c r="T30" s="406"/>
      <c r="U30" s="412"/>
      <c r="V30" s="412"/>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6"/>
      <c r="BH30" s="436"/>
      <c r="BI30" s="436"/>
      <c r="BJ30" s="436"/>
      <c r="BK30" s="436"/>
      <c r="BL30" s="436"/>
      <c r="BM30" s="436"/>
      <c r="BN30" s="436"/>
      <c r="BO30" s="436"/>
      <c r="BP30" s="436"/>
      <c r="BQ30" s="436"/>
      <c r="BR30" s="436"/>
      <c r="BS30" s="436"/>
      <c r="BT30" s="436"/>
      <c r="BU30" s="436"/>
      <c r="BV30" s="436"/>
      <c r="BW30" s="436"/>
      <c r="BX30" s="436"/>
      <c r="BY30" s="436"/>
      <c r="BZ30" s="436"/>
      <c r="CA30" s="436"/>
      <c r="CB30" s="436"/>
      <c r="CC30" s="436"/>
      <c r="CD30" s="436"/>
      <c r="CE30" s="436"/>
      <c r="CF30" s="436"/>
      <c r="CG30" s="436"/>
    </row>
    <row r="31" spans="1:85" s="309" customFormat="1" ht="75.900000000000006" customHeight="1" x14ac:dyDescent="0.3">
      <c r="A31" s="520"/>
      <c r="B31" s="523"/>
      <c r="C31" s="523"/>
      <c r="D31" s="533"/>
      <c r="E31" s="523"/>
      <c r="F31" s="523"/>
      <c r="G31" s="536"/>
      <c r="H31" s="303" t="s">
        <v>303</v>
      </c>
      <c r="I31" s="303" t="s">
        <v>304</v>
      </c>
      <c r="J31" s="520"/>
      <c r="K31" s="528"/>
      <c r="L31" s="303" t="s">
        <v>152</v>
      </c>
      <c r="M31" s="303">
        <v>0</v>
      </c>
      <c r="N31" s="303" t="s">
        <v>47</v>
      </c>
      <c r="O31" s="284">
        <v>3</v>
      </c>
      <c r="P31" s="284">
        <v>27</v>
      </c>
      <c r="Q31" s="285" t="s">
        <v>305</v>
      </c>
      <c r="R31" s="399" t="s">
        <v>337</v>
      </c>
      <c r="S31" s="401" t="s">
        <v>337</v>
      </c>
      <c r="T31" s="406"/>
      <c r="U31" s="412"/>
      <c r="V31" s="412"/>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36"/>
      <c r="BY31" s="436"/>
      <c r="BZ31" s="436"/>
      <c r="CA31" s="436"/>
      <c r="CB31" s="436"/>
      <c r="CC31" s="436"/>
      <c r="CD31" s="436"/>
      <c r="CE31" s="436"/>
      <c r="CF31" s="436"/>
      <c r="CG31" s="436"/>
    </row>
    <row r="32" spans="1:85" s="309" customFormat="1" ht="104.4" customHeight="1" thickBot="1" x14ac:dyDescent="0.35">
      <c r="A32" s="521"/>
      <c r="B32" s="531"/>
      <c r="C32" s="531"/>
      <c r="D32" s="534"/>
      <c r="E32" s="531"/>
      <c r="F32" s="531"/>
      <c r="G32" s="537"/>
      <c r="H32" s="296" t="s">
        <v>335</v>
      </c>
      <c r="I32" s="297" t="s">
        <v>336</v>
      </c>
      <c r="J32" s="521"/>
      <c r="K32" s="540"/>
      <c r="L32" s="286" t="s">
        <v>152</v>
      </c>
      <c r="M32" s="286">
        <v>0</v>
      </c>
      <c r="N32" s="286" t="s">
        <v>47</v>
      </c>
      <c r="O32" s="287">
        <v>3</v>
      </c>
      <c r="P32" s="288">
        <v>27</v>
      </c>
      <c r="Q32" s="467" t="s">
        <v>354</v>
      </c>
      <c r="R32" s="402" t="s">
        <v>350</v>
      </c>
      <c r="S32" s="403" t="s">
        <v>404</v>
      </c>
      <c r="T32" s="406"/>
      <c r="U32" s="412"/>
      <c r="V32" s="412"/>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436"/>
      <c r="BN32" s="436"/>
      <c r="BO32" s="436"/>
      <c r="BP32" s="436"/>
      <c r="BQ32" s="436"/>
      <c r="BR32" s="436"/>
      <c r="BS32" s="436"/>
      <c r="BT32" s="436"/>
      <c r="BU32" s="436"/>
      <c r="BV32" s="436"/>
      <c r="BW32" s="436"/>
      <c r="BX32" s="436"/>
      <c r="BY32" s="436"/>
      <c r="BZ32" s="436"/>
      <c r="CA32" s="436"/>
      <c r="CB32" s="436"/>
      <c r="CC32" s="436"/>
      <c r="CD32" s="436"/>
      <c r="CE32" s="436"/>
      <c r="CF32" s="436"/>
      <c r="CG32" s="436"/>
    </row>
    <row r="33" spans="1:85" s="309" customFormat="1" x14ac:dyDescent="0.3">
      <c r="A33" s="317"/>
      <c r="B33" s="318" t="s">
        <v>262</v>
      </c>
      <c r="C33" s="322">
        <f>C9+C27</f>
        <v>55000000</v>
      </c>
      <c r="D33" s="321"/>
      <c r="E33" s="322">
        <f>E9+E27</f>
        <v>4526315.8421052638</v>
      </c>
      <c r="F33" s="321">
        <f>F9+F27</f>
        <v>59526315.842105269</v>
      </c>
      <c r="G33" s="321">
        <f>G9+G27</f>
        <v>57820665.842105269</v>
      </c>
      <c r="M33" s="321">
        <f>SUM(M6:M32)</f>
        <v>4725320</v>
      </c>
      <c r="N33" s="321"/>
      <c r="O33" s="321">
        <f>SUM(O6:O32)</f>
        <v>3112</v>
      </c>
      <c r="P33" s="322">
        <f>SUM(P6:P32)</f>
        <v>4423202</v>
      </c>
      <c r="R33" s="26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row>
    <row r="34" spans="1:85" s="309" customFormat="1" x14ac:dyDescent="0.3">
      <c r="A34" s="317"/>
      <c r="B34" s="318" t="s">
        <v>119</v>
      </c>
      <c r="C34" s="322">
        <f>C6+C17+C21</f>
        <v>55000000</v>
      </c>
      <c r="D34" s="321"/>
      <c r="E34" s="322">
        <f>E6+E17+E21</f>
        <v>4526315.8421052638</v>
      </c>
      <c r="F34" s="321">
        <f>F6+F17+F21</f>
        <v>59526315.842105269</v>
      </c>
      <c r="G34" s="321">
        <f>G6+G17+G21</f>
        <v>57820665.842105269</v>
      </c>
      <c r="M34" s="320"/>
      <c r="P34" s="319"/>
      <c r="R34" s="26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6"/>
      <c r="BH34" s="436"/>
      <c r="BI34" s="436"/>
      <c r="BJ34" s="436"/>
      <c r="BK34" s="436"/>
      <c r="BL34" s="436"/>
      <c r="BM34" s="436"/>
      <c r="BN34" s="436"/>
      <c r="BO34" s="436"/>
      <c r="BP34" s="436"/>
      <c r="BQ34" s="436"/>
      <c r="BR34" s="436"/>
      <c r="BS34" s="436"/>
      <c r="BT34" s="436"/>
      <c r="BU34" s="436"/>
      <c r="BV34" s="436"/>
      <c r="BW34" s="436"/>
      <c r="BX34" s="436"/>
      <c r="BY34" s="436"/>
      <c r="BZ34" s="436"/>
      <c r="CA34" s="436"/>
      <c r="CB34" s="436"/>
      <c r="CC34" s="436"/>
      <c r="CD34" s="436"/>
      <c r="CE34" s="436"/>
      <c r="CF34" s="436"/>
      <c r="CG34" s="436"/>
    </row>
    <row r="35" spans="1:85" x14ac:dyDescent="0.3">
      <c r="A35" s="225"/>
      <c r="C35" s="226"/>
      <c r="E35" s="226"/>
      <c r="F35" s="227"/>
      <c r="G35" s="227"/>
      <c r="K35" s="267"/>
      <c r="L35" s="267"/>
      <c r="M35" s="227"/>
      <c r="O35" s="207"/>
      <c r="P35" s="226"/>
      <c r="R35" s="266"/>
    </row>
    <row r="36" spans="1:85" x14ac:dyDescent="0.3">
      <c r="A36" s="225"/>
      <c r="C36" s="226"/>
      <c r="E36" s="226"/>
      <c r="F36" s="227"/>
      <c r="G36" s="227"/>
      <c r="K36" s="267"/>
      <c r="L36" s="267"/>
      <c r="M36" s="227"/>
      <c r="O36" s="207"/>
      <c r="P36" s="226"/>
      <c r="R36" s="266"/>
    </row>
    <row r="37" spans="1:85" s="352" customFormat="1" x14ac:dyDescent="0.3">
      <c r="A37" s="349" t="s">
        <v>360</v>
      </c>
      <c r="B37" s="350"/>
      <c r="C37" s="351"/>
      <c r="D37" s="350"/>
      <c r="E37" s="351"/>
      <c r="P37" s="351"/>
      <c r="R37" s="353"/>
    </row>
    <row r="38" spans="1:85" s="352" customFormat="1" ht="189" customHeight="1" x14ac:dyDescent="0.3">
      <c r="A38" s="506" t="s">
        <v>377</v>
      </c>
      <c r="B38" s="517">
        <f>G38</f>
        <v>257645629</v>
      </c>
      <c r="C38" s="517">
        <v>257645629</v>
      </c>
      <c r="D38" s="506" t="s">
        <v>313</v>
      </c>
      <c r="E38" s="516">
        <f>C38/0.95*0.05</f>
        <v>13560296.263157897</v>
      </c>
      <c r="F38" s="516">
        <f>E38+C38</f>
        <v>271205925.2631579</v>
      </c>
      <c r="G38" s="516">
        <f>C38</f>
        <v>257645629</v>
      </c>
      <c r="H38" s="334" t="s">
        <v>251</v>
      </c>
      <c r="I38" s="334" t="s">
        <v>334</v>
      </c>
      <c r="J38" s="506" t="s">
        <v>160</v>
      </c>
      <c r="K38" s="506" t="s">
        <v>144</v>
      </c>
      <c r="L38" s="334" t="s">
        <v>370</v>
      </c>
      <c r="M38" s="333">
        <v>0</v>
      </c>
      <c r="N38" s="333" t="s">
        <v>47</v>
      </c>
      <c r="O38" s="334">
        <v>0</v>
      </c>
      <c r="P38" s="204">
        <f>(G38+G41)/3000*0.7</f>
        <v>75394.658033333326</v>
      </c>
      <c r="Q38" s="338" t="s">
        <v>269</v>
      </c>
      <c r="R38" s="415" t="s">
        <v>364</v>
      </c>
      <c r="S38" s="465"/>
      <c r="T38" s="466"/>
      <c r="U38" s="466"/>
      <c r="V38" s="478" t="s">
        <v>425</v>
      </c>
      <c r="W38" s="464"/>
    </row>
    <row r="39" spans="1:85" s="352" customFormat="1" ht="129.75" customHeight="1" x14ac:dyDescent="0.3">
      <c r="A39" s="506"/>
      <c r="B39" s="517"/>
      <c r="C39" s="517"/>
      <c r="D39" s="506"/>
      <c r="E39" s="516"/>
      <c r="F39" s="516"/>
      <c r="G39" s="516"/>
      <c r="H39" s="334" t="s">
        <v>252</v>
      </c>
      <c r="I39" s="334" t="s">
        <v>256</v>
      </c>
      <c r="J39" s="506"/>
      <c r="K39" s="506"/>
      <c r="L39" s="334" t="s">
        <v>270</v>
      </c>
      <c r="M39" s="205">
        <f>P38*15</f>
        <v>1130919.8705</v>
      </c>
      <c r="N39" s="334">
        <v>2021</v>
      </c>
      <c r="O39" s="334" t="s">
        <v>47</v>
      </c>
      <c r="P39" s="205">
        <f>M39-(M39*0.4)</f>
        <v>678551.92229999998</v>
      </c>
      <c r="Q39" s="338" t="s">
        <v>269</v>
      </c>
      <c r="R39" s="415" t="s">
        <v>365</v>
      </c>
      <c r="S39" s="416"/>
      <c r="T39" s="417"/>
      <c r="U39" s="417"/>
      <c r="V39" s="417"/>
    </row>
    <row r="40" spans="1:85" s="352" customFormat="1" ht="99" customHeight="1" x14ac:dyDescent="0.3">
      <c r="A40" s="506"/>
      <c r="B40" s="517"/>
      <c r="C40" s="517"/>
      <c r="D40" s="506"/>
      <c r="E40" s="516"/>
      <c r="F40" s="516"/>
      <c r="G40" s="516"/>
      <c r="H40" s="333" t="s">
        <v>38</v>
      </c>
      <c r="I40" s="334" t="s">
        <v>259</v>
      </c>
      <c r="J40" s="506"/>
      <c r="K40" s="506"/>
      <c r="L40" s="334" t="s">
        <v>271</v>
      </c>
      <c r="M40" s="204">
        <f>M39*0.1</f>
        <v>113091.98705</v>
      </c>
      <c r="N40" s="333">
        <v>2021</v>
      </c>
      <c r="O40" s="333" t="s">
        <v>47</v>
      </c>
      <c r="P40" s="204">
        <f>P39*0.1</f>
        <v>67855.192230000001</v>
      </c>
      <c r="Q40" s="338" t="s">
        <v>269</v>
      </c>
      <c r="R40" s="415" t="s">
        <v>366</v>
      </c>
      <c r="S40" s="418"/>
      <c r="T40" s="419"/>
      <c r="U40" s="417"/>
      <c r="V40" s="417"/>
    </row>
    <row r="41" spans="1:85" s="352" customFormat="1" ht="201" customHeight="1" x14ac:dyDescent="0.3">
      <c r="A41" s="506"/>
      <c r="B41" s="517">
        <f>F41</f>
        <v>76288772.631578952</v>
      </c>
      <c r="C41" s="517">
        <v>72474334</v>
      </c>
      <c r="D41" s="506" t="s">
        <v>313</v>
      </c>
      <c r="E41" s="517">
        <f>C41/0.95*0.05</f>
        <v>3814438.6315789479</v>
      </c>
      <c r="F41" s="518">
        <f>E41+C41</f>
        <v>76288772.631578952</v>
      </c>
      <c r="G41" s="518">
        <f>C41-7000000</f>
        <v>65474334</v>
      </c>
      <c r="H41" s="334" t="s">
        <v>251</v>
      </c>
      <c r="I41" s="334" t="s">
        <v>334</v>
      </c>
      <c r="J41" s="506" t="s">
        <v>119</v>
      </c>
      <c r="K41" s="506" t="s">
        <v>120</v>
      </c>
      <c r="L41" s="334" t="s">
        <v>371</v>
      </c>
      <c r="M41" s="333">
        <v>0</v>
      </c>
      <c r="N41" s="333" t="s">
        <v>47</v>
      </c>
      <c r="O41" s="334">
        <v>0</v>
      </c>
      <c r="P41" s="204">
        <f>(G38+G41)/3000*0.3</f>
        <v>32311.996299999999</v>
      </c>
      <c r="Q41" s="338" t="s">
        <v>269</v>
      </c>
      <c r="R41" s="415" t="s">
        <v>367</v>
      </c>
      <c r="S41" s="420"/>
      <c r="T41" s="417"/>
      <c r="U41" s="417"/>
      <c r="V41" s="417"/>
    </row>
    <row r="42" spans="1:85" s="352" customFormat="1" ht="115.5" customHeight="1" x14ac:dyDescent="0.3">
      <c r="A42" s="506"/>
      <c r="B42" s="517"/>
      <c r="C42" s="517"/>
      <c r="D42" s="506"/>
      <c r="E42" s="517"/>
      <c r="F42" s="518"/>
      <c r="G42" s="518"/>
      <c r="H42" s="333" t="s">
        <v>252</v>
      </c>
      <c r="I42" s="334" t="s">
        <v>256</v>
      </c>
      <c r="J42" s="506"/>
      <c r="K42" s="506"/>
      <c r="L42" s="334" t="s">
        <v>270</v>
      </c>
      <c r="M42" s="204">
        <f>P41*15+7</f>
        <v>484686.94449999998</v>
      </c>
      <c r="N42" s="333">
        <v>2021</v>
      </c>
      <c r="O42" s="334" t="s">
        <v>47</v>
      </c>
      <c r="P42" s="204">
        <f>M42-(M42*0.4)</f>
        <v>290812.16669999994</v>
      </c>
      <c r="Q42" s="338" t="s">
        <v>269</v>
      </c>
      <c r="R42" s="415" t="s">
        <v>368</v>
      </c>
      <c r="S42" s="416"/>
      <c r="T42" s="417"/>
      <c r="U42" s="417"/>
      <c r="V42" s="417"/>
    </row>
    <row r="43" spans="1:85" s="352" customFormat="1" ht="83.25" customHeight="1" x14ac:dyDescent="0.3">
      <c r="A43" s="506"/>
      <c r="B43" s="517"/>
      <c r="C43" s="517"/>
      <c r="D43" s="506"/>
      <c r="E43" s="517"/>
      <c r="F43" s="518"/>
      <c r="G43" s="518"/>
      <c r="H43" s="333" t="s">
        <v>272</v>
      </c>
      <c r="I43" s="334" t="s">
        <v>259</v>
      </c>
      <c r="J43" s="506"/>
      <c r="K43" s="506"/>
      <c r="L43" s="334" t="s">
        <v>254</v>
      </c>
      <c r="M43" s="204">
        <f>M42*0.1</f>
        <v>48468.694450000003</v>
      </c>
      <c r="N43" s="333">
        <v>2021</v>
      </c>
      <c r="O43" s="333" t="s">
        <v>47</v>
      </c>
      <c r="P43" s="204">
        <f>P42*0.1</f>
        <v>29081.216669999994</v>
      </c>
      <c r="Q43" s="338" t="s">
        <v>269</v>
      </c>
      <c r="R43" s="354" t="s">
        <v>369</v>
      </c>
      <c r="S43" s="421"/>
      <c r="T43" s="417"/>
      <c r="U43" s="417"/>
      <c r="V43" s="417"/>
    </row>
    <row r="44" spans="1:85" s="352" customFormat="1" ht="16.5" customHeight="1" x14ac:dyDescent="0.3">
      <c r="A44" s="359"/>
      <c r="B44" s="360" t="s">
        <v>363</v>
      </c>
      <c r="C44" s="360">
        <f>C38</f>
        <v>257645629</v>
      </c>
      <c r="D44" s="359"/>
      <c r="E44" s="360">
        <f>E38</f>
        <v>13560296.263157897</v>
      </c>
      <c r="F44" s="361">
        <f>F38</f>
        <v>271205925.2631579</v>
      </c>
      <c r="G44" s="361">
        <f>G38</f>
        <v>257645629</v>
      </c>
      <c r="H44" s="362"/>
      <c r="I44" s="359"/>
      <c r="J44" s="359"/>
      <c r="K44" s="359"/>
      <c r="L44" s="359"/>
      <c r="M44" s="361">
        <f>SUM(M38:M43)</f>
        <v>1777167.4964999999</v>
      </c>
      <c r="N44" s="362"/>
      <c r="O44" s="362">
        <f>SUM(O38:O43)</f>
        <v>0</v>
      </c>
      <c r="P44" s="361">
        <f>SUM(P38:P43)</f>
        <v>1174007.1522333333</v>
      </c>
      <c r="Q44" s="363"/>
      <c r="R44" s="422"/>
      <c r="S44" s="423"/>
    </row>
    <row r="45" spans="1:85" s="352" customFormat="1" ht="16.5" customHeight="1" x14ac:dyDescent="0.3">
      <c r="A45" s="359"/>
      <c r="B45" s="360" t="s">
        <v>119</v>
      </c>
      <c r="C45" s="360">
        <f>C41</f>
        <v>72474334</v>
      </c>
      <c r="D45" s="360"/>
      <c r="E45" s="360">
        <f>E41</f>
        <v>3814438.6315789479</v>
      </c>
      <c r="F45" s="361">
        <f>F41</f>
        <v>76288772.631578952</v>
      </c>
      <c r="G45" s="361">
        <f>G41</f>
        <v>65474334</v>
      </c>
      <c r="H45" s="362"/>
      <c r="I45" s="359"/>
      <c r="J45" s="359"/>
      <c r="K45" s="359"/>
      <c r="L45" s="359" t="s">
        <v>252</v>
      </c>
      <c r="M45" s="361">
        <f>M39+M42</f>
        <v>1615606.8149999999</v>
      </c>
      <c r="N45" s="362"/>
      <c r="O45" s="362"/>
      <c r="P45" s="361">
        <f>P39+P42</f>
        <v>969364.08899999992</v>
      </c>
      <c r="Q45" s="363"/>
      <c r="R45" s="422"/>
      <c r="S45" s="423"/>
    </row>
    <row r="46" spans="1:85" s="352" customFormat="1" x14ac:dyDescent="0.3">
      <c r="B46" s="352" t="s">
        <v>361</v>
      </c>
      <c r="C46" s="356">
        <f>C38+C41</f>
        <v>330119963</v>
      </c>
      <c r="D46" s="356"/>
      <c r="E46" s="371">
        <f>SUM(E37:E43)</f>
        <v>17374734.894736845</v>
      </c>
      <c r="F46" s="371">
        <f>SUM(F37:F43)</f>
        <v>347494697.89473689</v>
      </c>
      <c r="G46" s="372">
        <f>SUM(G37:G43)</f>
        <v>323119963</v>
      </c>
      <c r="K46" s="355"/>
      <c r="L46" s="373" t="s">
        <v>38</v>
      </c>
      <c r="M46" s="374">
        <f>M40+M43</f>
        <v>161560.68150000001</v>
      </c>
      <c r="P46" s="374">
        <f>P40+P43</f>
        <v>96936.408899999995</v>
      </c>
      <c r="R46" s="353"/>
    </row>
    <row r="47" spans="1:85" s="352" customFormat="1" x14ac:dyDescent="0.3">
      <c r="B47" s="357" t="s">
        <v>273</v>
      </c>
      <c r="C47" s="356">
        <v>7000000</v>
      </c>
      <c r="D47" s="356"/>
      <c r="E47" s="356"/>
      <c r="F47" s="356"/>
      <c r="G47" s="356"/>
      <c r="R47" s="353"/>
    </row>
    <row r="48" spans="1:85" s="352" customFormat="1" x14ac:dyDescent="0.3">
      <c r="B48" s="357" t="s">
        <v>274</v>
      </c>
      <c r="C48" s="358">
        <f>C47*C38/C46</f>
        <v>5463224.2976472164</v>
      </c>
      <c r="M48" s="356"/>
      <c r="P48" s="356"/>
      <c r="R48" s="353"/>
    </row>
    <row r="49" spans="1:85" s="352" customFormat="1" x14ac:dyDescent="0.3">
      <c r="B49" s="357" t="s">
        <v>362</v>
      </c>
      <c r="C49" s="358">
        <f>C47*C41/C46</f>
        <v>1536775.7023527839</v>
      </c>
      <c r="M49" s="356"/>
      <c r="P49" s="356"/>
      <c r="R49" s="353"/>
    </row>
    <row r="50" spans="1:85" ht="15" thickBot="1" x14ac:dyDescent="0.35">
      <c r="A50" t="s">
        <v>311</v>
      </c>
      <c r="B50" s="229"/>
      <c r="C50" s="228"/>
      <c r="D50" s="207"/>
      <c r="E50" s="207"/>
      <c r="O50" s="207"/>
      <c r="P50" s="207"/>
      <c r="R50" s="266"/>
    </row>
    <row r="51" spans="1:85" s="379" customFormat="1" ht="98.25" customHeight="1" x14ac:dyDescent="0.3">
      <c r="A51" s="507" t="s">
        <v>379</v>
      </c>
      <c r="B51" s="510">
        <f>G51</f>
        <v>29695590.52631579</v>
      </c>
      <c r="C51" s="510">
        <f>51784196-23573385</f>
        <v>28210811</v>
      </c>
      <c r="D51" s="511" t="s">
        <v>329</v>
      </c>
      <c r="E51" s="510">
        <f>C51*5/95</f>
        <v>1484779.5263157894</v>
      </c>
      <c r="F51" s="510">
        <f>E51+C51</f>
        <v>29695590.52631579</v>
      </c>
      <c r="G51" s="510">
        <f>F51</f>
        <v>29695590.52631579</v>
      </c>
      <c r="H51" s="438" t="s">
        <v>303</v>
      </c>
      <c r="I51" s="438" t="s">
        <v>304</v>
      </c>
      <c r="J51" s="514" t="s">
        <v>253</v>
      </c>
      <c r="K51" s="514" t="s">
        <v>144</v>
      </c>
      <c r="L51" s="438" t="s">
        <v>152</v>
      </c>
      <c r="M51" s="289">
        <v>0</v>
      </c>
      <c r="N51" s="289" t="s">
        <v>47</v>
      </c>
      <c r="O51" s="450">
        <v>62</v>
      </c>
      <c r="P51" s="451">
        <f>P52</f>
        <v>125</v>
      </c>
      <c r="Q51" s="439" t="s">
        <v>305</v>
      </c>
      <c r="R51" s="424" t="s">
        <v>383</v>
      </c>
      <c r="S51" s="425" t="s">
        <v>406</v>
      </c>
      <c r="T51" s="425" t="s">
        <v>407</v>
      </c>
      <c r="U51" s="471" t="s">
        <v>423</v>
      </c>
      <c r="V51" s="477" t="s">
        <v>424</v>
      </c>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5"/>
      <c r="BD51" s="435"/>
      <c r="BE51" s="435"/>
      <c r="BF51" s="435"/>
      <c r="BG51" s="435"/>
      <c r="BH51" s="435"/>
      <c r="BI51" s="435"/>
      <c r="BJ51" s="435"/>
      <c r="BK51" s="435"/>
      <c r="BL51" s="435"/>
      <c r="BM51" s="435"/>
      <c r="BN51" s="435"/>
      <c r="BO51" s="435"/>
      <c r="BP51" s="435"/>
      <c r="BQ51" s="435"/>
      <c r="BR51" s="435"/>
      <c r="BS51" s="435"/>
      <c r="BT51" s="435"/>
      <c r="BU51" s="435"/>
      <c r="BV51" s="435"/>
      <c r="BW51" s="435"/>
      <c r="BX51" s="435"/>
      <c r="BY51" s="435"/>
      <c r="BZ51" s="435"/>
      <c r="CA51" s="435"/>
      <c r="CB51" s="435"/>
      <c r="CC51" s="435"/>
      <c r="CD51" s="435"/>
      <c r="CE51" s="435"/>
      <c r="CF51" s="435"/>
      <c r="CG51" s="435"/>
    </row>
    <row r="52" spans="1:85" s="379" customFormat="1" ht="191.25" customHeight="1" x14ac:dyDescent="0.3">
      <c r="A52" s="508"/>
      <c r="B52" s="504"/>
      <c r="C52" s="504"/>
      <c r="D52" s="512"/>
      <c r="E52" s="504"/>
      <c r="F52" s="504"/>
      <c r="G52" s="504"/>
      <c r="H52" s="440" t="s">
        <v>306</v>
      </c>
      <c r="I52" s="440" t="s">
        <v>307</v>
      </c>
      <c r="J52" s="515"/>
      <c r="K52" s="515"/>
      <c r="L52" s="440" t="s">
        <v>152</v>
      </c>
      <c r="M52" s="303">
        <v>0</v>
      </c>
      <c r="N52" s="303" t="s">
        <v>47</v>
      </c>
      <c r="O52" s="380">
        <v>62</v>
      </c>
      <c r="P52" s="452">
        <v>125</v>
      </c>
      <c r="Q52" s="285" t="s">
        <v>342</v>
      </c>
      <c r="R52" s="426" t="s">
        <v>408</v>
      </c>
      <c r="S52" s="427" t="s">
        <v>409</v>
      </c>
      <c r="T52" s="427" t="s">
        <v>410</v>
      </c>
      <c r="U52" s="446" t="s">
        <v>421</v>
      </c>
      <c r="V52" s="479" t="s">
        <v>425</v>
      </c>
      <c r="W52" s="56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5"/>
      <c r="BD52" s="435"/>
      <c r="BE52" s="435"/>
      <c r="BF52" s="435"/>
      <c r="BG52" s="435"/>
      <c r="BH52" s="435"/>
      <c r="BI52" s="435"/>
      <c r="BJ52" s="435"/>
      <c r="BK52" s="435"/>
      <c r="BL52" s="435"/>
      <c r="BM52" s="435"/>
      <c r="BN52" s="435"/>
      <c r="BO52" s="435"/>
      <c r="BP52" s="435"/>
      <c r="BQ52" s="435"/>
      <c r="BR52" s="435"/>
      <c r="BS52" s="435"/>
      <c r="BT52" s="435"/>
      <c r="BU52" s="435"/>
      <c r="BV52" s="435"/>
      <c r="BW52" s="435"/>
      <c r="BX52" s="435"/>
      <c r="BY52" s="435"/>
      <c r="BZ52" s="435"/>
      <c r="CA52" s="435"/>
      <c r="CB52" s="435"/>
      <c r="CC52" s="435"/>
      <c r="CD52" s="435"/>
      <c r="CE52" s="435"/>
      <c r="CF52" s="435"/>
      <c r="CG52" s="435"/>
    </row>
    <row r="53" spans="1:85" s="379" customFormat="1" ht="309.75" customHeight="1" x14ac:dyDescent="0.3">
      <c r="A53" s="508"/>
      <c r="B53" s="504"/>
      <c r="C53" s="504"/>
      <c r="D53" s="512"/>
      <c r="E53" s="504"/>
      <c r="F53" s="504"/>
      <c r="G53" s="504"/>
      <c r="H53" s="334" t="s">
        <v>252</v>
      </c>
      <c r="I53" s="334" t="s">
        <v>308</v>
      </c>
      <c r="J53" s="515"/>
      <c r="K53" s="515"/>
      <c r="L53" s="334" t="s">
        <v>150</v>
      </c>
      <c r="M53" s="453">
        <v>474929.5</v>
      </c>
      <c r="N53" s="283">
        <v>2021</v>
      </c>
      <c r="O53" s="303" t="s">
        <v>47</v>
      </c>
      <c r="P53" s="453">
        <v>370445.01</v>
      </c>
      <c r="Q53" s="285" t="s">
        <v>342</v>
      </c>
      <c r="R53" s="426" t="s">
        <v>384</v>
      </c>
      <c r="S53" s="428" t="s">
        <v>411</v>
      </c>
      <c r="T53" s="428" t="s">
        <v>412</v>
      </c>
      <c r="U53" s="446" t="s">
        <v>422</v>
      </c>
      <c r="V53" s="472"/>
      <c r="W53" s="56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5"/>
      <c r="BD53" s="435"/>
      <c r="BE53" s="435"/>
      <c r="BF53" s="435"/>
      <c r="BG53" s="435"/>
      <c r="BH53" s="435"/>
      <c r="BI53" s="435"/>
      <c r="BJ53" s="435"/>
      <c r="BK53" s="435"/>
      <c r="BL53" s="435"/>
      <c r="BM53" s="435"/>
      <c r="BN53" s="435"/>
      <c r="BO53" s="435"/>
      <c r="BP53" s="435"/>
      <c r="BQ53" s="435"/>
      <c r="BR53" s="435"/>
      <c r="BS53" s="435"/>
      <c r="BT53" s="435"/>
      <c r="BU53" s="435"/>
      <c r="BV53" s="435"/>
      <c r="BW53" s="435"/>
      <c r="BX53" s="435"/>
      <c r="BY53" s="435"/>
      <c r="BZ53" s="435"/>
      <c r="CA53" s="435"/>
      <c r="CB53" s="435"/>
      <c r="CC53" s="435"/>
      <c r="CD53" s="435"/>
      <c r="CE53" s="435"/>
      <c r="CF53" s="435"/>
      <c r="CG53" s="435"/>
    </row>
    <row r="54" spans="1:85" s="379" customFormat="1" ht="108" customHeight="1" x14ac:dyDescent="0.3">
      <c r="A54" s="508"/>
      <c r="B54" s="504"/>
      <c r="C54" s="504"/>
      <c r="D54" s="512"/>
      <c r="E54" s="504"/>
      <c r="F54" s="504"/>
      <c r="G54" s="504"/>
      <c r="H54" s="334" t="s">
        <v>38</v>
      </c>
      <c r="I54" s="334" t="s">
        <v>310</v>
      </c>
      <c r="J54" s="515"/>
      <c r="K54" s="515"/>
      <c r="L54" s="440" t="s">
        <v>309</v>
      </c>
      <c r="M54" s="453">
        <f>M53*0.15</f>
        <v>71239.425000000003</v>
      </c>
      <c r="N54" s="283">
        <v>2021</v>
      </c>
      <c r="O54" s="303" t="s">
        <v>47</v>
      </c>
      <c r="P54" s="453">
        <f>P53*0.15</f>
        <v>55566.751499999998</v>
      </c>
      <c r="Q54" s="285" t="s">
        <v>342</v>
      </c>
      <c r="R54" s="429" t="s">
        <v>385</v>
      </c>
      <c r="S54" s="430" t="s">
        <v>413</v>
      </c>
      <c r="T54" s="430" t="s">
        <v>414</v>
      </c>
      <c r="U54" s="447" t="s">
        <v>417</v>
      </c>
      <c r="V54" s="472"/>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5"/>
      <c r="BD54" s="435"/>
      <c r="BE54" s="435"/>
      <c r="BF54" s="435"/>
      <c r="BG54" s="435"/>
      <c r="BH54" s="435"/>
      <c r="BI54" s="435"/>
      <c r="BJ54" s="435"/>
      <c r="BK54" s="435"/>
      <c r="BL54" s="435"/>
      <c r="BM54" s="435"/>
      <c r="BN54" s="435"/>
      <c r="BO54" s="435"/>
      <c r="BP54" s="435"/>
      <c r="BQ54" s="435"/>
      <c r="BR54" s="435"/>
      <c r="BS54" s="435"/>
      <c r="BT54" s="435"/>
      <c r="BU54" s="435"/>
      <c r="BV54" s="435"/>
      <c r="BW54" s="435"/>
      <c r="BX54" s="435"/>
      <c r="BY54" s="435"/>
      <c r="BZ54" s="435"/>
      <c r="CA54" s="435"/>
      <c r="CB54" s="435"/>
      <c r="CC54" s="435"/>
      <c r="CD54" s="435"/>
      <c r="CE54" s="435"/>
      <c r="CF54" s="435"/>
      <c r="CG54" s="435"/>
    </row>
    <row r="55" spans="1:85" s="379" customFormat="1" ht="79.95" customHeight="1" x14ac:dyDescent="0.3">
      <c r="A55" s="508"/>
      <c r="B55" s="504">
        <f>G55</f>
        <v>9951861.0526315793</v>
      </c>
      <c r="C55" s="504">
        <f>40325666-30871398</f>
        <v>9454268</v>
      </c>
      <c r="D55" s="512"/>
      <c r="E55" s="504">
        <f>C55/95%*5%</f>
        <v>497593.05263157899</v>
      </c>
      <c r="F55" s="504">
        <f>E55+C55</f>
        <v>9951861.0526315793</v>
      </c>
      <c r="G55" s="504">
        <f>F55</f>
        <v>9951861.0526315793</v>
      </c>
      <c r="H55" s="440" t="s">
        <v>332</v>
      </c>
      <c r="I55" s="440" t="s">
        <v>304</v>
      </c>
      <c r="J55" s="502" t="s">
        <v>119</v>
      </c>
      <c r="K55" s="502" t="s">
        <v>120</v>
      </c>
      <c r="L55" s="440" t="s">
        <v>152</v>
      </c>
      <c r="M55" s="440">
        <v>0</v>
      </c>
      <c r="N55" s="440" t="s">
        <v>47</v>
      </c>
      <c r="O55" s="380">
        <v>66</v>
      </c>
      <c r="P55" s="452">
        <f>P56</f>
        <v>53</v>
      </c>
      <c r="Q55" s="285" t="s">
        <v>305</v>
      </c>
      <c r="R55" s="431" t="s">
        <v>386</v>
      </c>
      <c r="S55" s="433"/>
      <c r="T55" s="434"/>
      <c r="U55" s="445" t="s">
        <v>418</v>
      </c>
      <c r="V55" s="473" t="s">
        <v>372</v>
      </c>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5"/>
      <c r="BD55" s="435"/>
      <c r="BE55" s="435"/>
      <c r="BF55" s="435"/>
      <c r="BG55" s="435"/>
      <c r="BH55" s="435"/>
      <c r="BI55" s="435"/>
      <c r="BJ55" s="435"/>
      <c r="BK55" s="435"/>
      <c r="BL55" s="435"/>
      <c r="BM55" s="435"/>
      <c r="BN55" s="435"/>
      <c r="BO55" s="435"/>
      <c r="BP55" s="435"/>
      <c r="BQ55" s="435"/>
      <c r="BR55" s="435"/>
      <c r="BS55" s="435"/>
      <c r="BT55" s="435"/>
      <c r="BU55" s="435"/>
      <c r="BV55" s="435"/>
      <c r="BW55" s="435"/>
      <c r="BX55" s="435"/>
      <c r="BY55" s="435"/>
      <c r="BZ55" s="435"/>
      <c r="CA55" s="435"/>
      <c r="CB55" s="435"/>
      <c r="CC55" s="435"/>
      <c r="CD55" s="435"/>
      <c r="CE55" s="435"/>
      <c r="CF55" s="435"/>
      <c r="CG55" s="435"/>
    </row>
    <row r="56" spans="1:85" s="379" customFormat="1" ht="172.5" customHeight="1" x14ac:dyDescent="0.3">
      <c r="A56" s="508"/>
      <c r="B56" s="504"/>
      <c r="C56" s="504"/>
      <c r="D56" s="512"/>
      <c r="E56" s="504"/>
      <c r="F56" s="504"/>
      <c r="G56" s="504"/>
      <c r="H56" s="440" t="s">
        <v>332</v>
      </c>
      <c r="I56" s="440" t="s">
        <v>307</v>
      </c>
      <c r="J56" s="502"/>
      <c r="K56" s="502"/>
      <c r="L56" s="440" t="s">
        <v>152</v>
      </c>
      <c r="M56" s="440">
        <v>0</v>
      </c>
      <c r="N56" s="440" t="s">
        <v>47</v>
      </c>
      <c r="O56" s="380">
        <v>66</v>
      </c>
      <c r="P56" s="452">
        <v>53</v>
      </c>
      <c r="Q56" s="285" t="s">
        <v>342</v>
      </c>
      <c r="R56" s="426" t="s">
        <v>387</v>
      </c>
      <c r="S56" s="433"/>
      <c r="T56" s="434"/>
      <c r="U56" s="446" t="s">
        <v>420</v>
      </c>
      <c r="V56" s="473" t="s">
        <v>374</v>
      </c>
      <c r="W56" s="56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435"/>
      <c r="BJ56" s="435"/>
      <c r="BK56" s="435"/>
      <c r="BL56" s="435"/>
      <c r="BM56" s="435"/>
      <c r="BN56" s="435"/>
      <c r="BO56" s="435"/>
      <c r="BP56" s="435"/>
      <c r="BQ56" s="435"/>
      <c r="BR56" s="435"/>
      <c r="BS56" s="435"/>
      <c r="BT56" s="435"/>
      <c r="BU56" s="435"/>
      <c r="BV56" s="435"/>
      <c r="BW56" s="435"/>
      <c r="BX56" s="435"/>
      <c r="BY56" s="435"/>
      <c r="BZ56" s="435"/>
      <c r="CA56" s="435"/>
      <c r="CB56" s="435"/>
      <c r="CC56" s="435"/>
      <c r="CD56" s="435"/>
      <c r="CE56" s="435"/>
      <c r="CF56" s="435"/>
      <c r="CG56" s="435"/>
    </row>
    <row r="57" spans="1:85" s="379" customFormat="1" ht="270" customHeight="1" x14ac:dyDescent="0.3">
      <c r="A57" s="508"/>
      <c r="B57" s="504"/>
      <c r="C57" s="504"/>
      <c r="D57" s="512"/>
      <c r="E57" s="504"/>
      <c r="F57" s="504"/>
      <c r="G57" s="504"/>
      <c r="H57" s="334" t="s">
        <v>252</v>
      </c>
      <c r="I57" s="334" t="s">
        <v>308</v>
      </c>
      <c r="J57" s="502"/>
      <c r="K57" s="502"/>
      <c r="L57" s="334" t="s">
        <v>150</v>
      </c>
      <c r="M57" s="454">
        <v>190995.32</v>
      </c>
      <c r="N57" s="441">
        <v>2021</v>
      </c>
      <c r="O57" s="334" t="s">
        <v>47</v>
      </c>
      <c r="P57" s="454">
        <v>148976.35</v>
      </c>
      <c r="Q57" s="338" t="s">
        <v>342</v>
      </c>
      <c r="R57" s="426" t="s">
        <v>388</v>
      </c>
      <c r="S57" s="434"/>
      <c r="T57" s="470"/>
      <c r="U57" s="448" t="s">
        <v>419</v>
      </c>
      <c r="V57" s="472"/>
      <c r="W57" s="56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5"/>
      <c r="BD57" s="435"/>
      <c r="BE57" s="435"/>
      <c r="BF57" s="435"/>
      <c r="BG57" s="435"/>
      <c r="BH57" s="435"/>
      <c r="BI57" s="435"/>
      <c r="BJ57" s="435"/>
      <c r="BK57" s="435"/>
      <c r="BL57" s="435"/>
      <c r="BM57" s="435"/>
      <c r="BN57" s="435"/>
      <c r="BO57" s="435"/>
      <c r="BP57" s="435"/>
      <c r="BQ57" s="435"/>
      <c r="BR57" s="435"/>
      <c r="BS57" s="435"/>
      <c r="BT57" s="435"/>
      <c r="BU57" s="435"/>
      <c r="BV57" s="435"/>
      <c r="BW57" s="435"/>
      <c r="BX57" s="435"/>
      <c r="BY57" s="435"/>
      <c r="BZ57" s="435"/>
      <c r="CA57" s="435"/>
      <c r="CB57" s="435"/>
      <c r="CC57" s="435"/>
      <c r="CD57" s="435"/>
      <c r="CE57" s="435"/>
      <c r="CF57" s="435"/>
      <c r="CG57" s="435"/>
    </row>
    <row r="58" spans="1:85" s="379" customFormat="1" ht="96.6" customHeight="1" thickBot="1" x14ac:dyDescent="0.35">
      <c r="A58" s="509"/>
      <c r="B58" s="505"/>
      <c r="C58" s="505"/>
      <c r="D58" s="513"/>
      <c r="E58" s="505"/>
      <c r="F58" s="505"/>
      <c r="G58" s="505"/>
      <c r="H58" s="343" t="s">
        <v>38</v>
      </c>
      <c r="I58" s="343" t="s">
        <v>310</v>
      </c>
      <c r="J58" s="503"/>
      <c r="K58" s="503"/>
      <c r="L58" s="442" t="s">
        <v>309</v>
      </c>
      <c r="M58" s="455">
        <f>M57*0.15</f>
        <v>28649.297999999999</v>
      </c>
      <c r="N58" s="443">
        <v>2021</v>
      </c>
      <c r="O58" s="442" t="s">
        <v>47</v>
      </c>
      <c r="P58" s="456">
        <f>P57*0.15</f>
        <v>22346.452499999999</v>
      </c>
      <c r="Q58" s="444" t="s">
        <v>343</v>
      </c>
      <c r="R58" s="432" t="s">
        <v>415</v>
      </c>
      <c r="S58" s="474"/>
      <c r="T58" s="469"/>
      <c r="U58" s="475" t="s">
        <v>416</v>
      </c>
      <c r="V58" s="476"/>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5"/>
      <c r="BD58" s="435"/>
      <c r="BE58" s="435"/>
      <c r="BF58" s="435"/>
      <c r="BG58" s="435"/>
      <c r="BH58" s="435"/>
      <c r="BI58" s="435"/>
      <c r="BJ58" s="435"/>
      <c r="BK58" s="435"/>
      <c r="BL58" s="435"/>
      <c r="BM58" s="435"/>
      <c r="BN58" s="435"/>
      <c r="BO58" s="435"/>
      <c r="BP58" s="435"/>
      <c r="BQ58" s="435"/>
      <c r="BR58" s="435"/>
      <c r="BS58" s="435"/>
      <c r="BT58" s="435"/>
      <c r="BU58" s="435"/>
      <c r="BV58" s="435"/>
      <c r="BW58" s="435"/>
      <c r="BX58" s="435"/>
      <c r="BY58" s="435"/>
      <c r="BZ58" s="435"/>
      <c r="CA58" s="435"/>
      <c r="CB58" s="435"/>
      <c r="CC58" s="435"/>
      <c r="CD58" s="435"/>
      <c r="CE58" s="435"/>
      <c r="CF58" s="435"/>
      <c r="CG58" s="435"/>
    </row>
    <row r="59" spans="1:85" customFormat="1" x14ac:dyDescent="0.3">
      <c r="B59" s="292" t="s">
        <v>119</v>
      </c>
      <c r="C59" s="307">
        <f>SUM(C55)</f>
        <v>9454268</v>
      </c>
      <c r="D59" s="307"/>
      <c r="E59" s="449">
        <f>SUM(E55)</f>
        <v>497593.05263157899</v>
      </c>
      <c r="F59" s="307">
        <f>SUM(F55)</f>
        <v>9951861.0526315793</v>
      </c>
      <c r="G59" s="307">
        <f>SUM(G55)</f>
        <v>9951861.0526315793</v>
      </c>
      <c r="M59" s="457">
        <f>SUM(M51:M58)</f>
        <v>765813.54300000006</v>
      </c>
      <c r="N59" s="458"/>
      <c r="O59" s="459">
        <f>SUM(O51:O58)</f>
        <v>256</v>
      </c>
      <c r="P59" s="457">
        <f>SUM(P51:P58)</f>
        <v>597690.56400000001</v>
      </c>
      <c r="T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5"/>
      <c r="BD59" s="435"/>
      <c r="BE59" s="435"/>
      <c r="BF59" s="435"/>
      <c r="BG59" s="435"/>
      <c r="BH59" s="435"/>
      <c r="BI59" s="435"/>
      <c r="BJ59" s="435"/>
      <c r="BK59" s="435"/>
      <c r="BL59" s="435"/>
      <c r="BM59" s="435"/>
      <c r="BN59" s="435"/>
      <c r="BO59" s="435"/>
      <c r="BP59" s="435"/>
      <c r="BQ59" s="435"/>
      <c r="BR59" s="435"/>
      <c r="BS59" s="435"/>
      <c r="BT59" s="435"/>
      <c r="BU59" s="435"/>
      <c r="BV59" s="435"/>
      <c r="BW59" s="435"/>
      <c r="BX59" s="435"/>
      <c r="BY59" s="435"/>
      <c r="BZ59" s="435"/>
      <c r="CA59" s="435"/>
      <c r="CB59" s="435"/>
      <c r="CC59" s="435"/>
      <c r="CD59" s="435"/>
      <c r="CE59" s="435"/>
      <c r="CF59" s="435"/>
      <c r="CG59" s="435"/>
    </row>
    <row r="60" spans="1:85" customFormat="1" x14ac:dyDescent="0.3">
      <c r="B60" t="s">
        <v>262</v>
      </c>
      <c r="C60" s="307">
        <f>C51</f>
        <v>28210811</v>
      </c>
      <c r="D60" s="307"/>
      <c r="E60" s="449">
        <f>E51</f>
        <v>1484779.5263157894</v>
      </c>
      <c r="F60" s="307">
        <f>F51</f>
        <v>29695590.52631579</v>
      </c>
      <c r="G60" s="307">
        <f>G51</f>
        <v>29695590.52631579</v>
      </c>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c r="BN60" s="435"/>
      <c r="BO60" s="435"/>
      <c r="BP60" s="435"/>
      <c r="BQ60" s="435"/>
      <c r="BR60" s="435"/>
      <c r="BS60" s="435"/>
      <c r="BT60" s="435"/>
      <c r="BU60" s="435"/>
      <c r="BV60" s="435"/>
      <c r="BW60" s="435"/>
      <c r="BX60" s="435"/>
      <c r="BY60" s="435"/>
      <c r="BZ60" s="435"/>
      <c r="CA60" s="435"/>
      <c r="CB60" s="435"/>
      <c r="CC60" s="435"/>
      <c r="CD60" s="435"/>
      <c r="CE60" s="435"/>
      <c r="CF60" s="435"/>
      <c r="CG60" s="435"/>
    </row>
    <row r="61" spans="1:85" customFormat="1" x14ac:dyDescent="0.3">
      <c r="C61" s="201"/>
      <c r="E61" s="253"/>
      <c r="F61" s="201"/>
      <c r="G61" s="201"/>
      <c r="M61" s="255"/>
      <c r="P61" s="25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5"/>
      <c r="BD61" s="435"/>
      <c r="BE61" s="435"/>
      <c r="BF61" s="435"/>
      <c r="BG61" s="435"/>
      <c r="BH61" s="435"/>
      <c r="BI61" s="435"/>
      <c r="BJ61" s="435"/>
      <c r="BK61" s="435"/>
      <c r="BL61" s="435"/>
      <c r="BM61" s="435"/>
      <c r="BN61" s="435"/>
      <c r="BO61" s="435"/>
      <c r="BP61" s="435"/>
      <c r="BQ61" s="435"/>
      <c r="BR61" s="435"/>
      <c r="BS61" s="435"/>
      <c r="BT61" s="435"/>
      <c r="BU61" s="435"/>
      <c r="BV61" s="435"/>
      <c r="BW61" s="435"/>
      <c r="BX61" s="435"/>
      <c r="BY61" s="435"/>
      <c r="BZ61" s="435"/>
      <c r="CA61" s="435"/>
      <c r="CB61" s="435"/>
      <c r="CC61" s="435"/>
      <c r="CD61" s="435"/>
      <c r="CE61" s="435"/>
      <c r="CF61" s="435"/>
      <c r="CG61" s="435"/>
    </row>
    <row r="62" spans="1:85" customFormat="1" x14ac:dyDescent="0.3">
      <c r="C62" s="201"/>
      <c r="E62" s="253"/>
      <c r="F62" s="201"/>
      <c r="G62" s="201"/>
      <c r="M62" s="293"/>
      <c r="P62" s="25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5"/>
      <c r="BD62" s="435"/>
      <c r="BE62" s="435"/>
      <c r="BF62" s="435"/>
      <c r="BG62" s="435"/>
      <c r="BH62" s="435"/>
      <c r="BI62" s="435"/>
      <c r="BJ62" s="435"/>
      <c r="BK62" s="435"/>
      <c r="BL62" s="435"/>
      <c r="BM62" s="435"/>
      <c r="BN62" s="435"/>
      <c r="BO62" s="435"/>
      <c r="BP62" s="435"/>
      <c r="BQ62" s="435"/>
      <c r="BR62" s="435"/>
      <c r="BS62" s="435"/>
      <c r="BT62" s="435"/>
      <c r="BU62" s="435"/>
      <c r="BV62" s="435"/>
      <c r="BW62" s="435"/>
      <c r="BX62" s="435"/>
      <c r="BY62" s="435"/>
      <c r="BZ62" s="435"/>
      <c r="CA62" s="435"/>
      <c r="CB62" s="435"/>
      <c r="CC62" s="435"/>
      <c r="CD62" s="435"/>
      <c r="CE62" s="435"/>
      <c r="CF62" s="435"/>
      <c r="CG62" s="435"/>
    </row>
    <row r="63" spans="1:85" customFormat="1" x14ac:dyDescent="0.3">
      <c r="C63" s="201"/>
      <c r="E63" s="253"/>
      <c r="F63" s="201"/>
      <c r="G63" s="201"/>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5"/>
      <c r="BD63" s="435"/>
      <c r="BE63" s="435"/>
      <c r="BF63" s="435"/>
      <c r="BG63" s="435"/>
      <c r="BH63" s="435"/>
      <c r="BI63" s="435"/>
      <c r="BJ63" s="435"/>
      <c r="BK63" s="435"/>
      <c r="BL63" s="435"/>
      <c r="BM63" s="435"/>
      <c r="BN63" s="435"/>
      <c r="BO63" s="435"/>
      <c r="BP63" s="435"/>
      <c r="BQ63" s="435"/>
      <c r="BR63" s="435"/>
      <c r="BS63" s="435"/>
      <c r="BT63" s="435"/>
      <c r="BU63" s="435"/>
      <c r="BV63" s="435"/>
      <c r="BW63" s="435"/>
      <c r="BX63" s="435"/>
      <c r="BY63" s="435"/>
      <c r="BZ63" s="435"/>
      <c r="CA63" s="435"/>
      <c r="CB63" s="435"/>
      <c r="CC63" s="435"/>
      <c r="CD63" s="435"/>
      <c r="CE63" s="435"/>
      <c r="CF63" s="435"/>
      <c r="CG63" s="435"/>
    </row>
    <row r="64" spans="1:85" customFormat="1" x14ac:dyDescent="0.3">
      <c r="C64" s="201"/>
      <c r="E64" s="253"/>
      <c r="F64" s="201"/>
      <c r="G64" s="201"/>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5"/>
      <c r="BD64" s="435"/>
      <c r="BE64" s="435"/>
      <c r="BF64" s="435"/>
      <c r="BG64" s="435"/>
      <c r="BH64" s="435"/>
      <c r="BI64" s="435"/>
      <c r="BJ64" s="435"/>
      <c r="BK64" s="435"/>
      <c r="BL64" s="435"/>
      <c r="BM64" s="435"/>
      <c r="BN64" s="435"/>
      <c r="BO64" s="435"/>
      <c r="BP64" s="435"/>
      <c r="BQ64" s="435"/>
      <c r="BR64" s="435"/>
      <c r="BS64" s="435"/>
      <c r="BT64" s="435"/>
      <c r="BU64" s="435"/>
      <c r="BV64" s="435"/>
      <c r="BW64" s="435"/>
      <c r="BX64" s="435"/>
      <c r="BY64" s="435"/>
      <c r="BZ64" s="435"/>
      <c r="CA64" s="435"/>
      <c r="CB64" s="435"/>
      <c r="CC64" s="435"/>
      <c r="CD64" s="435"/>
      <c r="CE64" s="435"/>
      <c r="CF64" s="435"/>
      <c r="CG64" s="435"/>
    </row>
    <row r="65" spans="1:19" x14ac:dyDescent="0.3">
      <c r="B65" s="229"/>
      <c r="C65" s="228"/>
      <c r="D65" s="207"/>
      <c r="E65" s="207"/>
      <c r="L65" s="267" t="s">
        <v>331</v>
      </c>
      <c r="M65" s="238">
        <f>M33+M44+M59</f>
        <v>7268301.0395</v>
      </c>
      <c r="O65" s="238">
        <f>O33+O44+O59</f>
        <v>3368</v>
      </c>
      <c r="P65" s="238">
        <f>P33+P44+P59</f>
        <v>6194899.7162333336</v>
      </c>
    </row>
    <row r="66" spans="1:19" ht="15" thickBot="1" x14ac:dyDescent="0.35">
      <c r="L66" s="267"/>
      <c r="M66" s="268"/>
      <c r="O66" s="207"/>
      <c r="P66" s="269"/>
      <c r="Q66" s="230"/>
    </row>
    <row r="67" spans="1:19" ht="73.5" customHeight="1" x14ac:dyDescent="0.3">
      <c r="A67" s="324" t="s">
        <v>263</v>
      </c>
      <c r="B67" s="325" t="s">
        <v>264</v>
      </c>
      <c r="C67" s="325" t="s">
        <v>265</v>
      </c>
      <c r="D67" s="325" t="s">
        <v>266</v>
      </c>
      <c r="E67" s="325" t="s">
        <v>181</v>
      </c>
      <c r="F67" s="325" t="s">
        <v>115</v>
      </c>
      <c r="G67" s="325" t="s">
        <v>267</v>
      </c>
      <c r="H67" s="325" t="s">
        <v>248</v>
      </c>
      <c r="I67" s="384" t="s">
        <v>351</v>
      </c>
      <c r="J67" s="308" t="s">
        <v>123</v>
      </c>
      <c r="K67" s="384" t="s">
        <v>351</v>
      </c>
      <c r="L67" s="326" t="s">
        <v>352</v>
      </c>
      <c r="O67" s="207"/>
      <c r="P67" s="207"/>
      <c r="S67" s="208"/>
    </row>
    <row r="68" spans="1:19" ht="82.5" customHeight="1" x14ac:dyDescent="0.3">
      <c r="A68" s="231" t="str">
        <f>H6</f>
        <v>specific output</v>
      </c>
      <c r="B68" s="200" t="str">
        <f>I6</f>
        <v>Dwellings with more efficient heat production capacities (Būstai su efektyvesniais šilumos gamybos įrenginiais)</v>
      </c>
      <c r="C68" s="202" t="str">
        <f>L6</f>
        <v>dwellings</v>
      </c>
      <c r="D68" s="232">
        <v>0</v>
      </c>
      <c r="E68" s="202" t="s">
        <v>119</v>
      </c>
      <c r="F68" s="202" t="s">
        <v>120</v>
      </c>
      <c r="G68" s="202" t="s">
        <v>47</v>
      </c>
      <c r="H68" s="206">
        <f>O6</f>
        <v>1025</v>
      </c>
      <c r="I68" s="206"/>
      <c r="J68" s="232">
        <f>P6</f>
        <v>10252</v>
      </c>
      <c r="K68" s="232"/>
      <c r="L68" s="233"/>
      <c r="M68" s="207" t="s">
        <v>246</v>
      </c>
      <c r="O68" s="207"/>
      <c r="P68" s="207"/>
      <c r="S68" s="208"/>
    </row>
    <row r="69" spans="1:19" ht="87.75" customHeight="1" x14ac:dyDescent="0.3">
      <c r="A69" s="231" t="str">
        <f>H9</f>
        <v>specific output</v>
      </c>
      <c r="B69" s="200" t="str">
        <f>I9</f>
        <v>Dwellings with more efficient heat production capacities (Būstai su efektyvesniais šilumos gamybos įrenginiais)</v>
      </c>
      <c r="C69" s="202" t="str">
        <f>L9</f>
        <v>dwellings</v>
      </c>
      <c r="D69" s="232">
        <v>0</v>
      </c>
      <c r="E69" s="200" t="s">
        <v>253</v>
      </c>
      <c r="F69" s="202" t="s">
        <v>144</v>
      </c>
      <c r="G69" s="202" t="s">
        <v>47</v>
      </c>
      <c r="H69" s="206">
        <f>O9</f>
        <v>1025</v>
      </c>
      <c r="I69" s="206"/>
      <c r="J69" s="232">
        <f>P9</f>
        <v>10252</v>
      </c>
      <c r="K69" s="232"/>
      <c r="L69" s="233"/>
      <c r="M69" s="271" t="s">
        <v>246</v>
      </c>
      <c r="O69" s="207"/>
      <c r="P69" s="207"/>
      <c r="S69" s="208"/>
    </row>
    <row r="70" spans="1:19" ht="87.75" customHeight="1" x14ac:dyDescent="0.3">
      <c r="A70" s="231" t="str">
        <f>H38</f>
        <v>RCO18</v>
      </c>
      <c r="B70" s="200" t="str">
        <f>I38</f>
        <v>Dwellings with improved energy peformance (Būstai, kurių energinis naudingumas pagerintas )</v>
      </c>
      <c r="C70" s="202" t="str">
        <f>L38</f>
        <v>dwellings
(Būstai)</v>
      </c>
      <c r="D70" s="232">
        <v>0</v>
      </c>
      <c r="E70" s="200" t="s">
        <v>253</v>
      </c>
      <c r="F70" s="202" t="s">
        <v>144</v>
      </c>
      <c r="G70" s="202" t="s">
        <v>47</v>
      </c>
      <c r="H70" s="232">
        <f>O38</f>
        <v>0</v>
      </c>
      <c r="I70" s="232"/>
      <c r="J70" s="232">
        <f>P38</f>
        <v>75394.658033333326</v>
      </c>
      <c r="K70" s="232"/>
      <c r="L70" s="233"/>
      <c r="M70" s="271" t="s">
        <v>278</v>
      </c>
      <c r="O70" s="207"/>
      <c r="P70" s="207"/>
      <c r="S70" s="208"/>
    </row>
    <row r="71" spans="1:19" ht="63" customHeight="1" x14ac:dyDescent="0.3">
      <c r="A71" s="364" t="str">
        <f>H41</f>
        <v>RCO18</v>
      </c>
      <c r="B71" s="365" t="str">
        <f>I41</f>
        <v>Dwellings with improved energy peformance (Būstai, kurių energinis naudingumas pagerintas )</v>
      </c>
      <c r="C71" s="366" t="str">
        <f>L41</f>
        <v>dwellings
(būstai)</v>
      </c>
      <c r="D71" s="367">
        <v>0</v>
      </c>
      <c r="E71" s="365" t="str">
        <f>J41</f>
        <v>Whole Lithuania</v>
      </c>
      <c r="F71" s="370" t="s">
        <v>120</v>
      </c>
      <c r="G71" s="366" t="s">
        <v>47</v>
      </c>
      <c r="H71" s="367">
        <f>O41</f>
        <v>0</v>
      </c>
      <c r="I71" s="367"/>
      <c r="J71" s="367">
        <f>P41</f>
        <v>32311.996299999999</v>
      </c>
      <c r="K71" s="367"/>
      <c r="L71" s="368"/>
      <c r="M71" s="369" t="s">
        <v>278</v>
      </c>
      <c r="O71" s="207"/>
      <c r="P71" s="207"/>
      <c r="S71" s="208"/>
    </row>
    <row r="72" spans="1:19" ht="90.75" customHeight="1" x14ac:dyDescent="0.3">
      <c r="A72" s="231" t="str">
        <f>H8</f>
        <v>RCR29</v>
      </c>
      <c r="B72" s="270" t="str">
        <f>I8</f>
        <v>Estimated greenhouse gas emissions (numatomas išmetamas šiltnamio efektą sukeliančių dujų kiekis)</v>
      </c>
      <c r="C72" s="202" t="str">
        <f>L8</f>
        <v>tons of CO2eq/year</v>
      </c>
      <c r="D72" s="454">
        <f>M8+M17+M23+M43+M58</f>
        <v>275648.99245000002</v>
      </c>
      <c r="E72" s="202" t="s">
        <v>119</v>
      </c>
      <c r="F72" s="202" t="s">
        <v>120</v>
      </c>
      <c r="G72" s="202">
        <v>2021</v>
      </c>
      <c r="H72" s="206" t="str">
        <f>O17</f>
        <v>n/a</v>
      </c>
      <c r="I72" s="206"/>
      <c r="J72" s="454">
        <f>P8+P17+P23+P58+P43</f>
        <v>236013.66917000001</v>
      </c>
      <c r="K72" s="232"/>
      <c r="L72" s="233"/>
      <c r="M72" s="328" t="s">
        <v>341</v>
      </c>
      <c r="O72" s="207"/>
      <c r="P72" s="207"/>
      <c r="S72" s="208"/>
    </row>
    <row r="73" spans="1:19" ht="90.75" customHeight="1" x14ac:dyDescent="0.3">
      <c r="A73" s="231" t="str">
        <f>H13</f>
        <v>RCR29</v>
      </c>
      <c r="B73" s="270" t="str">
        <f>I13</f>
        <v>Estimated greenhouse gas emissions (numatomas išmetamas šiltnamio efektą sukeliančių dujų kiekis)</v>
      </c>
      <c r="C73" s="202" t="str">
        <f>L13</f>
        <v>tons of CO2eq/year</v>
      </c>
      <c r="D73" s="454">
        <f>M13+M20+M30+M40+M54</f>
        <v>382862.41204999998</v>
      </c>
      <c r="E73" s="200" t="s">
        <v>253</v>
      </c>
      <c r="F73" s="202" t="s">
        <v>144</v>
      </c>
      <c r="G73" s="202">
        <v>2021</v>
      </c>
      <c r="H73" s="206" t="s">
        <v>47</v>
      </c>
      <c r="I73" s="206"/>
      <c r="J73" s="454">
        <f>P13+P20+P30+P40+P54</f>
        <v>308007.94373</v>
      </c>
      <c r="K73" s="232"/>
      <c r="L73" s="233"/>
      <c r="M73" s="328" t="s">
        <v>341</v>
      </c>
      <c r="O73" s="207"/>
      <c r="P73" s="207"/>
      <c r="S73" s="208"/>
    </row>
    <row r="74" spans="1:19" ht="90.75" customHeight="1" x14ac:dyDescent="0.3">
      <c r="A74" s="231" t="str">
        <f>H14</f>
        <v>RCO19</v>
      </c>
      <c r="B74" s="270" t="str">
        <f>I14</f>
        <v>Public buildings with improved energy performance (viešieji pastatai, kurių energinis naudingumas pagerintas)</v>
      </c>
      <c r="C74" s="202" t="str">
        <f>L14</f>
        <v>square metres</v>
      </c>
      <c r="D74" s="232">
        <v>0</v>
      </c>
      <c r="E74" s="202" t="s">
        <v>119</v>
      </c>
      <c r="F74" s="348" t="s">
        <v>120</v>
      </c>
      <c r="G74" s="348" t="s">
        <v>47</v>
      </c>
      <c r="H74" s="206">
        <f>O14</f>
        <v>0</v>
      </c>
      <c r="I74" s="206"/>
      <c r="J74" s="232">
        <f>P14</f>
        <v>87970</v>
      </c>
      <c r="K74" s="232"/>
      <c r="L74" s="233"/>
      <c r="M74" s="207" t="s">
        <v>246</v>
      </c>
      <c r="O74" s="207"/>
      <c r="P74" s="207"/>
      <c r="S74" s="208"/>
    </row>
    <row r="75" spans="1:19" ht="90.75" customHeight="1" x14ac:dyDescent="0.3">
      <c r="A75" s="231" t="str">
        <f>H18</f>
        <v>RCO19</v>
      </c>
      <c r="B75" s="270" t="str">
        <f>I18</f>
        <v>Public buildings with improved energy performance (viešieji pastatai, kurių energinis naudingumas pagerintas)</v>
      </c>
      <c r="C75" s="202" t="str">
        <f>L18</f>
        <v>square metres</v>
      </c>
      <c r="D75" s="232">
        <v>0</v>
      </c>
      <c r="E75" s="200" t="s">
        <v>253</v>
      </c>
      <c r="F75" s="202" t="s">
        <v>144</v>
      </c>
      <c r="G75" s="348" t="s">
        <v>47</v>
      </c>
      <c r="H75" s="206">
        <f>O18</f>
        <v>0</v>
      </c>
      <c r="I75" s="206"/>
      <c r="J75" s="232">
        <f>P18</f>
        <v>87970</v>
      </c>
      <c r="K75" s="232"/>
      <c r="L75" s="233"/>
      <c r="M75" s="207" t="s">
        <v>246</v>
      </c>
      <c r="O75" s="207"/>
      <c r="P75" s="207"/>
      <c r="S75" s="208"/>
    </row>
    <row r="76" spans="1:19" ht="115.2" x14ac:dyDescent="0.3">
      <c r="A76" s="234" t="str">
        <f>H22</f>
        <v>RCO20</v>
      </c>
      <c r="B76" s="223" t="str">
        <f>I22</f>
        <v>District heating and cooling network lines newly constructed or improved (naujai pastatyti ar patobulinti centralizuoto šilumos ir vėsumos tiekimo tinklų vamzdynai)</v>
      </c>
      <c r="C76" s="200" t="str">
        <f>L22</f>
        <v>km</v>
      </c>
      <c r="D76" s="232">
        <v>0</v>
      </c>
      <c r="E76" s="202" t="s">
        <v>119</v>
      </c>
      <c r="F76" s="202" t="s">
        <v>120</v>
      </c>
      <c r="G76" s="202" t="s">
        <v>47</v>
      </c>
      <c r="H76" s="203">
        <f>O22</f>
        <v>2</v>
      </c>
      <c r="I76" s="203"/>
      <c r="J76" s="203">
        <f>P22</f>
        <v>17</v>
      </c>
      <c r="K76" s="203"/>
      <c r="L76" s="235"/>
      <c r="M76" s="207" t="s">
        <v>246</v>
      </c>
      <c r="O76" s="207"/>
      <c r="P76" s="207"/>
      <c r="S76" s="208"/>
    </row>
    <row r="77" spans="1:19" ht="115.2" x14ac:dyDescent="0.3">
      <c r="A77" s="234" t="str">
        <f>H28</f>
        <v>RCO20</v>
      </c>
      <c r="B77" s="223" t="str">
        <f>I28</f>
        <v>District heating and cooling network lines newly constructed or improved (naujai pastatyti ar patobulinti centralizuoto šilumos ir vėsumos tiekimo tinklų vamzdynai)</v>
      </c>
      <c r="C77" s="200" t="str">
        <f>L28</f>
        <v>km</v>
      </c>
      <c r="D77" s="232">
        <v>0</v>
      </c>
      <c r="E77" s="200" t="s">
        <v>253</v>
      </c>
      <c r="F77" s="202" t="s">
        <v>144</v>
      </c>
      <c r="G77" s="202" t="s">
        <v>47</v>
      </c>
      <c r="H77" s="203">
        <f>O28</f>
        <v>2</v>
      </c>
      <c r="I77" s="203"/>
      <c r="J77" s="203">
        <f>P28</f>
        <v>17</v>
      </c>
      <c r="K77" s="203"/>
      <c r="L77" s="235"/>
      <c r="M77" s="207" t="s">
        <v>246</v>
      </c>
      <c r="O77" s="207"/>
      <c r="P77" s="207"/>
      <c r="S77" s="208"/>
    </row>
    <row r="78" spans="1:19" ht="134.25" customHeight="1" x14ac:dyDescent="0.3">
      <c r="A78" s="234" t="str">
        <f>H7</f>
        <v>RCR26</v>
      </c>
      <c r="B78" s="223" t="str">
        <f>I7</f>
        <v>Annual primary energy consumption (of which: dwellings, public buildings, enterprises, other) (metinis pirminės energijos suvartojimo kiekis (iš kurio: būstai, viešieji pastatai, įmonės, kita)</v>
      </c>
      <c r="C78" s="200" t="str">
        <f>L7</f>
        <v>MWh/year</v>
      </c>
      <c r="D78" s="462">
        <f>M7+M15+M21+M42+M57</f>
        <v>2839811.2645</v>
      </c>
      <c r="E78" s="200" t="s">
        <v>119</v>
      </c>
      <c r="F78" s="202" t="s">
        <v>120</v>
      </c>
      <c r="G78" s="323">
        <v>2021</v>
      </c>
      <c r="H78" s="203" t="s">
        <v>47</v>
      </c>
      <c r="I78" s="203"/>
      <c r="J78" s="454">
        <f>P7+P15+P21+P57+P42</f>
        <v>2363274.5167</v>
      </c>
      <c r="K78" s="206"/>
      <c r="L78" s="236"/>
      <c r="M78" s="294" t="s">
        <v>341</v>
      </c>
      <c r="O78" s="207"/>
      <c r="P78" s="207"/>
      <c r="S78" s="208"/>
    </row>
    <row r="79" spans="1:19" ht="100.5" customHeight="1" x14ac:dyDescent="0.3">
      <c r="A79" s="234" t="str">
        <f>H12</f>
        <v>RCR26</v>
      </c>
      <c r="B79" s="223" t="str">
        <f>I12</f>
        <v>Annual primary energy consumption (of which: dwellings, public buildings, enterprises, other) (metinis pirminės energijos suvartojimo kiekis (iš kurio: būstai, viešieji pastatai, įmonės, kita)</v>
      </c>
      <c r="C79" s="200" t="str">
        <f>L12</f>
        <v>MWh/year</v>
      </c>
      <c r="D79" s="462">
        <f>M12+M19+M27+M39+M53</f>
        <v>3769978.3705000002</v>
      </c>
      <c r="E79" s="200" t="s">
        <v>253</v>
      </c>
      <c r="F79" s="202" t="s">
        <v>144</v>
      </c>
      <c r="G79" s="199">
        <v>2021</v>
      </c>
      <c r="H79" s="203" t="s">
        <v>47</v>
      </c>
      <c r="I79" s="203"/>
      <c r="J79" s="454">
        <f>P12+P19+P27+P53+P39</f>
        <v>2972482.9322999995</v>
      </c>
      <c r="K79" s="206"/>
      <c r="L79" s="236"/>
      <c r="M79" s="294" t="s">
        <v>312</v>
      </c>
      <c r="O79" s="207"/>
      <c r="P79" s="207"/>
      <c r="S79" s="208"/>
    </row>
    <row r="80" spans="1:19" ht="118.5" customHeight="1" x14ac:dyDescent="0.3">
      <c r="A80" s="237" t="str">
        <f>H24</f>
        <v>specific output</v>
      </c>
      <c r="B80" s="223" t="str">
        <f>I24</f>
        <v>Installed meters with remote data reading for heat, cool, hot water (Įrengti  šilumos, vėsumos, karšto vandens apskaitos prietaisai su nuotolinio duomenų nuskaitymo funkcija)</v>
      </c>
      <c r="C80" s="223" t="str">
        <f>L24</f>
        <v>unit</v>
      </c>
      <c r="D80" s="203">
        <v>0</v>
      </c>
      <c r="E80" s="223" t="s">
        <v>119</v>
      </c>
      <c r="F80" s="223" t="s">
        <v>120</v>
      </c>
      <c r="G80" s="199" t="s">
        <v>47</v>
      </c>
      <c r="H80" s="203">
        <f>SUM(O24)</f>
        <v>525</v>
      </c>
      <c r="I80" s="203"/>
      <c r="J80" s="203">
        <f>P24</f>
        <v>5257</v>
      </c>
      <c r="K80" s="203"/>
      <c r="L80" s="235"/>
      <c r="M80" s="207" t="s">
        <v>246</v>
      </c>
      <c r="O80" s="207"/>
      <c r="P80" s="207"/>
      <c r="S80" s="208"/>
    </row>
    <row r="81" spans="1:85" ht="161.25" customHeight="1" x14ac:dyDescent="0.3">
      <c r="A81" s="237" t="str">
        <f>H29</f>
        <v>specific output</v>
      </c>
      <c r="B81" s="223" t="str">
        <f>I29</f>
        <v>Installed meters with remote data reading for heat, cool, hot water (Įrengti  šilumos, vėsumos, karšto vandens apskaitos prietaisai su nuotolinio duomenų nuskaitymo funkcija)</v>
      </c>
      <c r="C81" s="223" t="str">
        <f>L29</f>
        <v>unit</v>
      </c>
      <c r="D81" s="203">
        <v>0</v>
      </c>
      <c r="E81" s="223" t="s">
        <v>253</v>
      </c>
      <c r="F81" s="223" t="s">
        <v>144</v>
      </c>
      <c r="G81" s="199" t="s">
        <v>47</v>
      </c>
      <c r="H81" s="203">
        <f>SUM(O29)</f>
        <v>525</v>
      </c>
      <c r="I81" s="203"/>
      <c r="J81" s="203">
        <f>P29</f>
        <v>5257</v>
      </c>
      <c r="K81" s="203"/>
      <c r="L81" s="235"/>
      <c r="M81" s="279" t="s">
        <v>246</v>
      </c>
      <c r="O81" s="207"/>
      <c r="P81" s="207"/>
      <c r="S81" s="208"/>
    </row>
    <row r="82" spans="1:85" customFormat="1" ht="100.8" x14ac:dyDescent="0.3">
      <c r="A82" s="256" t="str">
        <f>H51</f>
        <v>RCO01</v>
      </c>
      <c r="B82" s="377" t="str">
        <f>I51</f>
        <v>Enterprises supported (of which: micro, small, medium, large)(Paramą gavusios įmonės (iš kurių: labai mažos, mažosios, vidutinės ir didelės)</v>
      </c>
      <c r="C82" s="334" t="str">
        <f>L51</f>
        <v>enterprises</v>
      </c>
      <c r="D82" s="334">
        <v>0</v>
      </c>
      <c r="E82" s="334" t="s">
        <v>253</v>
      </c>
      <c r="F82" s="334" t="s">
        <v>144</v>
      </c>
      <c r="G82" s="334" t="s">
        <v>47</v>
      </c>
      <c r="H82" s="380">
        <f>O31+O51</f>
        <v>65</v>
      </c>
      <c r="I82" s="341">
        <f>(3/2)+62</f>
        <v>63.5</v>
      </c>
      <c r="J82" s="452">
        <f>P51+P31</f>
        <v>152</v>
      </c>
      <c r="K82" s="480">
        <f>(27/2)+125</f>
        <v>138.5</v>
      </c>
      <c r="L82" s="327" t="s">
        <v>353</v>
      </c>
      <c r="M82" s="292" t="s">
        <v>340</v>
      </c>
      <c r="P82" s="255"/>
      <c r="R82" s="255"/>
      <c r="S82" s="25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5"/>
      <c r="AY82" s="435"/>
      <c r="AZ82" s="435"/>
      <c r="BA82" s="435"/>
      <c r="BB82" s="435"/>
      <c r="BC82" s="435"/>
      <c r="BD82" s="435"/>
      <c r="BE82" s="435"/>
      <c r="BF82" s="435"/>
      <c r="BG82" s="435"/>
      <c r="BH82" s="435"/>
      <c r="BI82" s="435"/>
      <c r="BJ82" s="435"/>
      <c r="BK82" s="435"/>
      <c r="BL82" s="435"/>
      <c r="BM82" s="435"/>
      <c r="BN82" s="435"/>
      <c r="BO82" s="435"/>
      <c r="BP82" s="435"/>
      <c r="BQ82" s="435"/>
      <c r="BR82" s="435"/>
      <c r="BS82" s="435"/>
      <c r="BT82" s="435"/>
      <c r="BU82" s="435"/>
      <c r="BV82" s="435"/>
      <c r="BW82" s="435"/>
      <c r="BX82" s="435"/>
      <c r="BY82" s="435"/>
      <c r="BZ82" s="435"/>
      <c r="CA82" s="435"/>
      <c r="CB82" s="435"/>
      <c r="CC82" s="435"/>
      <c r="CD82" s="435"/>
      <c r="CE82" s="435"/>
      <c r="CF82" s="435"/>
      <c r="CG82" s="435"/>
    </row>
    <row r="83" spans="1:85" customFormat="1" ht="112.5" customHeight="1" x14ac:dyDescent="0.3">
      <c r="A83" s="256" t="str">
        <f>H25</f>
        <v>specific output</v>
      </c>
      <c r="B83" s="376" t="str">
        <f>I25</f>
        <v>Enterprises supported (of which: micro, small, medium, large)(Paramą gavusios įmonės (iš kurių: labai mažos, mažosios, vidutinės ir didelės)</v>
      </c>
      <c r="C83" s="303" t="str">
        <f>L52</f>
        <v>enterprises</v>
      </c>
      <c r="D83" s="303">
        <v>0</v>
      </c>
      <c r="E83" s="303" t="s">
        <v>119</v>
      </c>
      <c r="F83" s="303" t="s">
        <v>120</v>
      </c>
      <c r="G83" s="303" t="s">
        <v>47</v>
      </c>
      <c r="H83" s="380">
        <f>O25+O55</f>
        <v>67</v>
      </c>
      <c r="I83" s="380">
        <f>(1/2)+66</f>
        <v>66.5</v>
      </c>
      <c r="J83" s="452">
        <f>P25+P55</f>
        <v>59</v>
      </c>
      <c r="K83" s="452">
        <f>(6/2)+53</f>
        <v>56</v>
      </c>
      <c r="L83" s="327" t="s">
        <v>353</v>
      </c>
      <c r="M83" s="291" t="s">
        <v>341</v>
      </c>
      <c r="P83" s="255"/>
      <c r="R83" s="255"/>
      <c r="S83" s="25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F83" s="435"/>
      <c r="BG83" s="435"/>
      <c r="BH83" s="435"/>
      <c r="BI83" s="435"/>
      <c r="BJ83" s="435"/>
      <c r="BK83" s="435"/>
      <c r="BL83" s="435"/>
      <c r="BM83" s="435"/>
      <c r="BN83" s="435"/>
      <c r="BO83" s="435"/>
      <c r="BP83" s="435"/>
      <c r="BQ83" s="435"/>
      <c r="BR83" s="435"/>
      <c r="BS83" s="435"/>
      <c r="BT83" s="435"/>
      <c r="BU83" s="435"/>
      <c r="BV83" s="435"/>
      <c r="BW83" s="435"/>
      <c r="BX83" s="435"/>
      <c r="BY83" s="435"/>
      <c r="BZ83" s="435"/>
      <c r="CA83" s="435"/>
      <c r="CB83" s="435"/>
      <c r="CC83" s="435"/>
      <c r="CD83" s="435"/>
      <c r="CE83" s="435"/>
      <c r="CF83" s="435"/>
      <c r="CG83" s="435"/>
    </row>
    <row r="84" spans="1:85" customFormat="1" ht="57.6" x14ac:dyDescent="0.3">
      <c r="A84" s="381" t="str">
        <f>H52</f>
        <v>RCO02</v>
      </c>
      <c r="B84" s="377" t="str">
        <f>I52</f>
        <v>Enterprises supported by grants (Paramą dotacijomis gavusios įmonės)</v>
      </c>
      <c r="C84" s="334" t="str">
        <f>L52</f>
        <v>enterprises</v>
      </c>
      <c r="D84" s="334">
        <v>0</v>
      </c>
      <c r="E84" s="334" t="s">
        <v>253</v>
      </c>
      <c r="F84" s="334" t="s">
        <v>144</v>
      </c>
      <c r="G84" s="334" t="s">
        <v>47</v>
      </c>
      <c r="H84" s="380">
        <f>O52</f>
        <v>62</v>
      </c>
      <c r="I84" s="341"/>
      <c r="J84" s="452">
        <f>P52</f>
        <v>125</v>
      </c>
      <c r="K84" s="341"/>
      <c r="L84" s="257"/>
      <c r="M84" t="s">
        <v>311</v>
      </c>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F84" s="435"/>
      <c r="BG84" s="435"/>
      <c r="BH84" s="435"/>
      <c r="BI84" s="435"/>
      <c r="BJ84" s="435"/>
      <c r="BK84" s="435"/>
      <c r="BL84" s="435"/>
      <c r="BM84" s="435"/>
      <c r="BN84" s="435"/>
      <c r="BO84" s="435"/>
      <c r="BP84" s="435"/>
      <c r="BQ84" s="435"/>
      <c r="BR84" s="435"/>
      <c r="BS84" s="435"/>
      <c r="BT84" s="435"/>
      <c r="BU84" s="435"/>
      <c r="BV84" s="435"/>
      <c r="BW84" s="435"/>
      <c r="BX84" s="435"/>
      <c r="BY84" s="435"/>
      <c r="BZ84" s="435"/>
      <c r="CA84" s="435"/>
      <c r="CB84" s="435"/>
      <c r="CC84" s="435"/>
      <c r="CD84" s="435"/>
      <c r="CE84" s="435"/>
      <c r="CF84" s="435"/>
      <c r="CG84" s="435"/>
    </row>
    <row r="85" spans="1:85" customFormat="1" ht="75" customHeight="1" x14ac:dyDescent="0.3">
      <c r="A85" s="381" t="str">
        <f>H56</f>
        <v>specific output</v>
      </c>
      <c r="B85" s="377" t="str">
        <f>I56</f>
        <v>Enterprises supported by grants (Paramą dotacijomis gavusios įmonės)</v>
      </c>
      <c r="C85" s="334" t="str">
        <f>L56</f>
        <v>enterprises</v>
      </c>
      <c r="D85" s="334">
        <v>0</v>
      </c>
      <c r="E85" s="303" t="s">
        <v>119</v>
      </c>
      <c r="F85" s="334" t="s">
        <v>120</v>
      </c>
      <c r="G85" s="334" t="s">
        <v>47</v>
      </c>
      <c r="H85" s="380">
        <f>O56</f>
        <v>66</v>
      </c>
      <c r="I85" s="341"/>
      <c r="J85" s="452">
        <f>P56</f>
        <v>53</v>
      </c>
      <c r="K85" s="341"/>
      <c r="L85" s="257"/>
      <c r="M85" t="s">
        <v>311</v>
      </c>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F85" s="435"/>
      <c r="BG85" s="435"/>
      <c r="BH85" s="435"/>
      <c r="BI85" s="435"/>
      <c r="BJ85" s="435"/>
      <c r="BK85" s="435"/>
      <c r="BL85" s="435"/>
      <c r="BM85" s="435"/>
      <c r="BN85" s="435"/>
      <c r="BO85" s="435"/>
      <c r="BP85" s="435"/>
      <c r="BQ85" s="435"/>
      <c r="BR85" s="435"/>
      <c r="BS85" s="435"/>
      <c r="BT85" s="435"/>
      <c r="BU85" s="435"/>
      <c r="BV85" s="435"/>
      <c r="BW85" s="435"/>
      <c r="BX85" s="435"/>
      <c r="BY85" s="435"/>
      <c r="BZ85" s="435"/>
      <c r="CA85" s="435"/>
      <c r="CB85" s="435"/>
      <c r="CC85" s="435"/>
      <c r="CD85" s="435"/>
      <c r="CE85" s="435"/>
      <c r="CF85" s="435"/>
      <c r="CG85" s="435"/>
    </row>
    <row r="86" spans="1:85" customFormat="1" ht="81.599999999999994" customHeight="1" x14ac:dyDescent="0.3">
      <c r="A86" s="256" t="str">
        <f>H32</f>
        <v>RCO03</v>
      </c>
      <c r="B86" s="376" t="str">
        <f>I32</f>
        <v>Enterprises supported by financial instruments (Paramą finansiniais instrumentais gavusios įmonės)</v>
      </c>
      <c r="C86" s="303" t="str">
        <f>L32</f>
        <v>enterprises</v>
      </c>
      <c r="D86" s="303">
        <v>0</v>
      </c>
      <c r="E86" s="303" t="s">
        <v>253</v>
      </c>
      <c r="F86" s="303" t="s">
        <v>144</v>
      </c>
      <c r="G86" s="303" t="s">
        <v>47</v>
      </c>
      <c r="H86" s="380">
        <f>O32</f>
        <v>3</v>
      </c>
      <c r="I86" s="380">
        <f>3/2</f>
        <v>1.5</v>
      </c>
      <c r="J86" s="284">
        <f>P32</f>
        <v>27</v>
      </c>
      <c r="K86" s="284">
        <f>27/2</f>
        <v>13.5</v>
      </c>
      <c r="L86" s="295"/>
      <c r="M86" s="292" t="s">
        <v>246</v>
      </c>
      <c r="N86" s="280"/>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35"/>
      <c r="BC86" s="435"/>
      <c r="BD86" s="435"/>
      <c r="BE86" s="435"/>
      <c r="BF86" s="435"/>
      <c r="BG86" s="435"/>
      <c r="BH86" s="435"/>
      <c r="BI86" s="435"/>
      <c r="BJ86" s="435"/>
      <c r="BK86" s="435"/>
      <c r="BL86" s="435"/>
      <c r="BM86" s="435"/>
      <c r="BN86" s="435"/>
      <c r="BO86" s="435"/>
      <c r="BP86" s="435"/>
      <c r="BQ86" s="435"/>
      <c r="BR86" s="435"/>
      <c r="BS86" s="435"/>
      <c r="BT86" s="435"/>
      <c r="BU86" s="435"/>
      <c r="BV86" s="435"/>
      <c r="BW86" s="435"/>
      <c r="BX86" s="435"/>
      <c r="BY86" s="435"/>
      <c r="BZ86" s="435"/>
      <c r="CA86" s="435"/>
      <c r="CB86" s="435"/>
      <c r="CC86" s="435"/>
      <c r="CD86" s="435"/>
      <c r="CE86" s="435"/>
      <c r="CF86" s="435"/>
      <c r="CG86" s="435"/>
    </row>
    <row r="87" spans="1:85" customFormat="1" ht="81.75" customHeight="1" thickBot="1" x14ac:dyDescent="0.35">
      <c r="A87" s="382" t="str">
        <f>H26</f>
        <v>specific output</v>
      </c>
      <c r="B87" s="378" t="str">
        <f>I26</f>
        <v>Enterprises supported by financial instruments (Paramą finansiniais instrumentais gavusios įmonės)</v>
      </c>
      <c r="C87" s="375" t="str">
        <f>L26</f>
        <v>enterprises</v>
      </c>
      <c r="D87" s="375">
        <v>0</v>
      </c>
      <c r="E87" s="375" t="s">
        <v>119</v>
      </c>
      <c r="F87" s="375" t="s">
        <v>120</v>
      </c>
      <c r="G87" s="375" t="s">
        <v>47</v>
      </c>
      <c r="H87" s="383">
        <f>O26</f>
        <v>1</v>
      </c>
      <c r="I87" s="383">
        <f>4/2</f>
        <v>2</v>
      </c>
      <c r="J87" s="383">
        <f>P26</f>
        <v>6</v>
      </c>
      <c r="K87" s="383">
        <f>J87/2</f>
        <v>3</v>
      </c>
      <c r="L87" s="258"/>
      <c r="M87" s="292" t="s">
        <v>246</v>
      </c>
      <c r="N87" s="280"/>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5"/>
      <c r="AY87" s="435"/>
      <c r="AZ87" s="435"/>
      <c r="BA87" s="435"/>
      <c r="BB87" s="435"/>
      <c r="BC87" s="435"/>
      <c r="BD87" s="435"/>
      <c r="BE87" s="435"/>
      <c r="BF87" s="435"/>
      <c r="BG87" s="435"/>
      <c r="BH87" s="435"/>
      <c r="BI87" s="435"/>
      <c r="BJ87" s="435"/>
      <c r="BK87" s="435"/>
      <c r="BL87" s="435"/>
      <c r="BM87" s="435"/>
      <c r="BN87" s="435"/>
      <c r="BO87" s="435"/>
      <c r="BP87" s="435"/>
      <c r="BQ87" s="435"/>
      <c r="BR87" s="435"/>
      <c r="BS87" s="435"/>
      <c r="BT87" s="435"/>
      <c r="BU87" s="435"/>
      <c r="BV87" s="435"/>
      <c r="BW87" s="435"/>
      <c r="BX87" s="435"/>
      <c r="BY87" s="435"/>
      <c r="BZ87" s="435"/>
      <c r="CA87" s="435"/>
      <c r="CB87" s="435"/>
      <c r="CC87" s="435"/>
      <c r="CD87" s="435"/>
      <c r="CE87" s="435"/>
      <c r="CF87" s="435"/>
      <c r="CG87" s="435"/>
    </row>
    <row r="88" spans="1:85" x14ac:dyDescent="0.3">
      <c r="D88" s="460">
        <f>SUM(D68:D87)</f>
        <v>7268301.0395</v>
      </c>
      <c r="H88" s="461">
        <f>SUM(H68:H87)</f>
        <v>3368</v>
      </c>
      <c r="I88" s="238"/>
      <c r="J88" s="460">
        <f>SUM(J68:J87)</f>
        <v>6194899.7162333326</v>
      </c>
      <c r="O88" s="207"/>
    </row>
    <row r="89" spans="1:85" x14ac:dyDescent="0.3">
      <c r="O89" s="207"/>
    </row>
    <row r="90" spans="1:85" x14ac:dyDescent="0.3">
      <c r="D90" s="209" t="b">
        <f>D88=M65</f>
        <v>1</v>
      </c>
      <c r="H90" s="207" t="b">
        <f>H88=O65</f>
        <v>1</v>
      </c>
      <c r="J90" s="238" t="b">
        <f>J88=P65</f>
        <v>1</v>
      </c>
      <c r="O90" s="207"/>
    </row>
    <row r="91" spans="1:85" x14ac:dyDescent="0.3">
      <c r="O91" s="207"/>
    </row>
    <row r="92" spans="1:85" x14ac:dyDescent="0.3">
      <c r="O92" s="207"/>
    </row>
    <row r="93" spans="1:85" x14ac:dyDescent="0.3">
      <c r="O93" s="207"/>
    </row>
    <row r="94" spans="1:85" x14ac:dyDescent="0.3">
      <c r="O94" s="207"/>
    </row>
    <row r="95" spans="1:85" x14ac:dyDescent="0.3">
      <c r="O95" s="207"/>
    </row>
    <row r="96" spans="1:85" x14ac:dyDescent="0.3">
      <c r="O96" s="207"/>
    </row>
    <row r="97" spans="15:15" x14ac:dyDescent="0.3">
      <c r="O97" s="207"/>
    </row>
    <row r="98" spans="15:15" x14ac:dyDescent="0.3">
      <c r="O98" s="207"/>
    </row>
    <row r="99" spans="15:15" x14ac:dyDescent="0.3">
      <c r="O99" s="207"/>
    </row>
    <row r="100" spans="15:15" x14ac:dyDescent="0.3">
      <c r="O100" s="207"/>
    </row>
    <row r="101" spans="15:15" x14ac:dyDescent="0.3">
      <c r="O101" s="207"/>
    </row>
    <row r="102" spans="15:15" x14ac:dyDescent="0.3">
      <c r="O102" s="207"/>
    </row>
    <row r="103" spans="15:15" x14ac:dyDescent="0.3">
      <c r="O103" s="207"/>
    </row>
    <row r="104" spans="15:15" x14ac:dyDescent="0.3">
      <c r="O104" s="207"/>
    </row>
    <row r="105" spans="15:15" x14ac:dyDescent="0.3">
      <c r="O105" s="207"/>
    </row>
    <row r="106" spans="15:15" x14ac:dyDescent="0.3">
      <c r="O106" s="207"/>
    </row>
    <row r="107" spans="15:15" x14ac:dyDescent="0.3">
      <c r="O107" s="207"/>
    </row>
    <row r="108" spans="15:15" x14ac:dyDescent="0.3">
      <c r="O108" s="207"/>
    </row>
    <row r="109" spans="15:15" x14ac:dyDescent="0.3">
      <c r="O109" s="207"/>
    </row>
    <row r="110" spans="15:15" x14ac:dyDescent="0.3">
      <c r="O110" s="207"/>
    </row>
    <row r="111" spans="15:15" x14ac:dyDescent="0.3">
      <c r="O111" s="207"/>
    </row>
    <row r="112" spans="15:15" x14ac:dyDescent="0.3">
      <c r="O112" s="207"/>
    </row>
    <row r="113" spans="15:15" x14ac:dyDescent="0.3">
      <c r="O113" s="207"/>
    </row>
    <row r="114" spans="15:15" x14ac:dyDescent="0.3">
      <c r="O114" s="207"/>
    </row>
    <row r="115" spans="15:15" x14ac:dyDescent="0.3">
      <c r="O115" s="207"/>
    </row>
    <row r="116" spans="15:15" x14ac:dyDescent="0.3">
      <c r="O116" s="207"/>
    </row>
    <row r="117" spans="15:15" x14ac:dyDescent="0.3">
      <c r="O117" s="207"/>
    </row>
    <row r="118" spans="15:15" x14ac:dyDescent="0.3">
      <c r="O118" s="207"/>
    </row>
    <row r="119" spans="15:15" x14ac:dyDescent="0.3">
      <c r="O119" s="207"/>
    </row>
    <row r="120" spans="15:15" x14ac:dyDescent="0.3">
      <c r="O120" s="207"/>
    </row>
    <row r="121" spans="15:15" x14ac:dyDescent="0.3">
      <c r="O121" s="207"/>
    </row>
    <row r="122" spans="15:15" x14ac:dyDescent="0.3">
      <c r="O122" s="207"/>
    </row>
    <row r="123" spans="15:15" x14ac:dyDescent="0.3">
      <c r="O123" s="207"/>
    </row>
    <row r="124" spans="15:15" x14ac:dyDescent="0.3">
      <c r="O124" s="207"/>
    </row>
    <row r="125" spans="15:15" x14ac:dyDescent="0.3">
      <c r="O125" s="207"/>
    </row>
    <row r="126" spans="15:15" x14ac:dyDescent="0.3">
      <c r="O126" s="207"/>
    </row>
    <row r="127" spans="15:15" x14ac:dyDescent="0.3">
      <c r="O127" s="207"/>
    </row>
    <row r="128" spans="15:15" x14ac:dyDescent="0.3">
      <c r="O128" s="207"/>
    </row>
    <row r="129" spans="15:15" x14ac:dyDescent="0.3">
      <c r="O129" s="207"/>
    </row>
    <row r="130" spans="15:15" x14ac:dyDescent="0.3">
      <c r="O130" s="207"/>
    </row>
    <row r="131" spans="15:15" x14ac:dyDescent="0.3">
      <c r="O131" s="207"/>
    </row>
    <row r="132" spans="15:15" x14ac:dyDescent="0.3">
      <c r="O132" s="207"/>
    </row>
    <row r="133" spans="15:15" x14ac:dyDescent="0.3">
      <c r="O133" s="207"/>
    </row>
    <row r="134" spans="15:15" x14ac:dyDescent="0.3">
      <c r="O134" s="207"/>
    </row>
    <row r="135" spans="15:15" x14ac:dyDescent="0.3">
      <c r="O135" s="207"/>
    </row>
    <row r="136" spans="15:15" x14ac:dyDescent="0.3">
      <c r="O136" s="207"/>
    </row>
    <row r="137" spans="15:15" x14ac:dyDescent="0.3">
      <c r="O137" s="207"/>
    </row>
    <row r="138" spans="15:15" x14ac:dyDescent="0.3">
      <c r="O138" s="207"/>
    </row>
    <row r="139" spans="15:15" x14ac:dyDescent="0.3">
      <c r="O139" s="207"/>
    </row>
    <row r="140" spans="15:15" x14ac:dyDescent="0.3">
      <c r="O140" s="207"/>
    </row>
    <row r="141" spans="15:15" x14ac:dyDescent="0.3">
      <c r="O141" s="207"/>
    </row>
    <row r="142" spans="15:15" x14ac:dyDescent="0.3">
      <c r="O142" s="207"/>
    </row>
    <row r="143" spans="15:15" x14ac:dyDescent="0.3">
      <c r="O143" s="207"/>
    </row>
    <row r="144" spans="15:15" x14ac:dyDescent="0.3">
      <c r="O144" s="207"/>
    </row>
    <row r="145" spans="15:15" x14ac:dyDescent="0.3">
      <c r="O145" s="207"/>
    </row>
    <row r="146" spans="15:15" x14ac:dyDescent="0.3">
      <c r="O146" s="207"/>
    </row>
    <row r="147" spans="15:15" x14ac:dyDescent="0.3">
      <c r="O147" s="207"/>
    </row>
    <row r="148" spans="15:15" x14ac:dyDescent="0.3">
      <c r="O148" s="207"/>
    </row>
    <row r="149" spans="15:15" x14ac:dyDescent="0.3">
      <c r="O149" s="207"/>
    </row>
    <row r="150" spans="15:15" x14ac:dyDescent="0.3">
      <c r="O150" s="207"/>
    </row>
    <row r="151" spans="15:15" x14ac:dyDescent="0.3">
      <c r="O151" s="207"/>
    </row>
    <row r="152" spans="15:15" x14ac:dyDescent="0.3">
      <c r="O152" s="207"/>
    </row>
    <row r="153" spans="15:15" x14ac:dyDescent="0.3">
      <c r="O153" s="207"/>
    </row>
    <row r="154" spans="15:15" x14ac:dyDescent="0.3">
      <c r="O154" s="207"/>
    </row>
    <row r="155" spans="15:15" x14ac:dyDescent="0.3">
      <c r="O155" s="207"/>
    </row>
    <row r="156" spans="15:15" x14ac:dyDescent="0.3">
      <c r="O156" s="207"/>
    </row>
    <row r="157" spans="15:15" x14ac:dyDescent="0.3">
      <c r="O157" s="207"/>
    </row>
    <row r="158" spans="15:15" x14ac:dyDescent="0.3">
      <c r="O158" s="207"/>
    </row>
    <row r="159" spans="15:15" x14ac:dyDescent="0.3">
      <c r="O159" s="207"/>
    </row>
    <row r="160" spans="15:15" x14ac:dyDescent="0.3">
      <c r="O160" s="207"/>
    </row>
    <row r="161" spans="15:15" x14ac:dyDescent="0.3">
      <c r="O161" s="207"/>
    </row>
    <row r="162" spans="15:15" x14ac:dyDescent="0.3">
      <c r="O162" s="207"/>
    </row>
    <row r="163" spans="15:15" x14ac:dyDescent="0.3">
      <c r="O163" s="207"/>
    </row>
    <row r="164" spans="15:15" x14ac:dyDescent="0.3">
      <c r="O164" s="207"/>
    </row>
    <row r="165" spans="15:15" x14ac:dyDescent="0.3">
      <c r="O165" s="207"/>
    </row>
    <row r="166" spans="15:15" x14ac:dyDescent="0.3">
      <c r="O166" s="207"/>
    </row>
    <row r="167" spans="15:15" x14ac:dyDescent="0.3">
      <c r="O167" s="207"/>
    </row>
    <row r="168" spans="15:15" x14ac:dyDescent="0.3">
      <c r="O168" s="207"/>
    </row>
    <row r="169" spans="15:15" x14ac:dyDescent="0.3">
      <c r="O169" s="207"/>
    </row>
    <row r="170" spans="15:15" x14ac:dyDescent="0.3">
      <c r="O170" s="207"/>
    </row>
    <row r="171" spans="15:15" x14ac:dyDescent="0.3">
      <c r="O171" s="207"/>
    </row>
    <row r="172" spans="15:15" x14ac:dyDescent="0.3">
      <c r="O172" s="207"/>
    </row>
    <row r="173" spans="15:15" x14ac:dyDescent="0.3">
      <c r="O173" s="207"/>
    </row>
    <row r="174" spans="15:15" x14ac:dyDescent="0.3">
      <c r="O174" s="207"/>
    </row>
    <row r="175" spans="15:15" x14ac:dyDescent="0.3">
      <c r="O175" s="207"/>
    </row>
    <row r="176" spans="15:15" x14ac:dyDescent="0.3">
      <c r="O176" s="207"/>
    </row>
    <row r="177" spans="15:15" x14ac:dyDescent="0.3">
      <c r="O177" s="207"/>
    </row>
    <row r="178" spans="15:15" x14ac:dyDescent="0.3">
      <c r="O178" s="207"/>
    </row>
    <row r="179" spans="15:15" x14ac:dyDescent="0.3">
      <c r="O179" s="207"/>
    </row>
    <row r="180" spans="15:15" x14ac:dyDescent="0.3">
      <c r="O180" s="207"/>
    </row>
    <row r="181" spans="15:15" x14ac:dyDescent="0.3">
      <c r="O181" s="207"/>
    </row>
    <row r="182" spans="15:15" x14ac:dyDescent="0.3">
      <c r="O182" s="207"/>
    </row>
    <row r="183" spans="15:15" x14ac:dyDescent="0.3">
      <c r="O183" s="207"/>
    </row>
    <row r="184" spans="15:15" x14ac:dyDescent="0.3">
      <c r="O184" s="207"/>
    </row>
    <row r="185" spans="15:15" x14ac:dyDescent="0.3">
      <c r="O185" s="207"/>
    </row>
    <row r="186" spans="15:15" x14ac:dyDescent="0.3">
      <c r="O186" s="207"/>
    </row>
    <row r="187" spans="15:15" x14ac:dyDescent="0.3">
      <c r="O187" s="207"/>
    </row>
    <row r="188" spans="15:15" x14ac:dyDescent="0.3">
      <c r="O188" s="207"/>
    </row>
    <row r="189" spans="15:15" x14ac:dyDescent="0.3">
      <c r="O189" s="207"/>
    </row>
    <row r="190" spans="15:15" x14ac:dyDescent="0.3">
      <c r="O190" s="207"/>
    </row>
    <row r="191" spans="15:15" x14ac:dyDescent="0.3">
      <c r="O191" s="207"/>
    </row>
    <row r="192" spans="15:15" x14ac:dyDescent="0.3">
      <c r="O192" s="207"/>
    </row>
    <row r="193" spans="15:15" x14ac:dyDescent="0.3">
      <c r="O193" s="207"/>
    </row>
    <row r="194" spans="15:15" x14ac:dyDescent="0.3">
      <c r="O194" s="207"/>
    </row>
    <row r="195" spans="15:15" x14ac:dyDescent="0.3">
      <c r="O195" s="207"/>
    </row>
    <row r="196" spans="15:15" x14ac:dyDescent="0.3">
      <c r="O196" s="207"/>
    </row>
    <row r="197" spans="15:15" x14ac:dyDescent="0.3">
      <c r="O197" s="207"/>
    </row>
    <row r="198" spans="15:15" x14ac:dyDescent="0.3">
      <c r="O198" s="207"/>
    </row>
    <row r="199" spans="15:15" x14ac:dyDescent="0.3">
      <c r="O199" s="207"/>
    </row>
    <row r="200" spans="15:15" x14ac:dyDescent="0.3">
      <c r="O200" s="207"/>
    </row>
    <row r="201" spans="15:15" x14ac:dyDescent="0.3">
      <c r="O201" s="207"/>
    </row>
    <row r="202" spans="15:15" x14ac:dyDescent="0.3">
      <c r="O202" s="207"/>
    </row>
    <row r="203" spans="15:15" x14ac:dyDescent="0.3">
      <c r="O203" s="207"/>
    </row>
    <row r="204" spans="15:15" x14ac:dyDescent="0.3">
      <c r="O204" s="207"/>
    </row>
    <row r="205" spans="15:15" x14ac:dyDescent="0.3">
      <c r="O205" s="207"/>
    </row>
    <row r="206" spans="15:15" x14ac:dyDescent="0.3">
      <c r="O206" s="207"/>
    </row>
    <row r="207" spans="15:15" x14ac:dyDescent="0.3">
      <c r="O207" s="207"/>
    </row>
    <row r="208" spans="15:15" x14ac:dyDescent="0.3">
      <c r="O208" s="207"/>
    </row>
    <row r="209" spans="15:15" x14ac:dyDescent="0.3">
      <c r="O209" s="207"/>
    </row>
    <row r="210" spans="15:15" x14ac:dyDescent="0.3">
      <c r="O210" s="207"/>
    </row>
    <row r="211" spans="15:15" x14ac:dyDescent="0.3">
      <c r="O211" s="207"/>
    </row>
    <row r="212" spans="15:15" x14ac:dyDescent="0.3">
      <c r="O212" s="207"/>
    </row>
    <row r="213" spans="15:15" x14ac:dyDescent="0.3">
      <c r="O213" s="207"/>
    </row>
    <row r="214" spans="15:15" x14ac:dyDescent="0.3">
      <c r="O214" s="207"/>
    </row>
    <row r="215" spans="15:15" x14ac:dyDescent="0.3">
      <c r="O215" s="207"/>
    </row>
    <row r="216" spans="15:15" x14ac:dyDescent="0.3">
      <c r="O216" s="207"/>
    </row>
    <row r="217" spans="15:15" x14ac:dyDescent="0.3">
      <c r="O217" s="207"/>
    </row>
    <row r="218" spans="15:15" x14ac:dyDescent="0.3">
      <c r="O218" s="207"/>
    </row>
    <row r="219" spans="15:15" x14ac:dyDescent="0.3">
      <c r="O219" s="207"/>
    </row>
    <row r="220" spans="15:15" x14ac:dyDescent="0.3">
      <c r="O220" s="207"/>
    </row>
    <row r="221" spans="15:15" x14ac:dyDescent="0.3">
      <c r="O221" s="207"/>
    </row>
    <row r="222" spans="15:15" x14ac:dyDescent="0.3">
      <c r="O222" s="207"/>
    </row>
    <row r="223" spans="15:15" x14ac:dyDescent="0.3">
      <c r="O223" s="207"/>
    </row>
    <row r="224" spans="15:15" x14ac:dyDescent="0.3">
      <c r="O224" s="207"/>
    </row>
    <row r="225" spans="15:15" x14ac:dyDescent="0.3">
      <c r="O225" s="207"/>
    </row>
    <row r="226" spans="15:15" x14ac:dyDescent="0.3">
      <c r="O226" s="207"/>
    </row>
    <row r="227" spans="15:15" x14ac:dyDescent="0.3">
      <c r="O227" s="207"/>
    </row>
    <row r="228" spans="15:15" x14ac:dyDescent="0.3">
      <c r="O228" s="207"/>
    </row>
    <row r="229" spans="15:15" x14ac:dyDescent="0.3">
      <c r="O229" s="207"/>
    </row>
    <row r="230" spans="15:15" x14ac:dyDescent="0.3">
      <c r="O230" s="207"/>
    </row>
    <row r="231" spans="15:15" x14ac:dyDescent="0.3">
      <c r="O231" s="207"/>
    </row>
    <row r="232" spans="15:15" x14ac:dyDescent="0.3">
      <c r="O232" s="207"/>
    </row>
    <row r="233" spans="15:15" x14ac:dyDescent="0.3">
      <c r="O233" s="207"/>
    </row>
    <row r="234" spans="15:15" x14ac:dyDescent="0.3">
      <c r="O234" s="207"/>
    </row>
    <row r="235" spans="15:15" x14ac:dyDescent="0.3">
      <c r="O235" s="207"/>
    </row>
    <row r="236" spans="15:15" x14ac:dyDescent="0.3">
      <c r="O236" s="207"/>
    </row>
    <row r="237" spans="15:15" x14ac:dyDescent="0.3">
      <c r="O237" s="207"/>
    </row>
    <row r="238" spans="15:15" x14ac:dyDescent="0.3">
      <c r="O238" s="207"/>
    </row>
    <row r="239" spans="15:15" x14ac:dyDescent="0.3">
      <c r="O239" s="207"/>
    </row>
    <row r="240" spans="15:15" x14ac:dyDescent="0.3">
      <c r="O240" s="207"/>
    </row>
    <row r="241" spans="15:15" x14ac:dyDescent="0.3">
      <c r="O241" s="207"/>
    </row>
    <row r="242" spans="15:15" x14ac:dyDescent="0.3">
      <c r="O242" s="207"/>
    </row>
    <row r="243" spans="15:15" x14ac:dyDescent="0.3">
      <c r="O243" s="207"/>
    </row>
    <row r="244" spans="15:15" x14ac:dyDescent="0.3">
      <c r="O244" s="207"/>
    </row>
    <row r="245" spans="15:15" x14ac:dyDescent="0.3">
      <c r="O245" s="207"/>
    </row>
    <row r="246" spans="15:15" x14ac:dyDescent="0.3">
      <c r="O246" s="207"/>
    </row>
    <row r="247" spans="15:15" x14ac:dyDescent="0.3">
      <c r="O247" s="207"/>
    </row>
    <row r="248" spans="15:15" x14ac:dyDescent="0.3">
      <c r="O248" s="207"/>
    </row>
    <row r="249" spans="15:15" x14ac:dyDescent="0.3">
      <c r="O249" s="207"/>
    </row>
    <row r="250" spans="15:15" x14ac:dyDescent="0.3">
      <c r="O250" s="207"/>
    </row>
    <row r="251" spans="15:15" x14ac:dyDescent="0.3">
      <c r="O251" s="207"/>
    </row>
    <row r="252" spans="15:15" x14ac:dyDescent="0.3">
      <c r="O252" s="207"/>
    </row>
    <row r="253" spans="15:15" x14ac:dyDescent="0.3">
      <c r="O253" s="207"/>
    </row>
    <row r="254" spans="15:15" x14ac:dyDescent="0.3">
      <c r="O254" s="207"/>
    </row>
    <row r="255" spans="15:15" x14ac:dyDescent="0.3">
      <c r="O255" s="207"/>
    </row>
    <row r="256" spans="15:15" x14ac:dyDescent="0.3">
      <c r="O256" s="207"/>
    </row>
    <row r="257" spans="15:15" x14ac:dyDescent="0.3">
      <c r="O257" s="207"/>
    </row>
    <row r="258" spans="15:15" x14ac:dyDescent="0.3">
      <c r="O258" s="207"/>
    </row>
    <row r="259" spans="15:15" x14ac:dyDescent="0.3">
      <c r="O259" s="207"/>
    </row>
    <row r="260" spans="15:15" x14ac:dyDescent="0.3">
      <c r="O260" s="207"/>
    </row>
    <row r="261" spans="15:15" x14ac:dyDescent="0.3">
      <c r="O261" s="207"/>
    </row>
    <row r="262" spans="15:15" x14ac:dyDescent="0.3">
      <c r="O262" s="207"/>
    </row>
    <row r="263" spans="15:15" x14ac:dyDescent="0.3">
      <c r="O263" s="207"/>
    </row>
    <row r="264" spans="15:15" x14ac:dyDescent="0.3">
      <c r="O264" s="207"/>
    </row>
    <row r="265" spans="15:15" x14ac:dyDescent="0.3">
      <c r="O265" s="207"/>
    </row>
    <row r="266" spans="15:15" x14ac:dyDescent="0.3">
      <c r="O266" s="207"/>
    </row>
    <row r="267" spans="15:15" x14ac:dyDescent="0.3">
      <c r="O267" s="207"/>
    </row>
    <row r="268" spans="15:15" x14ac:dyDescent="0.3">
      <c r="O268" s="207"/>
    </row>
    <row r="269" spans="15:15" x14ac:dyDescent="0.3">
      <c r="O269" s="207"/>
    </row>
    <row r="270" spans="15:15" x14ac:dyDescent="0.3">
      <c r="O270" s="207"/>
    </row>
    <row r="271" spans="15:15" x14ac:dyDescent="0.3">
      <c r="O271" s="207"/>
    </row>
    <row r="272" spans="15:15" x14ac:dyDescent="0.3">
      <c r="O272" s="207"/>
    </row>
  </sheetData>
  <mergeCells count="131">
    <mergeCell ref="W52:W53"/>
    <mergeCell ref="W56:W57"/>
    <mergeCell ref="A2:G2"/>
    <mergeCell ref="A4:A5"/>
    <mergeCell ref="B4:B5"/>
    <mergeCell ref="C4:C5"/>
    <mergeCell ref="D4:F4"/>
    <mergeCell ref="G4:G5"/>
    <mergeCell ref="P4:P5"/>
    <mergeCell ref="Q4:Q5"/>
    <mergeCell ref="R4:R5"/>
    <mergeCell ref="K4:K5"/>
    <mergeCell ref="L4:L5"/>
    <mergeCell ref="M4:N4"/>
    <mergeCell ref="O4:O5"/>
    <mergeCell ref="A6:A13"/>
    <mergeCell ref="B6:B8"/>
    <mergeCell ref="C6:C8"/>
    <mergeCell ref="D6:D8"/>
    <mergeCell ref="E6:E8"/>
    <mergeCell ref="F6:F8"/>
    <mergeCell ref="G6:G8"/>
    <mergeCell ref="H4:I4"/>
    <mergeCell ref="J4:J5"/>
    <mergeCell ref="J6:J8"/>
    <mergeCell ref="K6:K8"/>
    <mergeCell ref="B9:B13"/>
    <mergeCell ref="C9:C13"/>
    <mergeCell ref="D9:D13"/>
    <mergeCell ref="E9:E13"/>
    <mergeCell ref="F9:F13"/>
    <mergeCell ref="G9:G13"/>
    <mergeCell ref="H9:H11"/>
    <mergeCell ref="I9:I11"/>
    <mergeCell ref="P9:P11"/>
    <mergeCell ref="Q9:Q11"/>
    <mergeCell ref="R9:R11"/>
    <mergeCell ref="A14:A20"/>
    <mergeCell ref="B14:B17"/>
    <mergeCell ref="C14:C17"/>
    <mergeCell ref="D14:D17"/>
    <mergeCell ref="E14:E17"/>
    <mergeCell ref="F14:F17"/>
    <mergeCell ref="G14:G17"/>
    <mergeCell ref="J9:J13"/>
    <mergeCell ref="K9:K13"/>
    <mergeCell ref="L9:L11"/>
    <mergeCell ref="M9:M11"/>
    <mergeCell ref="N9:N11"/>
    <mergeCell ref="O9:O11"/>
    <mergeCell ref="N15:N16"/>
    <mergeCell ref="O15:O16"/>
    <mergeCell ref="P15:P16"/>
    <mergeCell ref="Q15:Q16"/>
    <mergeCell ref="R15:R16"/>
    <mergeCell ref="B18:B20"/>
    <mergeCell ref="C18:C20"/>
    <mergeCell ref="D18:D20"/>
    <mergeCell ref="E18:E20"/>
    <mergeCell ref="F18:F20"/>
    <mergeCell ref="J14:J17"/>
    <mergeCell ref="K14:K17"/>
    <mergeCell ref="H15:H16"/>
    <mergeCell ref="I15:I16"/>
    <mergeCell ref="L15:L16"/>
    <mergeCell ref="M15:M16"/>
    <mergeCell ref="G18:G20"/>
    <mergeCell ref="J18:J20"/>
    <mergeCell ref="K18:K20"/>
    <mergeCell ref="A21:A32"/>
    <mergeCell ref="B21:B26"/>
    <mergeCell ref="C21:C26"/>
    <mergeCell ref="D21:D26"/>
    <mergeCell ref="E21:E26"/>
    <mergeCell ref="F21:F26"/>
    <mergeCell ref="G21:G26"/>
    <mergeCell ref="J21:J26"/>
    <mergeCell ref="K21:K26"/>
    <mergeCell ref="B27:B32"/>
    <mergeCell ref="C27:C32"/>
    <mergeCell ref="D27:D32"/>
    <mergeCell ref="E27:E32"/>
    <mergeCell ref="F27:F32"/>
    <mergeCell ref="G27:G32"/>
    <mergeCell ref="J27:J32"/>
    <mergeCell ref="K27:K32"/>
    <mergeCell ref="E41:E43"/>
    <mergeCell ref="F41:F43"/>
    <mergeCell ref="G41:G43"/>
    <mergeCell ref="J41:J43"/>
    <mergeCell ref="B38:B40"/>
    <mergeCell ref="C38:C40"/>
    <mergeCell ref="D38:D40"/>
    <mergeCell ref="E38:E40"/>
    <mergeCell ref="F38:F40"/>
    <mergeCell ref="K55:K58"/>
    <mergeCell ref="B55:B58"/>
    <mergeCell ref="C55:C58"/>
    <mergeCell ref="E55:E58"/>
    <mergeCell ref="F55:F58"/>
    <mergeCell ref="G55:G58"/>
    <mergeCell ref="J55:J58"/>
    <mergeCell ref="K41:K43"/>
    <mergeCell ref="A51:A58"/>
    <mergeCell ref="B51:B54"/>
    <mergeCell ref="C51:C54"/>
    <mergeCell ref="D51:D58"/>
    <mergeCell ref="E51:E54"/>
    <mergeCell ref="F51:F54"/>
    <mergeCell ref="G51:G54"/>
    <mergeCell ref="J51:J54"/>
    <mergeCell ref="K51:K54"/>
    <mergeCell ref="A38:A43"/>
    <mergeCell ref="G38:G40"/>
    <mergeCell ref="J38:J40"/>
    <mergeCell ref="K38:K40"/>
    <mergeCell ref="B41:B43"/>
    <mergeCell ref="C41:C43"/>
    <mergeCell ref="D41:D43"/>
    <mergeCell ref="V4:V5"/>
    <mergeCell ref="V9:V11"/>
    <mergeCell ref="V15:V16"/>
    <mergeCell ref="S4:S5"/>
    <mergeCell ref="T4:T5"/>
    <mergeCell ref="S9:S11"/>
    <mergeCell ref="T9:T11"/>
    <mergeCell ref="S15:S16"/>
    <mergeCell ref="T15:T16"/>
    <mergeCell ref="U4:U5"/>
    <mergeCell ref="U9:U11"/>
    <mergeCell ref="U15:U1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38"/>
  <sheetViews>
    <sheetView zoomScale="81" zoomScaleNormal="81" workbookViewId="0">
      <selection activeCell="K37" sqref="K37"/>
    </sheetView>
  </sheetViews>
  <sheetFormatPr defaultRowHeight="14.4" x14ac:dyDescent="0.3"/>
  <cols>
    <col min="1" max="1" width="29.88671875" style="31" customWidth="1"/>
    <col min="2" max="2" width="25.44140625" style="43" customWidth="1"/>
    <col min="3" max="3" width="20.88671875" style="31" customWidth="1"/>
    <col min="4" max="4" width="24.109375" style="43" customWidth="1"/>
    <col min="5" max="5" width="22.88671875" style="32" customWidth="1"/>
    <col min="6" max="6" width="14.44140625" style="31" customWidth="1"/>
    <col min="7" max="7" width="11.5546875" style="31" customWidth="1"/>
    <col min="8" max="8" width="24.33203125" style="31" customWidth="1"/>
    <col min="9" max="9" width="24.5546875" style="31" customWidth="1"/>
    <col min="10" max="10" width="17.88671875" style="31" customWidth="1"/>
    <col min="11" max="11" width="24.44140625" style="31" customWidth="1"/>
    <col min="12" max="12" width="14.44140625" style="31" customWidth="1"/>
    <col min="13" max="13" width="14.88671875" style="31" customWidth="1"/>
    <col min="14" max="14" width="12.44140625" style="31" customWidth="1"/>
    <col min="15" max="15" width="12" style="31" bestFit="1" customWidth="1"/>
    <col min="16" max="16" width="12.5546875" style="32" customWidth="1"/>
    <col min="17" max="17" width="103.6640625" style="21" customWidth="1"/>
    <col min="18" max="18" width="84.44140625" style="21" customWidth="1"/>
  </cols>
  <sheetData>
    <row r="1" spans="1:107" ht="33.9" customHeight="1" x14ac:dyDescent="0.3">
      <c r="A1" s="643" t="s">
        <v>19</v>
      </c>
      <c r="B1" s="643"/>
      <c r="C1" s="643"/>
      <c r="D1" s="643"/>
      <c r="E1" s="643"/>
      <c r="F1" s="643"/>
    </row>
    <row r="2" spans="1:107" ht="15" thickBot="1" x14ac:dyDescent="0.35"/>
    <row r="3" spans="1:107" ht="32.25" customHeight="1" x14ac:dyDescent="0.3">
      <c r="A3" s="644" t="s">
        <v>235</v>
      </c>
      <c r="B3" s="646" t="s">
        <v>48</v>
      </c>
      <c r="C3" s="648" t="s">
        <v>2</v>
      </c>
      <c r="D3" s="641"/>
      <c r="E3" s="641"/>
      <c r="F3" s="648" t="s">
        <v>20</v>
      </c>
      <c r="G3" s="650" t="s">
        <v>111</v>
      </c>
      <c r="H3" s="650"/>
      <c r="I3" s="631" t="s">
        <v>21</v>
      </c>
      <c r="J3" s="639" t="s">
        <v>22</v>
      </c>
      <c r="K3" s="631" t="s">
        <v>4</v>
      </c>
      <c r="L3" s="641" t="s">
        <v>5</v>
      </c>
      <c r="M3" s="642"/>
      <c r="N3" s="631" t="s">
        <v>6</v>
      </c>
      <c r="O3" s="631" t="s">
        <v>7</v>
      </c>
      <c r="P3" s="631" t="s">
        <v>8</v>
      </c>
      <c r="Q3" s="633" t="s">
        <v>9</v>
      </c>
      <c r="R3" s="635" t="s">
        <v>61</v>
      </c>
    </row>
    <row r="4" spans="1:107" ht="54.75" customHeight="1" x14ac:dyDescent="0.3">
      <c r="A4" s="645"/>
      <c r="B4" s="647"/>
      <c r="C4" s="72" t="s">
        <v>10</v>
      </c>
      <c r="D4" s="44" t="s">
        <v>49</v>
      </c>
      <c r="E4" s="158" t="s">
        <v>46</v>
      </c>
      <c r="F4" s="649"/>
      <c r="G4" s="72" t="s">
        <v>113</v>
      </c>
      <c r="H4" s="72" t="s">
        <v>114</v>
      </c>
      <c r="I4" s="632"/>
      <c r="J4" s="640"/>
      <c r="K4" s="632"/>
      <c r="L4" s="50" t="s">
        <v>14</v>
      </c>
      <c r="M4" s="50" t="s">
        <v>15</v>
      </c>
      <c r="N4" s="632"/>
      <c r="O4" s="632"/>
      <c r="P4" s="632"/>
      <c r="Q4" s="634"/>
      <c r="R4" s="635"/>
    </row>
    <row r="5" spans="1:107" ht="103.5" customHeight="1" x14ac:dyDescent="0.3">
      <c r="A5" s="599" t="s">
        <v>221</v>
      </c>
      <c r="B5" s="594">
        <v>41500000</v>
      </c>
      <c r="C5" s="625" t="s">
        <v>241</v>
      </c>
      <c r="D5" s="594">
        <f>(B5-(B5*0.0411))*0.5/0.5</f>
        <v>39794350</v>
      </c>
      <c r="E5" s="594">
        <f>B5+D5</f>
        <v>81294350</v>
      </c>
      <c r="F5" s="636">
        <f>(B5-(B5*0.0411))+D5</f>
        <v>79588700</v>
      </c>
      <c r="G5" s="39" t="s">
        <v>25</v>
      </c>
      <c r="H5" s="68" t="s">
        <v>145</v>
      </c>
      <c r="I5" s="41" t="s">
        <v>199</v>
      </c>
      <c r="J5" s="39" t="s">
        <v>120</v>
      </c>
      <c r="K5" s="39" t="s">
        <v>243</v>
      </c>
      <c r="L5" s="36">
        <v>0</v>
      </c>
      <c r="M5" s="54" t="s">
        <v>47</v>
      </c>
      <c r="N5" s="36">
        <v>6460</v>
      </c>
      <c r="O5" s="49">
        <v>21534</v>
      </c>
      <c r="P5" s="73" t="s">
        <v>121</v>
      </c>
      <c r="Q5" s="98" t="s">
        <v>236</v>
      </c>
      <c r="R5" s="175" t="s">
        <v>209</v>
      </c>
    </row>
    <row r="6" spans="1:107" ht="87.75" customHeight="1" x14ac:dyDescent="0.3">
      <c r="A6" s="588"/>
      <c r="B6" s="595"/>
      <c r="C6" s="620"/>
      <c r="D6" s="595"/>
      <c r="E6" s="595"/>
      <c r="F6" s="637"/>
      <c r="G6" s="39" t="s">
        <v>23</v>
      </c>
      <c r="H6" s="68" t="s">
        <v>151</v>
      </c>
      <c r="I6" s="41" t="s">
        <v>199</v>
      </c>
      <c r="J6" s="39" t="s">
        <v>120</v>
      </c>
      <c r="K6" s="41" t="s">
        <v>150</v>
      </c>
      <c r="L6" s="36">
        <v>1427274</v>
      </c>
      <c r="M6" s="26">
        <v>2019</v>
      </c>
      <c r="N6" s="36" t="s">
        <v>37</v>
      </c>
      <c r="O6" s="36">
        <v>450061</v>
      </c>
      <c r="P6" s="73" t="s">
        <v>121</v>
      </c>
      <c r="Q6" s="98" t="s">
        <v>238</v>
      </c>
      <c r="R6" s="176" t="s">
        <v>72</v>
      </c>
    </row>
    <row r="7" spans="1:107" ht="96" customHeight="1" x14ac:dyDescent="0.3">
      <c r="A7" s="588"/>
      <c r="B7" s="596"/>
      <c r="C7" s="621"/>
      <c r="D7" s="596"/>
      <c r="E7" s="596"/>
      <c r="F7" s="638"/>
      <c r="G7" s="54" t="s">
        <v>36</v>
      </c>
      <c r="H7" s="69" t="s">
        <v>154</v>
      </c>
      <c r="I7" s="41" t="s">
        <v>199</v>
      </c>
      <c r="J7" s="39" t="s">
        <v>120</v>
      </c>
      <c r="K7" s="106" t="s">
        <v>198</v>
      </c>
      <c r="L7" s="193">
        <v>57091</v>
      </c>
      <c r="M7" s="26">
        <v>2019</v>
      </c>
      <c r="N7" s="54" t="s">
        <v>47</v>
      </c>
      <c r="O7" s="49">
        <v>41405</v>
      </c>
      <c r="P7" s="73" t="s">
        <v>121</v>
      </c>
      <c r="Q7" s="174" t="s">
        <v>239</v>
      </c>
      <c r="R7" s="168"/>
    </row>
    <row r="8" spans="1:107" ht="15" customHeight="1" x14ac:dyDescent="0.3">
      <c r="A8" s="588"/>
      <c r="B8" s="594">
        <v>41500000</v>
      </c>
      <c r="C8" s="625" t="s">
        <v>241</v>
      </c>
      <c r="D8" s="594">
        <f>(B8-(B8*0.0411))*0.5/0.5</f>
        <v>39794350</v>
      </c>
      <c r="E8" s="594">
        <f>B8+D8</f>
        <v>81294350</v>
      </c>
      <c r="F8" s="628">
        <f>(B8-(B8*0.0411))+D8</f>
        <v>79588700</v>
      </c>
      <c r="G8" s="622" t="s">
        <v>25</v>
      </c>
      <c r="H8" s="593" t="s">
        <v>145</v>
      </c>
      <c r="I8" s="622" t="s">
        <v>160</v>
      </c>
      <c r="J8" s="622" t="s">
        <v>144</v>
      </c>
      <c r="K8" s="622" t="s">
        <v>243</v>
      </c>
      <c r="L8" s="623">
        <v>0</v>
      </c>
      <c r="M8" s="624" t="s">
        <v>47</v>
      </c>
      <c r="N8" s="603">
        <v>6460</v>
      </c>
      <c r="O8" s="603">
        <v>21534</v>
      </c>
      <c r="P8" s="599" t="s">
        <v>121</v>
      </c>
      <c r="Q8" s="612" t="s">
        <v>237</v>
      </c>
      <c r="R8" s="615" t="s">
        <v>212</v>
      </c>
    </row>
    <row r="9" spans="1:107" ht="15" customHeight="1" x14ac:dyDescent="0.3">
      <c r="A9" s="588"/>
      <c r="B9" s="595"/>
      <c r="C9" s="620"/>
      <c r="D9" s="595"/>
      <c r="E9" s="595"/>
      <c r="F9" s="629"/>
      <c r="G9" s="622"/>
      <c r="H9" s="593"/>
      <c r="I9" s="622"/>
      <c r="J9" s="622"/>
      <c r="K9" s="622"/>
      <c r="L9" s="623"/>
      <c r="M9" s="624"/>
      <c r="N9" s="611"/>
      <c r="O9" s="611"/>
      <c r="P9" s="588"/>
      <c r="Q9" s="613"/>
      <c r="R9" s="616"/>
    </row>
    <row r="10" spans="1:107" ht="85.5" customHeight="1" x14ac:dyDescent="0.3">
      <c r="A10" s="588"/>
      <c r="B10" s="595"/>
      <c r="C10" s="620"/>
      <c r="D10" s="595"/>
      <c r="E10" s="595"/>
      <c r="F10" s="629"/>
      <c r="G10" s="622"/>
      <c r="H10" s="593"/>
      <c r="I10" s="622"/>
      <c r="J10" s="622"/>
      <c r="K10" s="622"/>
      <c r="L10" s="623"/>
      <c r="M10" s="624"/>
      <c r="N10" s="604"/>
      <c r="O10" s="604"/>
      <c r="P10" s="600"/>
      <c r="Q10" s="614"/>
      <c r="R10" s="617"/>
    </row>
    <row r="11" spans="1:107" s="28" customFormat="1" ht="87" customHeight="1" thickBot="1" x14ac:dyDescent="0.35">
      <c r="A11" s="588"/>
      <c r="B11" s="595"/>
      <c r="C11" s="620"/>
      <c r="D11" s="595"/>
      <c r="E11" s="595"/>
      <c r="F11" s="629"/>
      <c r="G11" s="39" t="s">
        <v>23</v>
      </c>
      <c r="H11" s="68" t="s">
        <v>151</v>
      </c>
      <c r="I11" s="41" t="s">
        <v>160</v>
      </c>
      <c r="J11" s="39" t="s">
        <v>144</v>
      </c>
      <c r="K11" s="41" t="s">
        <v>150</v>
      </c>
      <c r="L11" s="36">
        <v>1427274</v>
      </c>
      <c r="M11" s="26">
        <v>2019</v>
      </c>
      <c r="N11" s="36" t="s">
        <v>37</v>
      </c>
      <c r="O11" s="36">
        <v>450061</v>
      </c>
      <c r="P11" s="73" t="s">
        <v>121</v>
      </c>
      <c r="Q11" s="98" t="s">
        <v>238</v>
      </c>
      <c r="R11" s="176" t="s">
        <v>62</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5">
      <c r="A12" s="589"/>
      <c r="B12" s="627"/>
      <c r="C12" s="626"/>
      <c r="D12" s="627"/>
      <c r="E12" s="627"/>
      <c r="F12" s="630"/>
      <c r="G12" s="194" t="s">
        <v>36</v>
      </c>
      <c r="H12" s="69" t="s">
        <v>154</v>
      </c>
      <c r="I12" s="41" t="s">
        <v>160</v>
      </c>
      <c r="J12" s="39" t="s">
        <v>144</v>
      </c>
      <c r="K12" s="109" t="s">
        <v>198</v>
      </c>
      <c r="L12" s="193">
        <v>57091</v>
      </c>
      <c r="M12" s="26">
        <v>2019</v>
      </c>
      <c r="N12" s="54" t="s">
        <v>47</v>
      </c>
      <c r="O12" s="49">
        <v>41405</v>
      </c>
      <c r="P12" s="73" t="s">
        <v>121</v>
      </c>
      <c r="Q12" s="174" t="s">
        <v>239</v>
      </c>
      <c r="R12" s="168"/>
      <c r="S12" s="173"/>
      <c r="U12" s="172"/>
    </row>
    <row r="13" spans="1:107" ht="83.25" customHeight="1" thickBot="1" x14ac:dyDescent="0.35">
      <c r="A13" s="587" t="s">
        <v>195</v>
      </c>
      <c r="B13" s="618">
        <v>62000000</v>
      </c>
      <c r="C13" s="619" t="s">
        <v>245</v>
      </c>
      <c r="D13" s="618">
        <f>(B13*0.3)/0.7</f>
        <v>26571428.571428575</v>
      </c>
      <c r="E13" s="618">
        <f>B13+D13</f>
        <v>88571428.571428567</v>
      </c>
      <c r="F13" s="618">
        <f>E13</f>
        <v>88571428.571428567</v>
      </c>
      <c r="G13" s="169" t="s">
        <v>26</v>
      </c>
      <c r="H13" s="170" t="s">
        <v>147</v>
      </c>
      <c r="I13" s="167" t="s">
        <v>199</v>
      </c>
      <c r="J13" s="167" t="s">
        <v>120</v>
      </c>
      <c r="K13" s="167" t="s">
        <v>33</v>
      </c>
      <c r="L13" s="190">
        <v>0</v>
      </c>
      <c r="M13" s="179" t="s">
        <v>47</v>
      </c>
      <c r="N13" s="186">
        <v>25670</v>
      </c>
      <c r="O13" s="190">
        <v>256700</v>
      </c>
      <c r="P13" s="191" t="s">
        <v>121</v>
      </c>
      <c r="Q13" s="171" t="s">
        <v>224</v>
      </c>
      <c r="R13" s="177" t="s">
        <v>74</v>
      </c>
    </row>
    <row r="14" spans="1:107" ht="13.5" customHeight="1" x14ac:dyDescent="0.3">
      <c r="A14" s="588"/>
      <c r="B14" s="595"/>
      <c r="C14" s="620"/>
      <c r="D14" s="595"/>
      <c r="E14" s="595"/>
      <c r="F14" s="595"/>
      <c r="G14" s="599" t="s">
        <v>23</v>
      </c>
      <c r="H14" s="601" t="s">
        <v>151</v>
      </c>
      <c r="I14" s="587" t="s">
        <v>199</v>
      </c>
      <c r="J14" s="599" t="s">
        <v>120</v>
      </c>
      <c r="K14" s="599" t="s">
        <v>150</v>
      </c>
      <c r="L14" s="603">
        <v>56474</v>
      </c>
      <c r="M14" s="605">
        <v>2019</v>
      </c>
      <c r="N14" s="603" t="s">
        <v>37</v>
      </c>
      <c r="O14" s="603">
        <v>33884</v>
      </c>
      <c r="P14" s="607" t="s">
        <v>121</v>
      </c>
      <c r="Q14" s="609" t="s">
        <v>225</v>
      </c>
      <c r="R14" s="597" t="s">
        <v>73</v>
      </c>
    </row>
    <row r="15" spans="1:107" ht="79.5" customHeight="1" x14ac:dyDescent="0.3">
      <c r="A15" s="588"/>
      <c r="B15" s="595"/>
      <c r="C15" s="620"/>
      <c r="D15" s="595"/>
      <c r="E15" s="595"/>
      <c r="F15" s="595"/>
      <c r="G15" s="600"/>
      <c r="H15" s="602"/>
      <c r="I15" s="600"/>
      <c r="J15" s="600"/>
      <c r="K15" s="600"/>
      <c r="L15" s="604"/>
      <c r="M15" s="606"/>
      <c r="N15" s="604"/>
      <c r="O15" s="604"/>
      <c r="P15" s="608"/>
      <c r="Q15" s="610"/>
      <c r="R15" s="598"/>
    </row>
    <row r="16" spans="1:107" ht="61.5" customHeight="1" thickBot="1" x14ac:dyDescent="0.35">
      <c r="A16" s="589"/>
      <c r="B16" s="596"/>
      <c r="C16" s="621"/>
      <c r="D16" s="595"/>
      <c r="E16" s="595"/>
      <c r="F16" s="596"/>
      <c r="G16" s="39" t="s">
        <v>36</v>
      </c>
      <c r="H16" s="69" t="s">
        <v>154</v>
      </c>
      <c r="I16" s="41" t="s">
        <v>199</v>
      </c>
      <c r="J16" s="39" t="s">
        <v>120</v>
      </c>
      <c r="K16" s="41" t="s">
        <v>198</v>
      </c>
      <c r="L16" s="36">
        <v>5647</v>
      </c>
      <c r="M16" s="152">
        <v>2019</v>
      </c>
      <c r="N16" s="192" t="s">
        <v>37</v>
      </c>
      <c r="O16" s="196">
        <v>3388</v>
      </c>
      <c r="P16" s="73" t="s">
        <v>121</v>
      </c>
      <c r="Q16" s="98" t="s">
        <v>226</v>
      </c>
      <c r="R16" s="178" t="s">
        <v>78</v>
      </c>
    </row>
    <row r="17" spans="1:18" ht="302.25" customHeight="1" x14ac:dyDescent="0.3">
      <c r="A17" s="587" t="s">
        <v>242</v>
      </c>
      <c r="B17" s="590">
        <v>13500000</v>
      </c>
      <c r="C17" s="592" t="s">
        <v>240</v>
      </c>
      <c r="D17" s="590">
        <f>(B17*0.3)/0.7</f>
        <v>5785714.2857142864</v>
      </c>
      <c r="E17" s="590">
        <f>B17+D17</f>
        <v>19285714.285714287</v>
      </c>
      <c r="F17" s="590">
        <f>E17</f>
        <v>19285714.285714287</v>
      </c>
      <c r="G17" s="179" t="s">
        <v>23</v>
      </c>
      <c r="H17" s="180" t="s">
        <v>151</v>
      </c>
      <c r="I17" s="115" t="s">
        <v>199</v>
      </c>
      <c r="J17" s="115" t="s">
        <v>120</v>
      </c>
      <c r="K17" s="115" t="s">
        <v>150</v>
      </c>
      <c r="L17" s="186">
        <v>1133300</v>
      </c>
      <c r="M17" s="115">
        <v>2019</v>
      </c>
      <c r="N17" s="190" t="s">
        <v>37</v>
      </c>
      <c r="O17" s="186">
        <v>1121001</v>
      </c>
      <c r="P17" s="181" t="s">
        <v>121</v>
      </c>
      <c r="Q17" s="182" t="s">
        <v>231</v>
      </c>
      <c r="R17" s="177" t="s">
        <v>91</v>
      </c>
    </row>
    <row r="18" spans="1:18" ht="84.75" customHeight="1" x14ac:dyDescent="0.3">
      <c r="A18" s="588"/>
      <c r="B18" s="591"/>
      <c r="C18" s="593"/>
      <c r="D18" s="591"/>
      <c r="E18" s="591"/>
      <c r="F18" s="591"/>
      <c r="G18" s="54" t="s">
        <v>27</v>
      </c>
      <c r="H18" s="90" t="s">
        <v>149</v>
      </c>
      <c r="I18" s="26" t="s">
        <v>199</v>
      </c>
      <c r="J18" s="26" t="s">
        <v>120</v>
      </c>
      <c r="K18" s="54" t="s">
        <v>32</v>
      </c>
      <c r="L18" s="197">
        <v>0</v>
      </c>
      <c r="M18" s="54" t="s">
        <v>47</v>
      </c>
      <c r="N18" s="36">
        <v>6</v>
      </c>
      <c r="O18" s="49">
        <v>21</v>
      </c>
      <c r="P18" s="73" t="s">
        <v>121</v>
      </c>
      <c r="Q18" s="98" t="s">
        <v>228</v>
      </c>
      <c r="R18" s="184" t="s">
        <v>90</v>
      </c>
    </row>
    <row r="19" spans="1:18" ht="48.75" customHeight="1" x14ac:dyDescent="0.3">
      <c r="A19" s="588"/>
      <c r="B19" s="591"/>
      <c r="C19" s="593"/>
      <c r="D19" s="591"/>
      <c r="E19" s="591"/>
      <c r="F19" s="591"/>
      <c r="G19" s="54" t="s">
        <v>36</v>
      </c>
      <c r="H19" s="69" t="s">
        <v>154</v>
      </c>
      <c r="I19" s="26" t="s">
        <v>199</v>
      </c>
      <c r="J19" s="106" t="s">
        <v>120</v>
      </c>
      <c r="K19" s="106" t="s">
        <v>198</v>
      </c>
      <c r="L19" s="49">
        <v>113330</v>
      </c>
      <c r="M19" s="26">
        <v>2019</v>
      </c>
      <c r="N19" s="54" t="s">
        <v>47</v>
      </c>
      <c r="O19" s="49">
        <v>112100</v>
      </c>
      <c r="P19" s="73" t="s">
        <v>121</v>
      </c>
      <c r="Q19" s="67" t="s">
        <v>234</v>
      </c>
      <c r="R19" s="168"/>
    </row>
    <row r="20" spans="1:18" ht="100.5" customHeight="1" thickBot="1" x14ac:dyDescent="0.35">
      <c r="A20" s="588"/>
      <c r="B20" s="591"/>
      <c r="C20" s="593"/>
      <c r="D20" s="591"/>
      <c r="E20" s="591"/>
      <c r="F20" s="591"/>
      <c r="G20" s="117" t="s">
        <v>118</v>
      </c>
      <c r="H20" s="187" t="s">
        <v>200</v>
      </c>
      <c r="I20" s="26" t="s">
        <v>199</v>
      </c>
      <c r="J20" s="117" t="s">
        <v>120</v>
      </c>
      <c r="K20" s="117" t="s">
        <v>190</v>
      </c>
      <c r="L20" s="195">
        <v>0</v>
      </c>
      <c r="M20" s="185" t="s">
        <v>47</v>
      </c>
      <c r="N20" s="195">
        <v>15428</v>
      </c>
      <c r="O20" s="195">
        <v>51428</v>
      </c>
      <c r="P20" s="191" t="s">
        <v>121</v>
      </c>
      <c r="Q20" s="188" t="s">
        <v>229</v>
      </c>
      <c r="R20" s="189" t="s">
        <v>86</v>
      </c>
    </row>
    <row r="21" spans="1:18" ht="305.25" customHeight="1" x14ac:dyDescent="0.3">
      <c r="A21" s="588"/>
      <c r="B21" s="594">
        <v>13500000</v>
      </c>
      <c r="C21" s="592" t="s">
        <v>240</v>
      </c>
      <c r="D21" s="596">
        <f>(B21*0.3)/0.7</f>
        <v>5785714.2857142864</v>
      </c>
      <c r="E21" s="594">
        <f>B21+D21</f>
        <v>19285714.285714287</v>
      </c>
      <c r="F21" s="584">
        <f>E21</f>
        <v>19285714.285714287</v>
      </c>
      <c r="G21" s="54" t="s">
        <v>23</v>
      </c>
      <c r="H21" s="90" t="s">
        <v>151</v>
      </c>
      <c r="I21" s="26" t="s">
        <v>160</v>
      </c>
      <c r="J21" s="26" t="s">
        <v>144</v>
      </c>
      <c r="K21" s="26" t="s">
        <v>150</v>
      </c>
      <c r="L21" s="36">
        <v>1133300</v>
      </c>
      <c r="M21" s="26">
        <v>2019</v>
      </c>
      <c r="N21" s="36" t="s">
        <v>37</v>
      </c>
      <c r="O21" s="49">
        <v>1121001</v>
      </c>
      <c r="P21" s="73" t="s">
        <v>121</v>
      </c>
      <c r="Q21" s="94" t="s">
        <v>232</v>
      </c>
      <c r="R21" s="175" t="s">
        <v>92</v>
      </c>
    </row>
    <row r="22" spans="1:18" ht="92.25" customHeight="1" x14ac:dyDescent="0.3">
      <c r="A22" s="588"/>
      <c r="B22" s="595"/>
      <c r="C22" s="593"/>
      <c r="D22" s="591"/>
      <c r="E22" s="595"/>
      <c r="F22" s="585"/>
      <c r="G22" s="54" t="s">
        <v>27</v>
      </c>
      <c r="H22" s="90" t="s">
        <v>149</v>
      </c>
      <c r="I22" s="26" t="s">
        <v>160</v>
      </c>
      <c r="J22" s="26" t="s">
        <v>144</v>
      </c>
      <c r="K22" s="26" t="s">
        <v>32</v>
      </c>
      <c r="L22" s="36">
        <v>0</v>
      </c>
      <c r="M22" s="54" t="s">
        <v>47</v>
      </c>
      <c r="N22" s="36">
        <v>6</v>
      </c>
      <c r="O22" s="49">
        <v>21</v>
      </c>
      <c r="P22" s="73" t="s">
        <v>121</v>
      </c>
      <c r="Q22" s="183" t="s">
        <v>227</v>
      </c>
      <c r="R22" s="176" t="s">
        <v>63</v>
      </c>
    </row>
    <row r="23" spans="1:18" ht="137.25" customHeight="1" x14ac:dyDescent="0.3">
      <c r="A23" s="588"/>
      <c r="B23" s="595"/>
      <c r="C23" s="593"/>
      <c r="D23" s="591"/>
      <c r="E23" s="595"/>
      <c r="F23" s="585"/>
      <c r="G23" s="152" t="s">
        <v>118</v>
      </c>
      <c r="H23" s="90" t="s">
        <v>200</v>
      </c>
      <c r="I23" s="26" t="s">
        <v>160</v>
      </c>
      <c r="J23" s="26" t="s">
        <v>144</v>
      </c>
      <c r="K23" s="26" t="s">
        <v>190</v>
      </c>
      <c r="L23" s="49">
        <v>0</v>
      </c>
      <c r="M23" s="26" t="s">
        <v>47</v>
      </c>
      <c r="N23" s="49">
        <v>15428</v>
      </c>
      <c r="O23" s="49">
        <v>51428</v>
      </c>
      <c r="P23" s="155" t="s">
        <v>121</v>
      </c>
      <c r="Q23" s="25" t="s">
        <v>230</v>
      </c>
      <c r="R23" s="175" t="s">
        <v>85</v>
      </c>
    </row>
    <row r="24" spans="1:18" ht="49.5" customHeight="1" thickBot="1" x14ac:dyDescent="0.35">
      <c r="A24" s="589"/>
      <c r="B24" s="596"/>
      <c r="C24" s="593"/>
      <c r="D24" s="591"/>
      <c r="E24" s="596"/>
      <c r="F24" s="586"/>
      <c r="G24" s="54" t="s">
        <v>36</v>
      </c>
      <c r="H24" s="69" t="s">
        <v>154</v>
      </c>
      <c r="I24" s="26" t="s">
        <v>160</v>
      </c>
      <c r="J24" s="26" t="s">
        <v>144</v>
      </c>
      <c r="K24" s="106" t="s">
        <v>198</v>
      </c>
      <c r="L24" s="49">
        <v>113330</v>
      </c>
      <c r="M24" s="26">
        <v>2019</v>
      </c>
      <c r="N24" s="54" t="s">
        <v>47</v>
      </c>
      <c r="O24" s="49">
        <v>112100</v>
      </c>
      <c r="P24" s="73" t="s">
        <v>121</v>
      </c>
      <c r="Q24" s="103" t="s">
        <v>233</v>
      </c>
      <c r="R24" s="168"/>
    </row>
    <row r="25" spans="1:18" x14ac:dyDescent="0.3">
      <c r="A25" s="45"/>
      <c r="C25" s="32"/>
    </row>
    <row r="26" spans="1:18" x14ac:dyDescent="0.3">
      <c r="M26" s="38"/>
      <c r="Q26" s="29"/>
    </row>
    <row r="27" spans="1:18" ht="21.75" customHeight="1" x14ac:dyDescent="0.3">
      <c r="A27" s="72" t="s">
        <v>143</v>
      </c>
      <c r="B27" s="40" t="s">
        <v>142</v>
      </c>
      <c r="C27" s="72" t="s">
        <v>116</v>
      </c>
      <c r="D27" s="72" t="s">
        <v>140</v>
      </c>
      <c r="E27" s="72" t="s">
        <v>112</v>
      </c>
      <c r="F27" s="72" t="s">
        <v>115</v>
      </c>
      <c r="G27" s="72" t="s">
        <v>141</v>
      </c>
      <c r="H27" s="72" t="s">
        <v>124</v>
      </c>
      <c r="I27" s="72" t="s">
        <v>123</v>
      </c>
    </row>
    <row r="28" spans="1:18" ht="35.25" customHeight="1" x14ac:dyDescent="0.3">
      <c r="A28" s="41" t="s">
        <v>25</v>
      </c>
      <c r="B28" s="41" t="s">
        <v>145</v>
      </c>
      <c r="C28" s="39" t="s">
        <v>243</v>
      </c>
      <c r="D28" s="51">
        <v>0</v>
      </c>
      <c r="E28" s="39" t="s">
        <v>199</v>
      </c>
      <c r="F28" s="39" t="s">
        <v>120</v>
      </c>
      <c r="G28" s="39" t="s">
        <v>47</v>
      </c>
      <c r="H28" s="52">
        <f>SUM(N5)</f>
        <v>6460</v>
      </c>
      <c r="I28" s="52">
        <f>SUM(O5)</f>
        <v>21534</v>
      </c>
    </row>
    <row r="29" spans="1:18" ht="39" customHeight="1" x14ac:dyDescent="0.3">
      <c r="A29" s="41" t="s">
        <v>25</v>
      </c>
      <c r="B29" s="41" t="s">
        <v>145</v>
      </c>
      <c r="C29" s="39" t="s">
        <v>243</v>
      </c>
      <c r="D29" s="51">
        <v>0</v>
      </c>
      <c r="E29" s="41" t="s">
        <v>160</v>
      </c>
      <c r="F29" s="39" t="s">
        <v>144</v>
      </c>
      <c r="G29" s="39" t="s">
        <v>47</v>
      </c>
      <c r="H29" s="52">
        <f>N8</f>
        <v>6460</v>
      </c>
      <c r="I29" s="52">
        <f>O8</f>
        <v>21534</v>
      </c>
    </row>
    <row r="30" spans="1:18" ht="48.75" customHeight="1" x14ac:dyDescent="0.3">
      <c r="A30" s="41" t="s">
        <v>40</v>
      </c>
      <c r="B30" s="41" t="s">
        <v>147</v>
      </c>
      <c r="C30" s="39" t="s">
        <v>35</v>
      </c>
      <c r="D30" s="51">
        <v>0</v>
      </c>
      <c r="E30" s="39" t="s">
        <v>199</v>
      </c>
      <c r="F30" s="39" t="s">
        <v>120</v>
      </c>
      <c r="G30" s="39" t="s">
        <v>47</v>
      </c>
      <c r="H30" s="52">
        <f>SUM(N13)</f>
        <v>25670</v>
      </c>
      <c r="I30" s="52">
        <f>SUM(O13)</f>
        <v>256700</v>
      </c>
    </row>
    <row r="31" spans="1:18" ht="41.4" x14ac:dyDescent="0.3">
      <c r="A31" s="41" t="s">
        <v>27</v>
      </c>
      <c r="B31" s="53" t="s">
        <v>149</v>
      </c>
      <c r="C31" s="41" t="s">
        <v>32</v>
      </c>
      <c r="D31" s="51">
        <v>0</v>
      </c>
      <c r="E31" s="39" t="s">
        <v>199</v>
      </c>
      <c r="F31" s="39" t="s">
        <v>120</v>
      </c>
      <c r="G31" s="39" t="s">
        <v>47</v>
      </c>
      <c r="H31" s="36">
        <f>SUM(N18)</f>
        <v>6</v>
      </c>
      <c r="I31" s="36">
        <f>SUM(O18)</f>
        <v>21</v>
      </c>
    </row>
    <row r="32" spans="1:18" ht="41.4" x14ac:dyDescent="0.3">
      <c r="A32" s="41" t="s">
        <v>27</v>
      </c>
      <c r="B32" s="53" t="s">
        <v>149</v>
      </c>
      <c r="C32" s="41" t="s">
        <v>32</v>
      </c>
      <c r="D32" s="51">
        <v>0</v>
      </c>
      <c r="E32" s="41" t="s">
        <v>160</v>
      </c>
      <c r="F32" s="39" t="s">
        <v>144</v>
      </c>
      <c r="G32" s="39" t="s">
        <v>47</v>
      </c>
      <c r="H32" s="36">
        <f>SUM(N22)</f>
        <v>6</v>
      </c>
      <c r="I32" s="36">
        <f>SUM(O22)</f>
        <v>21</v>
      </c>
    </row>
    <row r="33" spans="1:9" ht="54" customHeight="1" x14ac:dyDescent="0.3">
      <c r="A33" s="41" t="s">
        <v>23</v>
      </c>
      <c r="B33" s="41" t="s">
        <v>151</v>
      </c>
      <c r="C33" s="41" t="s">
        <v>244</v>
      </c>
      <c r="D33" s="48">
        <f>SUM(L6+L14+L17)</f>
        <v>2617048</v>
      </c>
      <c r="E33" s="41" t="s">
        <v>199</v>
      </c>
      <c r="F33" s="39" t="s">
        <v>120</v>
      </c>
      <c r="G33" s="39">
        <v>2019</v>
      </c>
      <c r="H33" s="36" t="s">
        <v>47</v>
      </c>
      <c r="I33" s="49">
        <f>SUM(O6+O14+O17)</f>
        <v>1604946</v>
      </c>
    </row>
    <row r="34" spans="1:9" ht="53.1" customHeight="1" x14ac:dyDescent="0.3">
      <c r="A34" s="41" t="s">
        <v>23</v>
      </c>
      <c r="B34" s="41" t="s">
        <v>151</v>
      </c>
      <c r="C34" s="41" t="s">
        <v>244</v>
      </c>
      <c r="D34" s="48">
        <f>SUM(L11+L21)</f>
        <v>2560574</v>
      </c>
      <c r="E34" s="41" t="s">
        <v>160</v>
      </c>
      <c r="F34" s="39" t="s">
        <v>144</v>
      </c>
      <c r="G34" s="39">
        <v>2019</v>
      </c>
      <c r="H34" s="36" t="s">
        <v>47</v>
      </c>
      <c r="I34" s="49">
        <f>SUM(O11+O21)</f>
        <v>1571062</v>
      </c>
    </row>
    <row r="35" spans="1:9" ht="45.9" customHeight="1" x14ac:dyDescent="0.3">
      <c r="A35" s="41" t="s">
        <v>36</v>
      </c>
      <c r="B35" s="41" t="s">
        <v>154</v>
      </c>
      <c r="C35" s="47" t="s">
        <v>198</v>
      </c>
      <c r="D35" s="48">
        <f>SUM(L7+L16+L19)</f>
        <v>176068</v>
      </c>
      <c r="E35" s="41" t="s">
        <v>199</v>
      </c>
      <c r="F35" s="39" t="s">
        <v>120</v>
      </c>
      <c r="G35" s="39">
        <v>2019</v>
      </c>
      <c r="H35" s="36" t="s">
        <v>47</v>
      </c>
      <c r="I35" s="36">
        <f>SUM(O16+O19+O7)</f>
        <v>156893</v>
      </c>
    </row>
    <row r="36" spans="1:9" ht="58.5" customHeight="1" x14ac:dyDescent="0.3">
      <c r="A36" s="41" t="s">
        <v>36</v>
      </c>
      <c r="B36" s="41" t="s">
        <v>154</v>
      </c>
      <c r="C36" s="47" t="s">
        <v>198</v>
      </c>
      <c r="D36" s="48">
        <f>SUM(L12+L24)</f>
        <v>170421</v>
      </c>
      <c r="E36" s="41" t="s">
        <v>160</v>
      </c>
      <c r="F36" s="39" t="s">
        <v>144</v>
      </c>
      <c r="G36" s="39">
        <v>2019</v>
      </c>
      <c r="H36" s="36" t="s">
        <v>47</v>
      </c>
      <c r="I36" s="36">
        <f>SUM(O12+O24)</f>
        <v>153505</v>
      </c>
    </row>
    <row r="37" spans="1:9" ht="68.25" customHeight="1" x14ac:dyDescent="0.3">
      <c r="A37" s="26" t="s">
        <v>118</v>
      </c>
      <c r="B37" s="26" t="s">
        <v>200</v>
      </c>
      <c r="C37" s="26" t="s">
        <v>190</v>
      </c>
      <c r="D37" s="48">
        <v>0</v>
      </c>
      <c r="E37" s="26" t="s">
        <v>199</v>
      </c>
      <c r="F37" s="26" t="s">
        <v>120</v>
      </c>
      <c r="G37" s="54" t="s">
        <v>47</v>
      </c>
      <c r="H37" s="36">
        <f>SUM(N20)</f>
        <v>15428</v>
      </c>
      <c r="I37" s="36">
        <f>SUM(O20)</f>
        <v>51428</v>
      </c>
    </row>
    <row r="38" spans="1:9" ht="68.25" customHeight="1" x14ac:dyDescent="0.3">
      <c r="A38" s="26" t="s">
        <v>118</v>
      </c>
      <c r="B38" s="26" t="s">
        <v>200</v>
      </c>
      <c r="C38" s="26" t="s">
        <v>190</v>
      </c>
      <c r="D38" s="48">
        <v>0</v>
      </c>
      <c r="E38" s="26" t="s">
        <v>160</v>
      </c>
      <c r="F38" s="26" t="s">
        <v>144</v>
      </c>
      <c r="G38" s="54" t="s">
        <v>47</v>
      </c>
      <c r="H38" s="36">
        <f>SUM(N23)</f>
        <v>15428</v>
      </c>
      <c r="I38" s="36">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2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topLeftCell="D22" zoomScale="80" zoomScaleNormal="80" workbookViewId="0">
      <selection activeCell="P26" sqref="P26"/>
    </sheetView>
  </sheetViews>
  <sheetFormatPr defaultRowHeight="14.4" x14ac:dyDescent="0.3"/>
  <cols>
    <col min="1" max="1" width="29.88671875" style="31" customWidth="1"/>
    <col min="2" max="2" width="29" style="43" customWidth="1"/>
    <col min="3" max="3" width="20.88671875" style="31" customWidth="1"/>
    <col min="4" max="4" width="21.5546875" style="43" customWidth="1"/>
    <col min="5" max="5" width="22.88671875" style="45" customWidth="1"/>
    <col min="6" max="6" width="14.44140625" style="31" customWidth="1"/>
    <col min="7" max="7" width="10.44140625" style="31" customWidth="1"/>
    <col min="8" max="8" width="20.88671875" style="31" customWidth="1"/>
    <col min="9" max="9" width="15.88671875" style="31" customWidth="1"/>
    <col min="10" max="10" width="17.88671875" style="31" customWidth="1"/>
    <col min="11" max="11" width="24.44140625" style="31" customWidth="1"/>
    <col min="12" max="12" width="14.44140625" style="31" customWidth="1"/>
    <col min="13" max="13" width="14.88671875" style="31" customWidth="1"/>
    <col min="14" max="14" width="12.44140625" style="31" customWidth="1"/>
    <col min="15" max="15" width="12" style="31" bestFit="1" customWidth="1"/>
    <col min="16" max="16" width="12.5546875" style="32" customWidth="1"/>
    <col min="17" max="17" width="0.109375" style="21" customWidth="1"/>
    <col min="18" max="18" width="84.44140625" style="21" customWidth="1"/>
  </cols>
  <sheetData>
    <row r="1" spans="1:18" ht="33.9" customHeight="1" x14ac:dyDescent="0.3">
      <c r="A1" s="30" t="s">
        <v>19</v>
      </c>
      <c r="B1" s="30"/>
      <c r="C1" s="30"/>
      <c r="D1" s="30"/>
      <c r="E1" s="157"/>
    </row>
    <row r="2" spans="1:18" ht="15" thickBot="1" x14ac:dyDescent="0.35"/>
    <row r="3" spans="1:18" ht="15" customHeight="1" x14ac:dyDescent="0.3">
      <c r="A3" s="644" t="s">
        <v>0</v>
      </c>
      <c r="B3" s="646" t="s">
        <v>48</v>
      </c>
      <c r="C3" s="648" t="s">
        <v>2</v>
      </c>
      <c r="D3" s="641"/>
      <c r="E3" s="641"/>
      <c r="F3" s="648" t="s">
        <v>20</v>
      </c>
      <c r="G3" s="651" t="s">
        <v>3</v>
      </c>
      <c r="H3" s="651"/>
      <c r="I3" s="631" t="s">
        <v>21</v>
      </c>
      <c r="J3" s="639" t="s">
        <v>22</v>
      </c>
      <c r="K3" s="631" t="s">
        <v>4</v>
      </c>
      <c r="L3" s="641" t="s">
        <v>5</v>
      </c>
      <c r="M3" s="642"/>
      <c r="N3" s="631" t="s">
        <v>6</v>
      </c>
      <c r="O3" s="631" t="s">
        <v>7</v>
      </c>
      <c r="P3" s="631" t="s">
        <v>8</v>
      </c>
      <c r="Q3" s="633" t="s">
        <v>9</v>
      </c>
      <c r="R3" s="635" t="s">
        <v>61</v>
      </c>
    </row>
    <row r="4" spans="1:18" ht="54.75" customHeight="1" x14ac:dyDescent="0.3">
      <c r="A4" s="645"/>
      <c r="B4" s="647"/>
      <c r="C4" s="72" t="s">
        <v>10</v>
      </c>
      <c r="D4" s="44" t="s">
        <v>49</v>
      </c>
      <c r="E4" s="158" t="s">
        <v>46</v>
      </c>
      <c r="F4" s="649"/>
      <c r="G4" s="72" t="s">
        <v>12</v>
      </c>
      <c r="H4" s="72" t="s">
        <v>13</v>
      </c>
      <c r="I4" s="632"/>
      <c r="J4" s="640"/>
      <c r="K4" s="632"/>
      <c r="L4" s="50" t="s">
        <v>14</v>
      </c>
      <c r="M4" s="50" t="s">
        <v>15</v>
      </c>
      <c r="N4" s="632"/>
      <c r="O4" s="632"/>
      <c r="P4" s="632"/>
      <c r="Q4" s="634"/>
      <c r="R4" s="635"/>
    </row>
    <row r="5" spans="1:18" ht="106.5" customHeight="1" x14ac:dyDescent="0.3">
      <c r="A5" s="622" t="s">
        <v>221</v>
      </c>
      <c r="B5" s="591">
        <v>29050000</v>
      </c>
      <c r="C5" s="593" t="s">
        <v>196</v>
      </c>
      <c r="D5" s="591">
        <f>(B5-(B5*0.0411))*0.5/0.5</f>
        <v>27856045</v>
      </c>
      <c r="E5" s="591">
        <f>B5+D5</f>
        <v>56906045</v>
      </c>
      <c r="F5" s="655">
        <f>E5</f>
        <v>56906045</v>
      </c>
      <c r="G5" s="39" t="s">
        <v>25</v>
      </c>
      <c r="H5" s="68" t="s">
        <v>145</v>
      </c>
      <c r="I5" s="41" t="s">
        <v>119</v>
      </c>
      <c r="J5" s="39" t="s">
        <v>120</v>
      </c>
      <c r="K5" s="39" t="s">
        <v>146</v>
      </c>
      <c r="L5" s="62">
        <v>0</v>
      </c>
      <c r="M5" s="62" t="s">
        <v>47</v>
      </c>
      <c r="N5" s="121">
        <v>4620</v>
      </c>
      <c r="O5" s="42">
        <v>15400</v>
      </c>
      <c r="P5" s="24" t="s">
        <v>121</v>
      </c>
      <c r="Q5" s="98" t="s">
        <v>210</v>
      </c>
      <c r="R5" s="67" t="s">
        <v>209</v>
      </c>
    </row>
    <row r="6" spans="1:18" ht="77.25" customHeight="1" x14ac:dyDescent="0.3">
      <c r="A6" s="652"/>
      <c r="B6" s="652"/>
      <c r="C6" s="653"/>
      <c r="D6" s="654"/>
      <c r="E6" s="654"/>
      <c r="F6" s="655"/>
      <c r="G6" s="39" t="s">
        <v>23</v>
      </c>
      <c r="H6" s="68" t="s">
        <v>151</v>
      </c>
      <c r="I6" s="41" t="s">
        <v>119</v>
      </c>
      <c r="J6" s="39" t="s">
        <v>120</v>
      </c>
      <c r="K6" s="41" t="s">
        <v>150</v>
      </c>
      <c r="L6" s="121">
        <v>1020712</v>
      </c>
      <c r="M6" s="26">
        <v>2019</v>
      </c>
      <c r="N6" s="37" t="s">
        <v>37</v>
      </c>
      <c r="O6" s="37">
        <v>321860</v>
      </c>
      <c r="P6" s="24" t="s">
        <v>121</v>
      </c>
      <c r="Q6" s="98" t="s">
        <v>51</v>
      </c>
      <c r="R6" s="103" t="s">
        <v>72</v>
      </c>
    </row>
    <row r="7" spans="1:18" ht="25.5" customHeight="1" x14ac:dyDescent="0.3">
      <c r="A7" s="652"/>
      <c r="B7" s="591">
        <v>53950000</v>
      </c>
      <c r="C7" s="593" t="s">
        <v>196</v>
      </c>
      <c r="D7" s="591">
        <f>(B7-(B7*0.0411))*0.5/0.5</f>
        <v>51732655</v>
      </c>
      <c r="E7" s="591">
        <f>B7+D7</f>
        <v>105682655</v>
      </c>
      <c r="F7" s="657">
        <f>E7</f>
        <v>105682655</v>
      </c>
      <c r="G7" s="622" t="s">
        <v>25</v>
      </c>
      <c r="H7" s="593" t="s">
        <v>145</v>
      </c>
      <c r="I7" s="622" t="s">
        <v>160</v>
      </c>
      <c r="J7" s="622" t="s">
        <v>144</v>
      </c>
      <c r="K7" s="622" t="s">
        <v>146</v>
      </c>
      <c r="L7" s="656">
        <v>0</v>
      </c>
      <c r="M7" s="661" t="s">
        <v>47</v>
      </c>
      <c r="N7" s="656">
        <v>8580</v>
      </c>
      <c r="O7" s="656">
        <v>28600</v>
      </c>
      <c r="P7" s="658" t="s">
        <v>121</v>
      </c>
      <c r="Q7" s="659" t="s">
        <v>211</v>
      </c>
      <c r="R7" s="660" t="s">
        <v>212</v>
      </c>
    </row>
    <row r="8" spans="1:18" ht="89.25" customHeight="1" x14ac:dyDescent="0.3">
      <c r="A8" s="652"/>
      <c r="B8" s="652"/>
      <c r="C8" s="653"/>
      <c r="D8" s="654"/>
      <c r="E8" s="654"/>
      <c r="F8" s="657"/>
      <c r="G8" s="652"/>
      <c r="H8" s="653"/>
      <c r="I8" s="652"/>
      <c r="J8" s="652"/>
      <c r="K8" s="652"/>
      <c r="L8" s="656"/>
      <c r="M8" s="661"/>
      <c r="N8" s="656"/>
      <c r="O8" s="656"/>
      <c r="P8" s="658"/>
      <c r="Q8" s="659"/>
      <c r="R8" s="614"/>
    </row>
    <row r="9" spans="1:18" s="28" customFormat="1" ht="86.25" customHeight="1" thickBot="1" x14ac:dyDescent="0.35">
      <c r="A9" s="652"/>
      <c r="B9" s="652"/>
      <c r="C9" s="653"/>
      <c r="D9" s="654"/>
      <c r="E9" s="654"/>
      <c r="F9" s="657"/>
      <c r="G9" s="39" t="s">
        <v>23</v>
      </c>
      <c r="H9" s="68" t="s">
        <v>151</v>
      </c>
      <c r="I9" s="64" t="s">
        <v>160</v>
      </c>
      <c r="J9" s="39" t="s">
        <v>144</v>
      </c>
      <c r="K9" s="41" t="s">
        <v>150</v>
      </c>
      <c r="L9" s="121">
        <v>1895608</v>
      </c>
      <c r="M9" s="26">
        <v>2019</v>
      </c>
      <c r="N9" s="74" t="s">
        <v>37</v>
      </c>
      <c r="O9" s="37">
        <v>597740</v>
      </c>
      <c r="P9" s="23" t="s">
        <v>121</v>
      </c>
      <c r="Q9" s="94" t="s">
        <v>52</v>
      </c>
      <c r="R9" s="103" t="s">
        <v>62</v>
      </c>
    </row>
    <row r="10" spans="1:18" ht="83.25" customHeight="1" x14ac:dyDescent="0.3">
      <c r="A10" s="622" t="s">
        <v>195</v>
      </c>
      <c r="B10" s="591">
        <v>24800000</v>
      </c>
      <c r="C10" s="593" t="s">
        <v>197</v>
      </c>
      <c r="D10" s="591">
        <f>(B10*0.3)/0.7</f>
        <v>10628571.428571429</v>
      </c>
      <c r="E10" s="591">
        <f>B10+D10</f>
        <v>35428571.428571433</v>
      </c>
      <c r="F10" s="591">
        <f>E10</f>
        <v>35428571.428571433</v>
      </c>
      <c r="G10" s="39" t="s">
        <v>26</v>
      </c>
      <c r="H10" s="68" t="s">
        <v>147</v>
      </c>
      <c r="I10" s="71" t="s">
        <v>119</v>
      </c>
      <c r="J10" s="71" t="s">
        <v>120</v>
      </c>
      <c r="K10" s="33" t="s">
        <v>148</v>
      </c>
      <c r="L10" s="121">
        <v>0</v>
      </c>
      <c r="M10" s="62" t="s">
        <v>47</v>
      </c>
      <c r="N10" s="74">
        <v>10200</v>
      </c>
      <c r="O10" s="37">
        <v>102000</v>
      </c>
      <c r="P10" s="23" t="s">
        <v>121</v>
      </c>
      <c r="Q10" s="70" t="s">
        <v>213</v>
      </c>
      <c r="R10" s="67" t="s">
        <v>74</v>
      </c>
    </row>
    <row r="11" spans="1:18" ht="13.5" customHeight="1" x14ac:dyDescent="0.3">
      <c r="A11" s="622"/>
      <c r="B11" s="622"/>
      <c r="C11" s="593"/>
      <c r="D11" s="654"/>
      <c r="E11" s="652"/>
      <c r="F11" s="652"/>
      <c r="G11" s="622" t="s">
        <v>23</v>
      </c>
      <c r="H11" s="662" t="s">
        <v>151</v>
      </c>
      <c r="I11" s="622" t="s">
        <v>119</v>
      </c>
      <c r="J11" s="622" t="s">
        <v>120</v>
      </c>
      <c r="K11" s="622" t="s">
        <v>150</v>
      </c>
      <c r="L11" s="656">
        <v>22440</v>
      </c>
      <c r="M11" s="624">
        <v>2019</v>
      </c>
      <c r="N11" s="666" t="s">
        <v>37</v>
      </c>
      <c r="O11" s="666">
        <v>15708</v>
      </c>
      <c r="P11" s="667" t="s">
        <v>121</v>
      </c>
      <c r="Q11" s="653" t="s">
        <v>70</v>
      </c>
      <c r="R11" s="668" t="s">
        <v>73</v>
      </c>
    </row>
    <row r="12" spans="1:18" ht="84.75" customHeight="1" x14ac:dyDescent="0.3">
      <c r="A12" s="622"/>
      <c r="B12" s="622"/>
      <c r="C12" s="593"/>
      <c r="D12" s="654"/>
      <c r="E12" s="652"/>
      <c r="F12" s="652"/>
      <c r="G12" s="652"/>
      <c r="H12" s="663"/>
      <c r="I12" s="622"/>
      <c r="J12" s="652"/>
      <c r="K12" s="652"/>
      <c r="L12" s="656"/>
      <c r="M12" s="624"/>
      <c r="N12" s="666"/>
      <c r="O12" s="666"/>
      <c r="P12" s="652"/>
      <c r="Q12" s="653"/>
      <c r="R12" s="668"/>
    </row>
    <row r="13" spans="1:18" ht="48.75" customHeight="1" x14ac:dyDescent="0.3">
      <c r="A13" s="622"/>
      <c r="B13" s="622"/>
      <c r="C13" s="593"/>
      <c r="D13" s="654"/>
      <c r="E13" s="652"/>
      <c r="F13" s="652"/>
      <c r="G13" s="39" t="s">
        <v>36</v>
      </c>
      <c r="H13" s="68" t="s">
        <v>154</v>
      </c>
      <c r="I13" s="41" t="s">
        <v>119</v>
      </c>
      <c r="J13" s="39" t="s">
        <v>120</v>
      </c>
      <c r="K13" s="41" t="s">
        <v>131</v>
      </c>
      <c r="L13" s="121">
        <v>2244</v>
      </c>
      <c r="M13" s="26">
        <v>2019</v>
      </c>
      <c r="N13" s="74" t="s">
        <v>37</v>
      </c>
      <c r="O13" s="37">
        <v>1571</v>
      </c>
      <c r="P13" s="73" t="s">
        <v>121</v>
      </c>
      <c r="Q13" s="98" t="s">
        <v>53</v>
      </c>
      <c r="R13" s="104" t="s">
        <v>78</v>
      </c>
    </row>
    <row r="14" spans="1:18" ht="409.6" x14ac:dyDescent="0.3">
      <c r="A14" s="652"/>
      <c r="B14" s="591">
        <v>37200000</v>
      </c>
      <c r="C14" s="593" t="s">
        <v>197</v>
      </c>
      <c r="D14" s="591">
        <f>(B14*0.3)/0.7</f>
        <v>15942857.142857144</v>
      </c>
      <c r="E14" s="664">
        <f>B14+D14</f>
        <v>53142857.142857142</v>
      </c>
      <c r="F14" s="664">
        <f>E14</f>
        <v>53142857.142857142</v>
      </c>
      <c r="G14" s="39" t="s">
        <v>26</v>
      </c>
      <c r="H14" s="68" t="s">
        <v>147</v>
      </c>
      <c r="I14" s="64" t="s">
        <v>160</v>
      </c>
      <c r="J14" s="41" t="s">
        <v>144</v>
      </c>
      <c r="K14" s="39" t="s">
        <v>148</v>
      </c>
      <c r="L14" s="121">
        <v>0</v>
      </c>
      <c r="M14" s="62" t="s">
        <v>47</v>
      </c>
      <c r="N14" s="74">
        <v>15500</v>
      </c>
      <c r="O14" s="37">
        <v>155000</v>
      </c>
      <c r="P14" s="73" t="s">
        <v>121</v>
      </c>
      <c r="Q14" s="96" t="s">
        <v>54</v>
      </c>
      <c r="R14" s="67" t="s">
        <v>75</v>
      </c>
    </row>
    <row r="15" spans="1:18" ht="85.5" customHeight="1" x14ac:dyDescent="0.3">
      <c r="A15" s="652"/>
      <c r="B15" s="591"/>
      <c r="C15" s="593"/>
      <c r="D15" s="591"/>
      <c r="E15" s="664"/>
      <c r="F15" s="665"/>
      <c r="G15" s="39" t="s">
        <v>23</v>
      </c>
      <c r="H15" s="68" t="s">
        <v>151</v>
      </c>
      <c r="I15" s="64" t="s">
        <v>160</v>
      </c>
      <c r="J15" s="41" t="s">
        <v>144</v>
      </c>
      <c r="K15" s="41" t="s">
        <v>150</v>
      </c>
      <c r="L15" s="121">
        <v>34100</v>
      </c>
      <c r="M15" s="23">
        <v>2019</v>
      </c>
      <c r="N15" s="74" t="s">
        <v>37</v>
      </c>
      <c r="O15" s="37">
        <v>23870</v>
      </c>
      <c r="P15" s="73" t="s">
        <v>121</v>
      </c>
      <c r="Q15" s="98" t="s">
        <v>55</v>
      </c>
      <c r="R15" s="103" t="s">
        <v>76</v>
      </c>
    </row>
    <row r="16" spans="1:18" s="28" customFormat="1" ht="60" customHeight="1" thickBot="1" x14ac:dyDescent="0.35">
      <c r="A16" s="652"/>
      <c r="B16" s="591"/>
      <c r="C16" s="593"/>
      <c r="D16" s="591"/>
      <c r="E16" s="664"/>
      <c r="F16" s="665"/>
      <c r="G16" s="39" t="s">
        <v>41</v>
      </c>
      <c r="H16" s="68" t="s">
        <v>154</v>
      </c>
      <c r="I16" s="64" t="s">
        <v>160</v>
      </c>
      <c r="J16" s="41" t="s">
        <v>144</v>
      </c>
      <c r="K16" s="41" t="s">
        <v>131</v>
      </c>
      <c r="L16" s="121">
        <v>3410</v>
      </c>
      <c r="M16" s="23">
        <v>2019</v>
      </c>
      <c r="N16" s="37" t="s">
        <v>37</v>
      </c>
      <c r="O16" s="37">
        <v>2387</v>
      </c>
      <c r="P16" s="73" t="s">
        <v>121</v>
      </c>
      <c r="Q16" s="99" t="s">
        <v>77</v>
      </c>
      <c r="R16" s="103" t="s">
        <v>79</v>
      </c>
    </row>
    <row r="17" spans="1:18" ht="62.25" customHeight="1" x14ac:dyDescent="0.3">
      <c r="A17" s="600" t="s">
        <v>194</v>
      </c>
      <c r="B17" s="596">
        <v>3493987.8</v>
      </c>
      <c r="C17" s="621" t="s">
        <v>193</v>
      </c>
      <c r="D17" s="596">
        <f>(B17*0.3)/0.7</f>
        <v>1497423.3428571427</v>
      </c>
      <c r="E17" s="586">
        <f>D17+B17</f>
        <v>4991411.1428571427</v>
      </c>
      <c r="F17" s="669">
        <f>E17</f>
        <v>4991411.1428571427</v>
      </c>
      <c r="G17" s="33" t="s">
        <v>23</v>
      </c>
      <c r="H17" s="34" t="s">
        <v>151</v>
      </c>
      <c r="I17" s="71" t="s">
        <v>119</v>
      </c>
      <c r="J17" s="35" t="s">
        <v>120</v>
      </c>
      <c r="K17" s="41" t="s">
        <v>150</v>
      </c>
      <c r="L17" s="121">
        <v>7000</v>
      </c>
      <c r="M17" s="107">
        <v>2019</v>
      </c>
      <c r="N17" s="74" t="s">
        <v>37</v>
      </c>
      <c r="O17" s="74">
        <v>5600</v>
      </c>
      <c r="P17" s="73" t="s">
        <v>121</v>
      </c>
      <c r="Q17" s="97" t="s">
        <v>56</v>
      </c>
      <c r="R17" s="67" t="s">
        <v>81</v>
      </c>
    </row>
    <row r="18" spans="1:18" ht="129" customHeight="1" x14ac:dyDescent="0.3">
      <c r="A18" s="622"/>
      <c r="B18" s="591"/>
      <c r="C18" s="593"/>
      <c r="D18" s="591"/>
      <c r="E18" s="664"/>
      <c r="F18" s="665"/>
      <c r="G18" s="26" t="s">
        <v>118</v>
      </c>
      <c r="H18" s="118" t="s">
        <v>153</v>
      </c>
      <c r="I18" s="26" t="s">
        <v>119</v>
      </c>
      <c r="J18" s="119" t="s">
        <v>120</v>
      </c>
      <c r="K18" s="54" t="s">
        <v>152</v>
      </c>
      <c r="L18" s="121">
        <v>0</v>
      </c>
      <c r="M18" s="62" t="s">
        <v>47</v>
      </c>
      <c r="N18" s="37">
        <v>14</v>
      </c>
      <c r="O18" s="74">
        <v>70</v>
      </c>
      <c r="P18" s="73" t="s">
        <v>121</v>
      </c>
      <c r="Q18" s="100" t="s">
        <v>57</v>
      </c>
      <c r="R18" s="103" t="s">
        <v>82</v>
      </c>
    </row>
    <row r="19" spans="1:18" ht="60" customHeight="1" x14ac:dyDescent="0.3">
      <c r="A19" s="622"/>
      <c r="B19" s="591">
        <v>6478246.5</v>
      </c>
      <c r="C19" s="621" t="s">
        <v>193</v>
      </c>
      <c r="D19" s="591">
        <f>(B19*0.3)/0.7</f>
        <v>2776391.3571428573</v>
      </c>
      <c r="E19" s="664">
        <f>D19+B19</f>
        <v>9254637.8571428582</v>
      </c>
      <c r="F19" s="669">
        <f>E19</f>
        <v>9254637.8571428582</v>
      </c>
      <c r="G19" s="54" t="s">
        <v>23</v>
      </c>
      <c r="H19" s="34" t="s">
        <v>151</v>
      </c>
      <c r="I19" s="82" t="s">
        <v>160</v>
      </c>
      <c r="J19" s="119" t="s">
        <v>144</v>
      </c>
      <c r="K19" s="26" t="s">
        <v>150</v>
      </c>
      <c r="L19" s="48">
        <v>12900</v>
      </c>
      <c r="M19" s="26">
        <v>2019</v>
      </c>
      <c r="N19" s="36" t="s">
        <v>37</v>
      </c>
      <c r="O19" s="49">
        <v>10320</v>
      </c>
      <c r="P19" s="73" t="s">
        <v>121</v>
      </c>
      <c r="Q19" s="100" t="s">
        <v>50</v>
      </c>
      <c r="R19" s="67" t="s">
        <v>80</v>
      </c>
    </row>
    <row r="20" spans="1:18" ht="102.75" customHeight="1" x14ac:dyDescent="0.3">
      <c r="A20" s="622"/>
      <c r="B20" s="591"/>
      <c r="C20" s="593"/>
      <c r="D20" s="591"/>
      <c r="E20" s="664"/>
      <c r="F20" s="665"/>
      <c r="G20" s="26" t="s">
        <v>118</v>
      </c>
      <c r="H20" s="118" t="s">
        <v>153</v>
      </c>
      <c r="I20" s="82" t="s">
        <v>160</v>
      </c>
      <c r="J20" s="119" t="s">
        <v>144</v>
      </c>
      <c r="K20" s="54" t="s">
        <v>152</v>
      </c>
      <c r="L20" s="48">
        <v>0</v>
      </c>
      <c r="M20" s="54" t="s">
        <v>47</v>
      </c>
      <c r="N20" s="36">
        <v>25</v>
      </c>
      <c r="O20" s="49">
        <v>129</v>
      </c>
      <c r="P20" s="73" t="s">
        <v>121</v>
      </c>
      <c r="Q20" s="100" t="s">
        <v>71</v>
      </c>
      <c r="R20" s="103" t="s">
        <v>83</v>
      </c>
    </row>
    <row r="21" spans="1:18" ht="59.25" customHeight="1" x14ac:dyDescent="0.3">
      <c r="A21" s="622"/>
      <c r="B21" s="591">
        <v>5235423</v>
      </c>
      <c r="C21" s="593" t="s">
        <v>192</v>
      </c>
      <c r="D21" s="591">
        <f>B21</f>
        <v>5235423</v>
      </c>
      <c r="E21" s="664">
        <f>D21+B21</f>
        <v>10470846</v>
      </c>
      <c r="F21" s="669">
        <f>E21</f>
        <v>10470846</v>
      </c>
      <c r="G21" s="54" t="s">
        <v>23</v>
      </c>
      <c r="H21" s="34" t="s">
        <v>151</v>
      </c>
      <c r="I21" s="26" t="s">
        <v>119</v>
      </c>
      <c r="J21" s="119" t="s">
        <v>120</v>
      </c>
      <c r="K21" s="56" t="s">
        <v>150</v>
      </c>
      <c r="L21" s="160">
        <v>26000</v>
      </c>
      <c r="M21" s="26">
        <v>2019</v>
      </c>
      <c r="N21" s="36" t="s">
        <v>37</v>
      </c>
      <c r="O21" s="49">
        <v>20800</v>
      </c>
      <c r="P21" s="73" t="s">
        <v>121</v>
      </c>
      <c r="Q21" s="105" t="s">
        <v>58</v>
      </c>
      <c r="R21" s="67" t="s">
        <v>89</v>
      </c>
    </row>
    <row r="22" spans="1:18" ht="93.75" customHeight="1" x14ac:dyDescent="0.3">
      <c r="A22" s="622"/>
      <c r="B22" s="591"/>
      <c r="C22" s="593"/>
      <c r="D22" s="591"/>
      <c r="E22" s="664"/>
      <c r="F22" s="665"/>
      <c r="G22" s="26" t="s">
        <v>118</v>
      </c>
      <c r="H22" s="118" t="s">
        <v>153</v>
      </c>
      <c r="I22" s="26" t="s">
        <v>119</v>
      </c>
      <c r="J22" s="119" t="s">
        <v>120</v>
      </c>
      <c r="K22" s="54" t="s">
        <v>152</v>
      </c>
      <c r="L22" s="48">
        <v>0</v>
      </c>
      <c r="M22" s="54" t="s">
        <v>47</v>
      </c>
      <c r="N22" s="36">
        <v>5</v>
      </c>
      <c r="O22" s="49">
        <v>26</v>
      </c>
      <c r="P22" s="73" t="s">
        <v>121</v>
      </c>
      <c r="Q22" s="67" t="s">
        <v>59</v>
      </c>
      <c r="R22" s="67" t="s">
        <v>84</v>
      </c>
    </row>
    <row r="23" spans="1:18" ht="69.75" customHeight="1" x14ac:dyDescent="0.3">
      <c r="A23" s="622"/>
      <c r="B23" s="591">
        <v>9722928.4000000004</v>
      </c>
      <c r="C23" s="593" t="s">
        <v>192</v>
      </c>
      <c r="D23" s="591">
        <f>B23</f>
        <v>9722928.4000000004</v>
      </c>
      <c r="E23" s="664">
        <f>D23+B23</f>
        <v>19445856.800000001</v>
      </c>
      <c r="F23" s="669">
        <f>E23</f>
        <v>19445856.800000001</v>
      </c>
      <c r="G23" s="54" t="s">
        <v>23</v>
      </c>
      <c r="H23" s="68" t="s">
        <v>151</v>
      </c>
      <c r="I23" s="64" t="s">
        <v>160</v>
      </c>
      <c r="J23" s="119" t="s">
        <v>144</v>
      </c>
      <c r="K23" s="41" t="s">
        <v>150</v>
      </c>
      <c r="L23" s="48">
        <v>48000</v>
      </c>
      <c r="M23" s="26">
        <v>2019</v>
      </c>
      <c r="N23" s="36" t="s">
        <v>37</v>
      </c>
      <c r="O23" s="49">
        <v>38400</v>
      </c>
      <c r="P23" s="73" t="s">
        <v>121</v>
      </c>
      <c r="Q23" s="67" t="s">
        <v>69</v>
      </c>
      <c r="R23" s="67" t="s">
        <v>68</v>
      </c>
    </row>
    <row r="24" spans="1:18" ht="107.25" customHeight="1" x14ac:dyDescent="0.3">
      <c r="A24" s="599"/>
      <c r="B24" s="594"/>
      <c r="C24" s="593"/>
      <c r="D24" s="594"/>
      <c r="E24" s="584"/>
      <c r="F24" s="670"/>
      <c r="G24" s="26" t="s">
        <v>118</v>
      </c>
      <c r="H24" s="118" t="s">
        <v>153</v>
      </c>
      <c r="I24" s="64" t="s">
        <v>160</v>
      </c>
      <c r="J24" s="119" t="s">
        <v>144</v>
      </c>
      <c r="K24" s="54" t="s">
        <v>152</v>
      </c>
      <c r="L24" s="48">
        <v>0</v>
      </c>
      <c r="M24" s="54" t="s">
        <v>47</v>
      </c>
      <c r="N24" s="36">
        <v>9</v>
      </c>
      <c r="O24" s="49">
        <v>48</v>
      </c>
      <c r="P24" s="73" t="s">
        <v>121</v>
      </c>
      <c r="Q24" s="67" t="s">
        <v>60</v>
      </c>
      <c r="R24" s="94" t="s">
        <v>88</v>
      </c>
    </row>
    <row r="25" spans="1:18" ht="246" customHeight="1" x14ac:dyDescent="0.3">
      <c r="A25" s="622" t="s">
        <v>223</v>
      </c>
      <c r="B25" s="591">
        <v>13456616.1</v>
      </c>
      <c r="C25" s="593" t="s">
        <v>191</v>
      </c>
      <c r="D25" s="591">
        <f>B25</f>
        <v>13456616.1</v>
      </c>
      <c r="E25" s="591">
        <f>B25+D25</f>
        <v>26913232.199999999</v>
      </c>
      <c r="F25" s="591">
        <f>E25</f>
        <v>26913232.199999999</v>
      </c>
      <c r="G25" s="39" t="s">
        <v>23</v>
      </c>
      <c r="H25" s="69" t="s">
        <v>151</v>
      </c>
      <c r="I25" s="41" t="s">
        <v>119</v>
      </c>
      <c r="J25" s="41" t="s">
        <v>120</v>
      </c>
      <c r="K25" s="41" t="s">
        <v>150</v>
      </c>
      <c r="L25" s="121">
        <v>1591050</v>
      </c>
      <c r="M25" s="107">
        <v>2019</v>
      </c>
      <c r="N25" s="37" t="s">
        <v>37</v>
      </c>
      <c r="O25" s="74">
        <v>1572300</v>
      </c>
      <c r="P25" s="73" t="s">
        <v>121</v>
      </c>
      <c r="Q25" s="94" t="s">
        <v>67</v>
      </c>
      <c r="R25" s="67" t="s">
        <v>91</v>
      </c>
    </row>
    <row r="26" spans="1:18" ht="65.25" customHeight="1" x14ac:dyDescent="0.3">
      <c r="A26" s="622"/>
      <c r="B26" s="591"/>
      <c r="C26" s="593"/>
      <c r="D26" s="591"/>
      <c r="E26" s="591"/>
      <c r="F26" s="591"/>
      <c r="G26" s="39" t="s">
        <v>27</v>
      </c>
      <c r="H26" s="69" t="s">
        <v>149</v>
      </c>
      <c r="I26" s="41" t="s">
        <v>119</v>
      </c>
      <c r="J26" s="41" t="s">
        <v>120</v>
      </c>
      <c r="K26" s="33" t="s">
        <v>32</v>
      </c>
      <c r="L26" s="120">
        <v>0</v>
      </c>
      <c r="M26" s="62" t="s">
        <v>47</v>
      </c>
      <c r="N26" s="37">
        <v>9</v>
      </c>
      <c r="O26" s="74">
        <v>30</v>
      </c>
      <c r="P26" s="73" t="s">
        <v>121</v>
      </c>
      <c r="Q26" s="101" t="s">
        <v>66</v>
      </c>
      <c r="R26" s="102" t="s">
        <v>90</v>
      </c>
    </row>
    <row r="27" spans="1:18" ht="154.5" customHeight="1" x14ac:dyDescent="0.3">
      <c r="A27" s="622"/>
      <c r="B27" s="591"/>
      <c r="C27" s="593"/>
      <c r="D27" s="591"/>
      <c r="E27" s="591"/>
      <c r="F27" s="591"/>
      <c r="G27" s="26" t="s">
        <v>118</v>
      </c>
      <c r="H27" s="159" t="s">
        <v>200</v>
      </c>
      <c r="I27" s="152" t="s">
        <v>119</v>
      </c>
      <c r="J27" s="152" t="s">
        <v>120</v>
      </c>
      <c r="K27" s="153" t="s">
        <v>34</v>
      </c>
      <c r="L27" s="154">
        <v>0</v>
      </c>
      <c r="M27" s="76" t="s">
        <v>47</v>
      </c>
      <c r="N27" s="154">
        <v>21525</v>
      </c>
      <c r="O27" s="154">
        <v>71750</v>
      </c>
      <c r="P27" s="155" t="s">
        <v>121</v>
      </c>
      <c r="Q27" s="156" t="s">
        <v>45</v>
      </c>
      <c r="R27" s="67" t="s">
        <v>86</v>
      </c>
    </row>
    <row r="28" spans="1:18" ht="243" customHeight="1" x14ac:dyDescent="0.3">
      <c r="A28" s="622"/>
      <c r="B28" s="591">
        <v>13456617.1</v>
      </c>
      <c r="C28" s="593" t="s">
        <v>191</v>
      </c>
      <c r="D28" s="591">
        <f>B28</f>
        <v>13456617.1</v>
      </c>
      <c r="E28" s="591">
        <f>B28+D28</f>
        <v>26913234.199999999</v>
      </c>
      <c r="F28" s="664">
        <f>E28</f>
        <v>26913234.199999999</v>
      </c>
      <c r="G28" s="39" t="s">
        <v>23</v>
      </c>
      <c r="H28" s="69" t="s">
        <v>151</v>
      </c>
      <c r="I28" s="41" t="s">
        <v>160</v>
      </c>
      <c r="J28" s="23" t="s">
        <v>144</v>
      </c>
      <c r="K28" s="41" t="s">
        <v>150</v>
      </c>
      <c r="L28" s="121">
        <v>1591050</v>
      </c>
      <c r="M28" s="107">
        <v>2019</v>
      </c>
      <c r="N28" s="37" t="s">
        <v>37</v>
      </c>
      <c r="O28" s="74">
        <v>1572300</v>
      </c>
      <c r="P28" s="24" t="s">
        <v>121</v>
      </c>
      <c r="Q28" s="94" t="s">
        <v>87</v>
      </c>
      <c r="R28" s="67" t="s">
        <v>92</v>
      </c>
    </row>
    <row r="29" spans="1:18" ht="92.25" customHeight="1" x14ac:dyDescent="0.3">
      <c r="A29" s="622"/>
      <c r="B29" s="591"/>
      <c r="C29" s="593"/>
      <c r="D29" s="591"/>
      <c r="E29" s="591"/>
      <c r="F29" s="665"/>
      <c r="G29" s="54" t="s">
        <v>27</v>
      </c>
      <c r="H29" s="90" t="s">
        <v>149</v>
      </c>
      <c r="I29" s="26" t="s">
        <v>160</v>
      </c>
      <c r="J29" s="26" t="s">
        <v>144</v>
      </c>
      <c r="K29" s="26" t="s">
        <v>32</v>
      </c>
      <c r="L29" s="48">
        <v>0</v>
      </c>
      <c r="M29" s="54" t="s">
        <v>47</v>
      </c>
      <c r="N29" s="36">
        <v>9</v>
      </c>
      <c r="O29" s="49">
        <v>30</v>
      </c>
      <c r="P29" s="73" t="s">
        <v>121</v>
      </c>
      <c r="Q29" s="95" t="s">
        <v>65</v>
      </c>
      <c r="R29" s="103" t="s">
        <v>63</v>
      </c>
    </row>
    <row r="30" spans="1:18" ht="137.25" customHeight="1" x14ac:dyDescent="0.3">
      <c r="A30" s="622"/>
      <c r="B30" s="591"/>
      <c r="C30" s="593"/>
      <c r="D30" s="591"/>
      <c r="E30" s="591"/>
      <c r="F30" s="665"/>
      <c r="G30" s="26" t="s">
        <v>118</v>
      </c>
      <c r="H30" s="90" t="s">
        <v>200</v>
      </c>
      <c r="I30" s="26" t="s">
        <v>160</v>
      </c>
      <c r="J30" s="54" t="s">
        <v>144</v>
      </c>
      <c r="K30" s="26" t="s">
        <v>190</v>
      </c>
      <c r="L30" s="151">
        <v>0</v>
      </c>
      <c r="M30" s="26" t="s">
        <v>47</v>
      </c>
      <c r="N30" s="151">
        <v>21530</v>
      </c>
      <c r="O30" s="151">
        <v>71768</v>
      </c>
      <c r="P30" s="73" t="s">
        <v>121</v>
      </c>
      <c r="Q30" s="25" t="s">
        <v>64</v>
      </c>
      <c r="R30" s="67" t="s">
        <v>85</v>
      </c>
    </row>
    <row r="31" spans="1:18" ht="75" customHeight="1" x14ac:dyDescent="0.3">
      <c r="A31" s="45"/>
      <c r="C31" s="32"/>
    </row>
    <row r="32" spans="1:18" x14ac:dyDescent="0.3">
      <c r="A32" s="45"/>
      <c r="C32" s="32"/>
    </row>
    <row r="33" spans="1:17" x14ac:dyDescent="0.3">
      <c r="M33" s="38"/>
      <c r="Q33" s="29"/>
    </row>
    <row r="34" spans="1:17" ht="44.25" customHeight="1" x14ac:dyDescent="0.3">
      <c r="A34" s="72" t="s">
        <v>143</v>
      </c>
      <c r="B34" s="40" t="s">
        <v>142</v>
      </c>
      <c r="C34" s="72" t="s">
        <v>116</v>
      </c>
      <c r="D34" s="72" t="s">
        <v>140</v>
      </c>
      <c r="E34" s="72" t="s">
        <v>112</v>
      </c>
      <c r="F34" s="72" t="s">
        <v>115</v>
      </c>
      <c r="G34" s="72" t="s">
        <v>141</v>
      </c>
      <c r="H34" s="72" t="s">
        <v>124</v>
      </c>
      <c r="I34" s="72" t="s">
        <v>123</v>
      </c>
    </row>
    <row r="35" spans="1:17" ht="36" customHeight="1" x14ac:dyDescent="0.3">
      <c r="A35" s="41" t="s">
        <v>25</v>
      </c>
      <c r="B35" s="69" t="s">
        <v>145</v>
      </c>
      <c r="C35" s="39" t="s">
        <v>146</v>
      </c>
      <c r="D35" s="51">
        <v>0</v>
      </c>
      <c r="E35" s="26" t="s">
        <v>199</v>
      </c>
      <c r="F35" s="39" t="s">
        <v>120</v>
      </c>
      <c r="G35" s="39"/>
      <c r="H35" s="52">
        <f>SUM(N5)</f>
        <v>4620</v>
      </c>
      <c r="I35" s="52">
        <f>SUM(O5)</f>
        <v>15400</v>
      </c>
    </row>
    <row r="36" spans="1:17" ht="36.75" customHeight="1" x14ac:dyDescent="0.3">
      <c r="A36" s="41" t="s">
        <v>25</v>
      </c>
      <c r="B36" s="69" t="s">
        <v>145</v>
      </c>
      <c r="C36" s="39" t="s">
        <v>146</v>
      </c>
      <c r="D36" s="51">
        <v>0</v>
      </c>
      <c r="E36" s="41" t="s">
        <v>17</v>
      </c>
      <c r="F36" s="39" t="s">
        <v>144</v>
      </c>
      <c r="G36" s="39"/>
      <c r="H36" s="52">
        <f>N7</f>
        <v>8580</v>
      </c>
      <c r="I36" s="52">
        <f>O7</f>
        <v>28600</v>
      </c>
    </row>
    <row r="37" spans="1:17" ht="41.25" customHeight="1" x14ac:dyDescent="0.3">
      <c r="A37" s="41" t="s">
        <v>40</v>
      </c>
      <c r="B37" s="68" t="s">
        <v>147</v>
      </c>
      <c r="C37" s="39" t="s">
        <v>35</v>
      </c>
      <c r="D37" s="51">
        <v>0</v>
      </c>
      <c r="E37" s="26" t="s">
        <v>199</v>
      </c>
      <c r="F37" s="39" t="s">
        <v>120</v>
      </c>
      <c r="G37" s="39"/>
      <c r="H37" s="52">
        <f>SUM(N10)</f>
        <v>10200</v>
      </c>
      <c r="I37" s="52">
        <f>SUM(O10)</f>
        <v>102000</v>
      </c>
    </row>
    <row r="38" spans="1:17" ht="41.25" customHeight="1" x14ac:dyDescent="0.3">
      <c r="A38" s="41" t="s">
        <v>40</v>
      </c>
      <c r="B38" s="68" t="s">
        <v>147</v>
      </c>
      <c r="C38" s="39" t="s">
        <v>35</v>
      </c>
      <c r="D38" s="51">
        <v>0</v>
      </c>
      <c r="E38" s="82" t="s">
        <v>160</v>
      </c>
      <c r="F38" s="39" t="s">
        <v>144</v>
      </c>
      <c r="G38" s="39"/>
      <c r="H38" s="52">
        <f>SUM(N14)</f>
        <v>15500</v>
      </c>
      <c r="I38" s="52">
        <f>SUM(O14)</f>
        <v>155000</v>
      </c>
    </row>
    <row r="39" spans="1:17" ht="45.75" customHeight="1" x14ac:dyDescent="0.3">
      <c r="A39" s="41" t="s">
        <v>27</v>
      </c>
      <c r="B39" s="68" t="s">
        <v>149</v>
      </c>
      <c r="C39" s="41" t="s">
        <v>32</v>
      </c>
      <c r="D39" s="51">
        <v>0</v>
      </c>
      <c r="E39" s="26" t="s">
        <v>199</v>
      </c>
      <c r="F39" s="39" t="s">
        <v>120</v>
      </c>
      <c r="G39" s="39"/>
      <c r="H39" s="36">
        <f>SUM(N26)</f>
        <v>9</v>
      </c>
      <c r="I39" s="36">
        <f>SUM(O26)</f>
        <v>30</v>
      </c>
    </row>
    <row r="40" spans="1:17" ht="49.5" customHeight="1" x14ac:dyDescent="0.3">
      <c r="A40" s="41" t="s">
        <v>27</v>
      </c>
      <c r="B40" s="68" t="s">
        <v>149</v>
      </c>
      <c r="C40" s="41" t="s">
        <v>32</v>
      </c>
      <c r="D40" s="51">
        <v>0</v>
      </c>
      <c r="E40" s="82" t="s">
        <v>160</v>
      </c>
      <c r="F40" s="39" t="s">
        <v>144</v>
      </c>
      <c r="G40" s="39"/>
      <c r="H40" s="36">
        <f>SUM(N29)</f>
        <v>9</v>
      </c>
      <c r="I40" s="36">
        <f>SUM(O29)</f>
        <v>30</v>
      </c>
    </row>
    <row r="41" spans="1:17" ht="62.25" customHeight="1" x14ac:dyDescent="0.3">
      <c r="A41" s="41" t="s">
        <v>23</v>
      </c>
      <c r="B41" s="68" t="s">
        <v>151</v>
      </c>
      <c r="C41" s="41" t="s">
        <v>150</v>
      </c>
      <c r="D41" s="48">
        <f>SUM(L6+L11+L17+L21+L25)</f>
        <v>2667202</v>
      </c>
      <c r="E41" s="26" t="s">
        <v>199</v>
      </c>
      <c r="F41" s="39" t="s">
        <v>120</v>
      </c>
      <c r="G41" s="39">
        <v>2019</v>
      </c>
      <c r="H41" s="36" t="s">
        <v>47</v>
      </c>
      <c r="I41" s="49">
        <f>SUM(O6+O11+O17+O21+O25)</f>
        <v>1936268</v>
      </c>
    </row>
    <row r="42" spans="1:17" ht="81.75" customHeight="1" x14ac:dyDescent="0.3">
      <c r="A42" s="41" t="s">
        <v>23</v>
      </c>
      <c r="B42" s="68" t="s">
        <v>151</v>
      </c>
      <c r="C42" s="41" t="s">
        <v>150</v>
      </c>
      <c r="D42" s="48">
        <f>SUM(L9+L15+L19+L23+L28)</f>
        <v>3581658</v>
      </c>
      <c r="E42" s="82" t="s">
        <v>160</v>
      </c>
      <c r="F42" s="39" t="s">
        <v>144</v>
      </c>
      <c r="G42" s="39">
        <v>2019</v>
      </c>
      <c r="H42" s="36" t="s">
        <v>47</v>
      </c>
      <c r="I42" s="49">
        <f>SUM(O9+O15+O19+O23+O28)</f>
        <v>2242630</v>
      </c>
    </row>
    <row r="43" spans="1:17" ht="45.9" customHeight="1" x14ac:dyDescent="0.3">
      <c r="A43" s="41" t="s">
        <v>36</v>
      </c>
      <c r="B43" s="161" t="s">
        <v>154</v>
      </c>
      <c r="C43" s="47" t="s">
        <v>198</v>
      </c>
      <c r="D43" s="48">
        <f>SUM(L13)</f>
        <v>2244</v>
      </c>
      <c r="E43" s="26" t="s">
        <v>199</v>
      </c>
      <c r="F43" s="39" t="s">
        <v>120</v>
      </c>
      <c r="G43" s="39">
        <v>2019</v>
      </c>
      <c r="H43" s="36" t="s">
        <v>47</v>
      </c>
      <c r="I43" s="36">
        <f>SUM(O13)</f>
        <v>1571</v>
      </c>
      <c r="J43" s="166">
        <f>SUM(D43-I43)</f>
        <v>673</v>
      </c>
    </row>
    <row r="44" spans="1:17" ht="58.5" customHeight="1" x14ac:dyDescent="0.3">
      <c r="A44" s="41" t="s">
        <v>36</v>
      </c>
      <c r="B44" s="161" t="s">
        <v>154</v>
      </c>
      <c r="C44" s="47" t="s">
        <v>198</v>
      </c>
      <c r="D44" s="48">
        <f>SUM(L16)</f>
        <v>3410</v>
      </c>
      <c r="E44" s="82" t="s">
        <v>160</v>
      </c>
      <c r="F44" s="39" t="s">
        <v>144</v>
      </c>
      <c r="G44" s="39">
        <v>2019</v>
      </c>
      <c r="H44" s="36" t="s">
        <v>47</v>
      </c>
      <c r="I44" s="36">
        <f>SUM(O16)</f>
        <v>2387</v>
      </c>
      <c r="J44" s="166">
        <f>SUM(D44-I44)</f>
        <v>1023</v>
      </c>
    </row>
    <row r="45" spans="1:17" ht="56.25" customHeight="1" x14ac:dyDescent="0.3">
      <c r="A45" s="26" t="s">
        <v>118</v>
      </c>
      <c r="B45" s="162" t="s">
        <v>200</v>
      </c>
      <c r="C45" s="26" t="s">
        <v>190</v>
      </c>
      <c r="D45" s="48">
        <v>0</v>
      </c>
      <c r="E45" s="26" t="s">
        <v>199</v>
      </c>
      <c r="F45" s="26" t="s">
        <v>120</v>
      </c>
      <c r="G45" s="54"/>
      <c r="H45" s="36">
        <f>SUM(N27)</f>
        <v>21525</v>
      </c>
      <c r="I45" s="36">
        <f>SUM(O27)</f>
        <v>71750</v>
      </c>
    </row>
    <row r="46" spans="1:17" ht="57.75" customHeight="1" x14ac:dyDescent="0.3">
      <c r="A46" s="26" t="s">
        <v>118</v>
      </c>
      <c r="B46" s="159" t="s">
        <v>200</v>
      </c>
      <c r="C46" s="26" t="s">
        <v>190</v>
      </c>
      <c r="D46" s="48">
        <v>0</v>
      </c>
      <c r="E46" s="82" t="s">
        <v>160</v>
      </c>
      <c r="F46" s="26" t="s">
        <v>144</v>
      </c>
      <c r="G46" s="54"/>
      <c r="H46" s="36">
        <f>SUM(N30)</f>
        <v>21530</v>
      </c>
      <c r="I46" s="36">
        <f>SUM(O30)</f>
        <v>71768</v>
      </c>
    </row>
    <row r="47" spans="1:17" ht="50.25" customHeight="1" x14ac:dyDescent="0.3">
      <c r="A47" s="26" t="s">
        <v>118</v>
      </c>
      <c r="B47" s="118" t="s">
        <v>153</v>
      </c>
      <c r="C47" s="26" t="s">
        <v>189</v>
      </c>
      <c r="D47" s="48">
        <v>0</v>
      </c>
      <c r="E47" s="26" t="s">
        <v>199</v>
      </c>
      <c r="F47" s="26" t="s">
        <v>120</v>
      </c>
      <c r="G47" s="54"/>
      <c r="H47" s="55">
        <f>SUM(N18+N22)</f>
        <v>19</v>
      </c>
      <c r="I47" s="55">
        <f>SUM(O18+O22)</f>
        <v>96</v>
      </c>
    </row>
    <row r="48" spans="1:17" ht="36" customHeight="1" x14ac:dyDescent="0.3">
      <c r="A48" s="26" t="s">
        <v>118</v>
      </c>
      <c r="B48" s="118" t="s">
        <v>153</v>
      </c>
      <c r="C48" s="26" t="s">
        <v>189</v>
      </c>
      <c r="D48" s="48">
        <v>0</v>
      </c>
      <c r="E48" s="82" t="s">
        <v>160</v>
      </c>
      <c r="F48" s="26" t="s">
        <v>144</v>
      </c>
      <c r="G48" s="54"/>
      <c r="H48" s="55">
        <f>SUM(N20+N24)</f>
        <v>34</v>
      </c>
      <c r="I48" s="55">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2"/>
  <sheetViews>
    <sheetView topLeftCell="A40" zoomScale="80" zoomScaleNormal="80" workbookViewId="0">
      <selection activeCell="O32" sqref="O32"/>
    </sheetView>
  </sheetViews>
  <sheetFormatPr defaultRowHeight="14.4" x14ac:dyDescent="0.3"/>
  <cols>
    <col min="1" max="1" width="17.88671875" customWidth="1"/>
    <col min="2" max="2" width="14.88671875" style="11" customWidth="1"/>
    <col min="3" max="3" width="13.5546875" customWidth="1"/>
    <col min="4" max="4" width="16.88671875" customWidth="1"/>
    <col min="5" max="5" width="16" customWidth="1"/>
    <col min="6" max="6" width="16.44140625" customWidth="1"/>
    <col min="7" max="7" width="8.88671875" customWidth="1"/>
    <col min="8" max="8" width="11.88671875" customWidth="1"/>
    <col min="9" max="9" width="9.5546875" customWidth="1"/>
    <col min="10" max="10" width="12.44140625" customWidth="1"/>
    <col min="11" max="11" width="15.5546875" bestFit="1" customWidth="1"/>
    <col min="12" max="12" width="10.44140625" customWidth="1"/>
    <col min="13" max="13" width="17.5546875" customWidth="1"/>
    <col min="14" max="14" width="10.44140625" style="16" customWidth="1"/>
    <col min="15" max="15" width="11.5546875" style="16" customWidth="1"/>
    <col min="16" max="16" width="12.109375" customWidth="1"/>
    <col min="17" max="17" width="71.5546875" style="21" hidden="1" customWidth="1"/>
    <col min="18" max="18" width="79.5546875" style="21" customWidth="1"/>
  </cols>
  <sheetData>
    <row r="1" spans="1:18" ht="18" x14ac:dyDescent="0.35">
      <c r="A1" s="671" t="s">
        <v>30</v>
      </c>
      <c r="B1" s="671"/>
      <c r="C1" s="671"/>
      <c r="D1" s="671"/>
      <c r="E1" s="671"/>
    </row>
    <row r="2" spans="1:18" ht="15" thickBot="1" x14ac:dyDescent="0.35"/>
    <row r="3" spans="1:18" ht="15" customHeight="1" x14ac:dyDescent="0.3">
      <c r="A3" s="567" t="s">
        <v>136</v>
      </c>
      <c r="B3" s="672" t="s">
        <v>137</v>
      </c>
      <c r="C3" s="571" t="s">
        <v>2</v>
      </c>
      <c r="D3" s="572"/>
      <c r="E3" s="572"/>
      <c r="F3" s="571" t="s">
        <v>18</v>
      </c>
      <c r="G3" s="580" t="s">
        <v>111</v>
      </c>
      <c r="H3" s="580"/>
      <c r="I3" s="687" t="s">
        <v>127</v>
      </c>
      <c r="J3" s="698" t="s">
        <v>115</v>
      </c>
      <c r="K3" s="687" t="s">
        <v>116</v>
      </c>
      <c r="L3" s="572" t="s">
        <v>5</v>
      </c>
      <c r="M3" s="700"/>
      <c r="N3" s="687" t="s">
        <v>124</v>
      </c>
      <c r="O3" s="687" t="s">
        <v>123</v>
      </c>
      <c r="P3" s="687" t="s">
        <v>122</v>
      </c>
      <c r="Q3" s="688" t="s">
        <v>9</v>
      </c>
      <c r="R3" s="690" t="s">
        <v>61</v>
      </c>
    </row>
    <row r="4" spans="1:18" ht="63.75" customHeight="1" thickBot="1" x14ac:dyDescent="0.35">
      <c r="A4" s="568"/>
      <c r="B4" s="673"/>
      <c r="C4" s="13" t="s">
        <v>10</v>
      </c>
      <c r="D4" s="14" t="s">
        <v>11</v>
      </c>
      <c r="E4" s="59" t="s">
        <v>43</v>
      </c>
      <c r="F4" s="573"/>
      <c r="G4" s="75" t="s">
        <v>113</v>
      </c>
      <c r="H4" s="12" t="s">
        <v>114</v>
      </c>
      <c r="I4" s="534"/>
      <c r="J4" s="699"/>
      <c r="K4" s="534"/>
      <c r="L4" s="12" t="s">
        <v>126</v>
      </c>
      <c r="M4" s="12" t="s">
        <v>125</v>
      </c>
      <c r="N4" s="534"/>
      <c r="O4" s="534"/>
      <c r="P4" s="534"/>
      <c r="Q4" s="689"/>
      <c r="R4" s="690"/>
    </row>
    <row r="5" spans="1:18" ht="197.25" customHeight="1" x14ac:dyDescent="0.3">
      <c r="A5" s="691" t="s">
        <v>159</v>
      </c>
      <c r="B5" s="693">
        <v>1045010.2</v>
      </c>
      <c r="C5" s="694" t="s">
        <v>132</v>
      </c>
      <c r="D5" s="693">
        <f>(B5-(B5*0.0411))*0.78/0.22</f>
        <v>3552759.1773109087</v>
      </c>
      <c r="E5" s="685">
        <f>B5+D5</f>
        <v>4597769.3773109084</v>
      </c>
      <c r="F5" s="685">
        <f>E5</f>
        <v>4597769.3773109084</v>
      </c>
      <c r="G5" s="26" t="s">
        <v>118</v>
      </c>
      <c r="H5" s="106" t="s">
        <v>128</v>
      </c>
      <c r="I5" s="63" t="s">
        <v>119</v>
      </c>
      <c r="J5" s="106" t="s">
        <v>120</v>
      </c>
      <c r="K5" s="65" t="s">
        <v>29</v>
      </c>
      <c r="L5" s="62">
        <v>0</v>
      </c>
      <c r="M5" s="62" t="s">
        <v>47</v>
      </c>
      <c r="N5" s="23">
        <v>1.26</v>
      </c>
      <c r="O5" s="23">
        <v>4.2</v>
      </c>
      <c r="P5" s="24" t="s">
        <v>121</v>
      </c>
      <c r="Q5" s="88" t="s">
        <v>201</v>
      </c>
      <c r="R5" s="67" t="s">
        <v>208</v>
      </c>
    </row>
    <row r="6" spans="1:18" ht="134.25" customHeight="1" x14ac:dyDescent="0.3">
      <c r="A6" s="674"/>
      <c r="B6" s="693"/>
      <c r="C6" s="695"/>
      <c r="D6" s="693"/>
      <c r="E6" s="685"/>
      <c r="F6" s="696"/>
      <c r="G6" s="62" t="s">
        <v>31</v>
      </c>
      <c r="H6" s="63" t="s">
        <v>155</v>
      </c>
      <c r="I6" s="63" t="s">
        <v>119</v>
      </c>
      <c r="J6" s="106" t="s">
        <v>120</v>
      </c>
      <c r="K6" s="61" t="s">
        <v>138</v>
      </c>
      <c r="L6" s="62">
        <v>0</v>
      </c>
      <c r="M6" s="62" t="s">
        <v>47</v>
      </c>
      <c r="N6" s="23">
        <v>0.48</v>
      </c>
      <c r="O6" s="23">
        <v>1.6</v>
      </c>
      <c r="P6" s="24" t="s">
        <v>121</v>
      </c>
      <c r="Q6" s="88" t="s">
        <v>202</v>
      </c>
      <c r="R6" s="67" t="s">
        <v>117</v>
      </c>
    </row>
    <row r="7" spans="1:18" ht="82.5" customHeight="1" x14ac:dyDescent="0.3">
      <c r="A7" s="674"/>
      <c r="B7" s="693"/>
      <c r="C7" s="695"/>
      <c r="D7" s="693"/>
      <c r="E7" s="685"/>
      <c r="F7" s="696"/>
      <c r="G7" s="23" t="s">
        <v>38</v>
      </c>
      <c r="H7" s="63" t="s">
        <v>154</v>
      </c>
      <c r="I7" s="63" t="s">
        <v>119</v>
      </c>
      <c r="J7" s="106" t="s">
        <v>120</v>
      </c>
      <c r="K7" s="23" t="s">
        <v>131</v>
      </c>
      <c r="L7" s="77">
        <v>860</v>
      </c>
      <c r="M7" s="26">
        <v>2019</v>
      </c>
      <c r="N7" s="23" t="s">
        <v>37</v>
      </c>
      <c r="O7" s="23">
        <v>0</v>
      </c>
      <c r="P7" s="24" t="s">
        <v>121</v>
      </c>
      <c r="Q7" s="67" t="s">
        <v>203</v>
      </c>
      <c r="R7" s="67" t="s">
        <v>204</v>
      </c>
    </row>
    <row r="8" spans="1:18" ht="265.5" customHeight="1" x14ac:dyDescent="0.3">
      <c r="A8" s="674"/>
      <c r="B8" s="697">
        <v>103456013.59999999</v>
      </c>
      <c r="C8" s="708" t="s">
        <v>133</v>
      </c>
      <c r="D8" s="677">
        <f>(B8-(B8*0.0411))*0.78/0.22</f>
        <v>351723171.47277814</v>
      </c>
      <c r="E8" s="681">
        <f>B8+D8</f>
        <v>455179185.07277811</v>
      </c>
      <c r="F8" s="681">
        <f>E8</f>
        <v>455179185.07277811</v>
      </c>
      <c r="G8" s="23" t="s">
        <v>118</v>
      </c>
      <c r="H8" s="106" t="s">
        <v>128</v>
      </c>
      <c r="I8" s="63" t="s">
        <v>119</v>
      </c>
      <c r="J8" s="106" t="s">
        <v>120</v>
      </c>
      <c r="K8" s="61" t="s">
        <v>29</v>
      </c>
      <c r="L8" s="62">
        <v>0</v>
      </c>
      <c r="M8" s="62" t="s">
        <v>47</v>
      </c>
      <c r="N8" s="62">
        <v>41.5</v>
      </c>
      <c r="O8" s="23">
        <v>138</v>
      </c>
      <c r="P8" s="24" t="s">
        <v>121</v>
      </c>
      <c r="Q8" s="67" t="s">
        <v>214</v>
      </c>
      <c r="R8" s="67" t="s">
        <v>215</v>
      </c>
    </row>
    <row r="9" spans="1:18" ht="181.5" customHeight="1" x14ac:dyDescent="0.3">
      <c r="A9" s="674"/>
      <c r="B9" s="693"/>
      <c r="C9" s="696"/>
      <c r="D9" s="677"/>
      <c r="E9" s="681"/>
      <c r="F9" s="679"/>
      <c r="G9" s="60" t="s">
        <v>31</v>
      </c>
      <c r="H9" s="63" t="s">
        <v>155</v>
      </c>
      <c r="I9" s="63" t="s">
        <v>119</v>
      </c>
      <c r="J9" s="64" t="s">
        <v>120</v>
      </c>
      <c r="K9" s="87" t="s">
        <v>138</v>
      </c>
      <c r="L9" s="60">
        <v>0</v>
      </c>
      <c r="M9" s="60" t="s">
        <v>47</v>
      </c>
      <c r="N9" s="23">
        <v>84</v>
      </c>
      <c r="O9" s="23">
        <v>279</v>
      </c>
      <c r="P9" s="24" t="s">
        <v>121</v>
      </c>
      <c r="Q9" s="67" t="s">
        <v>218</v>
      </c>
      <c r="R9" s="67" t="s">
        <v>216</v>
      </c>
    </row>
    <row r="10" spans="1:18" ht="73.5" customHeight="1" x14ac:dyDescent="0.3">
      <c r="A10" s="692"/>
      <c r="B10" s="676"/>
      <c r="C10" s="678"/>
      <c r="D10" s="677"/>
      <c r="E10" s="681"/>
      <c r="F10" s="679"/>
      <c r="G10" s="41" t="s">
        <v>38</v>
      </c>
      <c r="H10" s="64" t="s">
        <v>154</v>
      </c>
      <c r="I10" s="63" t="s">
        <v>119</v>
      </c>
      <c r="J10" s="64" t="s">
        <v>120</v>
      </c>
      <c r="K10" s="47" t="s">
        <v>131</v>
      </c>
      <c r="L10" s="77">
        <v>120120</v>
      </c>
      <c r="M10" s="26">
        <v>2020</v>
      </c>
      <c r="N10" s="23" t="s">
        <v>37</v>
      </c>
      <c r="O10" s="23">
        <v>0</v>
      </c>
      <c r="P10" s="24" t="s">
        <v>121</v>
      </c>
      <c r="Q10" s="67" t="s">
        <v>219</v>
      </c>
      <c r="R10" s="67" t="s">
        <v>220</v>
      </c>
    </row>
    <row r="11" spans="1:18" ht="57.9" customHeight="1" x14ac:dyDescent="0.3">
      <c r="A11" s="674" t="s">
        <v>158</v>
      </c>
      <c r="B11" s="676">
        <v>18564284.100000001</v>
      </c>
      <c r="C11" s="678" t="s">
        <v>134</v>
      </c>
      <c r="D11" s="676">
        <f>(B11-(B11*0.0411))*0.5/0.5</f>
        <v>17801292.023490001</v>
      </c>
      <c r="E11" s="680">
        <f>B11+D11</f>
        <v>36365576.123490006</v>
      </c>
      <c r="F11" s="682">
        <f>E11</f>
        <v>36365576.123490006</v>
      </c>
      <c r="G11" s="588" t="s">
        <v>31</v>
      </c>
      <c r="H11" s="701" t="s">
        <v>155</v>
      </c>
      <c r="I11" s="703" t="s">
        <v>119</v>
      </c>
      <c r="J11" s="701" t="s">
        <v>120</v>
      </c>
      <c r="K11" s="701" t="s">
        <v>130</v>
      </c>
      <c r="L11" s="706">
        <v>0</v>
      </c>
      <c r="M11" s="706" t="s">
        <v>47</v>
      </c>
      <c r="N11" s="706">
        <v>69</v>
      </c>
      <c r="O11" s="706">
        <v>230</v>
      </c>
      <c r="P11" s="709" t="s">
        <v>121</v>
      </c>
      <c r="Q11" s="712" t="s">
        <v>217</v>
      </c>
      <c r="R11" s="659" t="s">
        <v>205</v>
      </c>
    </row>
    <row r="12" spans="1:18" ht="21" customHeight="1" x14ac:dyDescent="0.3">
      <c r="A12" s="674"/>
      <c r="B12" s="677"/>
      <c r="C12" s="679"/>
      <c r="D12" s="677"/>
      <c r="E12" s="681"/>
      <c r="F12" s="683"/>
      <c r="G12" s="588"/>
      <c r="H12" s="702"/>
      <c r="I12" s="704"/>
      <c r="J12" s="702"/>
      <c r="K12" s="702"/>
      <c r="L12" s="706"/>
      <c r="M12" s="706"/>
      <c r="N12" s="706"/>
      <c r="O12" s="706"/>
      <c r="P12" s="710"/>
      <c r="Q12" s="712"/>
      <c r="R12" s="659"/>
    </row>
    <row r="13" spans="1:18" ht="57.75" customHeight="1" x14ac:dyDescent="0.3">
      <c r="A13" s="674"/>
      <c r="B13" s="677"/>
      <c r="C13" s="679"/>
      <c r="D13" s="677"/>
      <c r="E13" s="681"/>
      <c r="F13" s="683"/>
      <c r="G13" s="588"/>
      <c r="H13" s="702"/>
      <c r="I13" s="705"/>
      <c r="J13" s="702"/>
      <c r="K13" s="702"/>
      <c r="L13" s="707"/>
      <c r="M13" s="707"/>
      <c r="N13" s="707"/>
      <c r="O13" s="707"/>
      <c r="P13" s="711"/>
      <c r="Q13" s="713"/>
      <c r="R13" s="659"/>
    </row>
    <row r="14" spans="1:18" ht="133.5" customHeight="1" x14ac:dyDescent="0.3">
      <c r="A14" s="674"/>
      <c r="B14" s="677"/>
      <c r="C14" s="679"/>
      <c r="D14" s="677"/>
      <c r="E14" s="681"/>
      <c r="F14" s="683"/>
      <c r="G14" s="56" t="s">
        <v>38</v>
      </c>
      <c r="H14" s="81" t="s">
        <v>154</v>
      </c>
      <c r="I14" s="81" t="s">
        <v>119</v>
      </c>
      <c r="J14" s="81" t="s">
        <v>120</v>
      </c>
      <c r="K14" s="84" t="s">
        <v>131</v>
      </c>
      <c r="L14" s="77">
        <v>289241</v>
      </c>
      <c r="M14" s="107">
        <v>2019</v>
      </c>
      <c r="N14" s="23" t="s">
        <v>37</v>
      </c>
      <c r="O14" s="23">
        <v>16069</v>
      </c>
      <c r="P14" s="24" t="s">
        <v>121</v>
      </c>
      <c r="Q14" s="67" t="s">
        <v>98</v>
      </c>
      <c r="R14" s="67" t="s">
        <v>100</v>
      </c>
    </row>
    <row r="15" spans="1:18" ht="87" customHeight="1" x14ac:dyDescent="0.3">
      <c r="A15" s="674"/>
      <c r="B15" s="697">
        <v>18564284</v>
      </c>
      <c r="C15" s="708" t="s">
        <v>135</v>
      </c>
      <c r="D15" s="676">
        <f>(B15-(B15*0.0411))*0.5/0.5</f>
        <v>17801291.9276</v>
      </c>
      <c r="E15" s="684">
        <f>B15+D15</f>
        <v>36365575.927599996</v>
      </c>
      <c r="F15" s="682">
        <f>E15</f>
        <v>36365575.927599996</v>
      </c>
      <c r="G15" s="599" t="s">
        <v>38</v>
      </c>
      <c r="H15" s="717" t="s">
        <v>154</v>
      </c>
      <c r="I15" s="717" t="s">
        <v>119</v>
      </c>
      <c r="J15" s="703" t="s">
        <v>120</v>
      </c>
      <c r="K15" s="714" t="s">
        <v>131</v>
      </c>
      <c r="L15" s="714">
        <v>144620</v>
      </c>
      <c r="M15" s="720">
        <v>2019</v>
      </c>
      <c r="N15" s="714" t="s">
        <v>37</v>
      </c>
      <c r="O15" s="714">
        <v>20696</v>
      </c>
      <c r="P15" s="628" t="s">
        <v>121</v>
      </c>
      <c r="Q15" s="716" t="s">
        <v>99</v>
      </c>
      <c r="R15" s="612" t="s">
        <v>101</v>
      </c>
    </row>
    <row r="16" spans="1:18" ht="46.5" customHeight="1" x14ac:dyDescent="0.3">
      <c r="A16" s="674"/>
      <c r="B16" s="693"/>
      <c r="C16" s="696"/>
      <c r="D16" s="677"/>
      <c r="E16" s="685"/>
      <c r="F16" s="683"/>
      <c r="G16" s="600"/>
      <c r="H16" s="719"/>
      <c r="I16" s="719"/>
      <c r="J16" s="705"/>
      <c r="K16" s="707"/>
      <c r="L16" s="707"/>
      <c r="M16" s="721"/>
      <c r="N16" s="707"/>
      <c r="O16" s="707"/>
      <c r="P16" s="715"/>
      <c r="Q16" s="713"/>
      <c r="R16" s="614"/>
    </row>
    <row r="17" spans="1:18" ht="59.1" customHeight="1" x14ac:dyDescent="0.3">
      <c r="A17" s="674"/>
      <c r="B17" s="693"/>
      <c r="C17" s="696"/>
      <c r="D17" s="677"/>
      <c r="E17" s="685"/>
      <c r="F17" s="683"/>
      <c r="G17" s="599" t="s">
        <v>31</v>
      </c>
      <c r="H17" s="717" t="s">
        <v>155</v>
      </c>
      <c r="I17" s="717" t="s">
        <v>119</v>
      </c>
      <c r="J17" s="717" t="s">
        <v>120</v>
      </c>
      <c r="K17" s="717" t="s">
        <v>130</v>
      </c>
      <c r="L17" s="714">
        <v>0</v>
      </c>
      <c r="M17" s="714" t="s">
        <v>47</v>
      </c>
      <c r="N17" s="714">
        <v>16</v>
      </c>
      <c r="O17" s="714">
        <v>55</v>
      </c>
      <c r="P17" s="628" t="s">
        <v>121</v>
      </c>
      <c r="Q17" s="716" t="s">
        <v>206</v>
      </c>
      <c r="R17" s="612" t="s">
        <v>207</v>
      </c>
    </row>
    <row r="18" spans="1:18" ht="74.25" customHeight="1" thickBot="1" x14ac:dyDescent="0.35">
      <c r="A18" s="675"/>
      <c r="B18" s="740"/>
      <c r="C18" s="741"/>
      <c r="D18" s="677"/>
      <c r="E18" s="686"/>
      <c r="F18" s="683"/>
      <c r="G18" s="589"/>
      <c r="H18" s="718"/>
      <c r="I18" s="719"/>
      <c r="J18" s="702"/>
      <c r="K18" s="718"/>
      <c r="L18" s="738"/>
      <c r="M18" s="738"/>
      <c r="N18" s="738"/>
      <c r="O18" s="738"/>
      <c r="P18" s="718"/>
      <c r="Q18" s="739"/>
      <c r="R18" s="614"/>
    </row>
    <row r="19" spans="1:18" ht="66.75" customHeight="1" x14ac:dyDescent="0.3">
      <c r="A19" s="691" t="s">
        <v>157</v>
      </c>
      <c r="B19" s="724">
        <v>18750000</v>
      </c>
      <c r="C19" s="727" t="s">
        <v>133</v>
      </c>
      <c r="D19" s="730">
        <f>B19</f>
        <v>18750000</v>
      </c>
      <c r="E19" s="731">
        <f>B19+D19</f>
        <v>37500000</v>
      </c>
      <c r="F19" s="732">
        <f>E19</f>
        <v>37500000</v>
      </c>
      <c r="G19" s="115" t="s">
        <v>118</v>
      </c>
      <c r="H19" s="106" t="s">
        <v>128</v>
      </c>
      <c r="I19" s="113" t="s">
        <v>160</v>
      </c>
      <c r="J19" s="113" t="s">
        <v>16</v>
      </c>
      <c r="K19" s="114" t="s">
        <v>29</v>
      </c>
      <c r="L19" s="112">
        <v>0</v>
      </c>
      <c r="M19" s="112" t="s">
        <v>47</v>
      </c>
      <c r="N19" s="112">
        <v>392</v>
      </c>
      <c r="O19" s="124">
        <v>1961</v>
      </c>
      <c r="P19" s="89" t="s">
        <v>121</v>
      </c>
      <c r="Q19" s="735" t="s">
        <v>102</v>
      </c>
      <c r="R19" s="660" t="s">
        <v>103</v>
      </c>
    </row>
    <row r="20" spans="1:18" ht="57.75" customHeight="1" x14ac:dyDescent="0.3">
      <c r="A20" s="674"/>
      <c r="B20" s="725"/>
      <c r="C20" s="728"/>
      <c r="D20" s="693"/>
      <c r="E20" s="685"/>
      <c r="F20" s="733"/>
      <c r="G20" s="722" t="s">
        <v>31</v>
      </c>
      <c r="H20" s="703" t="s">
        <v>155</v>
      </c>
      <c r="I20" s="717" t="s">
        <v>160</v>
      </c>
      <c r="J20" s="717" t="s">
        <v>144</v>
      </c>
      <c r="K20" s="61" t="s">
        <v>138</v>
      </c>
      <c r="L20" s="722">
        <v>0</v>
      </c>
      <c r="M20" s="722" t="s">
        <v>47</v>
      </c>
      <c r="N20" s="76">
        <v>0.9</v>
      </c>
      <c r="O20" s="23">
        <v>4.7</v>
      </c>
      <c r="P20" s="628" t="s">
        <v>121</v>
      </c>
      <c r="Q20" s="613"/>
      <c r="R20" s="736"/>
    </row>
    <row r="21" spans="1:18" ht="95.25" customHeight="1" x14ac:dyDescent="0.3">
      <c r="A21" s="674"/>
      <c r="B21" s="725"/>
      <c r="C21" s="728"/>
      <c r="D21" s="693"/>
      <c r="E21" s="685"/>
      <c r="F21" s="733"/>
      <c r="G21" s="723"/>
      <c r="H21" s="705"/>
      <c r="I21" s="719"/>
      <c r="J21" s="719"/>
      <c r="K21" s="61" t="s">
        <v>130</v>
      </c>
      <c r="L21" s="723"/>
      <c r="M21" s="723"/>
      <c r="N21" s="76">
        <v>18</v>
      </c>
      <c r="O21" s="23">
        <v>91.8</v>
      </c>
      <c r="P21" s="715"/>
      <c r="Q21" s="614"/>
      <c r="R21" s="737"/>
    </row>
    <row r="22" spans="1:18" ht="90.75" customHeight="1" thickBot="1" x14ac:dyDescent="0.35">
      <c r="A22" s="674"/>
      <c r="B22" s="726"/>
      <c r="C22" s="729"/>
      <c r="D22" s="676"/>
      <c r="E22" s="680"/>
      <c r="F22" s="734"/>
      <c r="G22" s="62" t="s">
        <v>36</v>
      </c>
      <c r="H22" s="63" t="s">
        <v>154</v>
      </c>
      <c r="I22" s="82" t="s">
        <v>160</v>
      </c>
      <c r="J22" s="64" t="s">
        <v>144</v>
      </c>
      <c r="K22" s="23" t="s">
        <v>131</v>
      </c>
      <c r="L22" s="77">
        <v>7224</v>
      </c>
      <c r="M22" s="123">
        <v>2019</v>
      </c>
      <c r="N22" s="85" t="s">
        <v>37</v>
      </c>
      <c r="O22" s="23">
        <v>0</v>
      </c>
      <c r="P22" s="78" t="s">
        <v>121</v>
      </c>
      <c r="Q22" s="83" t="s">
        <v>95</v>
      </c>
      <c r="R22" s="92" t="s">
        <v>106</v>
      </c>
    </row>
    <row r="23" spans="1:18" ht="58.5" customHeight="1" x14ac:dyDescent="0.3">
      <c r="A23" s="674"/>
      <c r="B23" s="742">
        <v>11250000</v>
      </c>
      <c r="C23" s="743" t="s">
        <v>134</v>
      </c>
      <c r="D23" s="697">
        <f>B23</f>
        <v>11250000</v>
      </c>
      <c r="E23" s="684">
        <f>B23+D23</f>
        <v>22500000</v>
      </c>
      <c r="F23" s="744">
        <f>E23</f>
        <v>22500000</v>
      </c>
      <c r="G23" s="115" t="s">
        <v>118</v>
      </c>
      <c r="H23" s="108" t="s">
        <v>128</v>
      </c>
      <c r="I23" s="82" t="s">
        <v>119</v>
      </c>
      <c r="J23" s="106" t="s">
        <v>120</v>
      </c>
      <c r="K23" s="110" t="s">
        <v>29</v>
      </c>
      <c r="L23" s="86">
        <v>0</v>
      </c>
      <c r="M23" s="62" t="s">
        <v>47</v>
      </c>
      <c r="N23" s="62">
        <v>52</v>
      </c>
      <c r="O23" s="23">
        <v>260</v>
      </c>
      <c r="P23" s="91" t="s">
        <v>121</v>
      </c>
      <c r="Q23" s="612" t="s">
        <v>93</v>
      </c>
      <c r="R23" s="660" t="s">
        <v>107</v>
      </c>
    </row>
    <row r="24" spans="1:18" ht="66" customHeight="1" x14ac:dyDescent="0.3">
      <c r="A24" s="674"/>
      <c r="B24" s="725"/>
      <c r="C24" s="728"/>
      <c r="D24" s="693"/>
      <c r="E24" s="685"/>
      <c r="F24" s="733"/>
      <c r="G24" s="722" t="s">
        <v>31</v>
      </c>
      <c r="H24" s="703" t="s">
        <v>155</v>
      </c>
      <c r="I24" s="717" t="s">
        <v>119</v>
      </c>
      <c r="J24" s="717" t="s">
        <v>120</v>
      </c>
      <c r="K24" s="61" t="s">
        <v>138</v>
      </c>
      <c r="L24" s="722">
        <v>0</v>
      </c>
      <c r="M24" s="722" t="s">
        <v>47</v>
      </c>
      <c r="N24" s="23">
        <v>0.6</v>
      </c>
      <c r="O24" s="23">
        <v>3</v>
      </c>
      <c r="P24" s="709" t="s">
        <v>121</v>
      </c>
      <c r="Q24" s="613"/>
      <c r="R24" s="736"/>
    </row>
    <row r="25" spans="1:18" ht="90" customHeight="1" x14ac:dyDescent="0.3">
      <c r="A25" s="674"/>
      <c r="B25" s="725"/>
      <c r="C25" s="728"/>
      <c r="D25" s="693"/>
      <c r="E25" s="685"/>
      <c r="F25" s="733"/>
      <c r="G25" s="723"/>
      <c r="H25" s="705"/>
      <c r="I25" s="719"/>
      <c r="J25" s="719"/>
      <c r="K25" s="61" t="s">
        <v>130</v>
      </c>
      <c r="L25" s="723"/>
      <c r="M25" s="723"/>
      <c r="N25" s="77">
        <v>5</v>
      </c>
      <c r="O25" s="23">
        <v>26</v>
      </c>
      <c r="P25" s="711"/>
      <c r="Q25" s="614"/>
      <c r="R25" s="737"/>
    </row>
    <row r="26" spans="1:18" ht="86.25" customHeight="1" x14ac:dyDescent="0.3">
      <c r="A26" s="674"/>
      <c r="B26" s="726"/>
      <c r="C26" s="729"/>
      <c r="D26" s="676"/>
      <c r="E26" s="680"/>
      <c r="F26" s="734"/>
      <c r="G26" s="62" t="s">
        <v>36</v>
      </c>
      <c r="H26" s="63" t="s">
        <v>154</v>
      </c>
      <c r="I26" s="82" t="s">
        <v>119</v>
      </c>
      <c r="J26" s="81" t="s">
        <v>120</v>
      </c>
      <c r="K26" s="23" t="s">
        <v>131</v>
      </c>
      <c r="L26" s="77">
        <v>25680</v>
      </c>
      <c r="M26" s="107">
        <v>2019</v>
      </c>
      <c r="N26" s="86" t="s">
        <v>37</v>
      </c>
      <c r="O26" s="23">
        <v>7200</v>
      </c>
      <c r="P26" s="24" t="s">
        <v>121</v>
      </c>
      <c r="Q26" s="67" t="s">
        <v>96</v>
      </c>
      <c r="R26" s="92" t="s">
        <v>108</v>
      </c>
    </row>
    <row r="27" spans="1:18" ht="62.25" customHeight="1" x14ac:dyDescent="0.3">
      <c r="A27" s="674"/>
      <c r="B27" s="745">
        <v>26250000</v>
      </c>
      <c r="C27" s="743" t="s">
        <v>134</v>
      </c>
      <c r="D27" s="748">
        <f>B27</f>
        <v>26250000</v>
      </c>
      <c r="E27" s="628">
        <f>B27+D27</f>
        <v>52500000</v>
      </c>
      <c r="F27" s="744">
        <f>E27</f>
        <v>52500000</v>
      </c>
      <c r="G27" s="26" t="s">
        <v>118</v>
      </c>
      <c r="H27" s="108" t="s">
        <v>128</v>
      </c>
      <c r="I27" s="109" t="s">
        <v>160</v>
      </c>
      <c r="J27" s="106" t="s">
        <v>144</v>
      </c>
      <c r="K27" s="111" t="s">
        <v>29</v>
      </c>
      <c r="L27" s="86">
        <v>0</v>
      </c>
      <c r="M27" s="62" t="s">
        <v>47</v>
      </c>
      <c r="N27" s="62">
        <v>121</v>
      </c>
      <c r="O27" s="23">
        <v>607</v>
      </c>
      <c r="P27" s="24" t="s">
        <v>121</v>
      </c>
      <c r="Q27" s="612" t="s">
        <v>97</v>
      </c>
      <c r="R27" s="660" t="s">
        <v>129</v>
      </c>
    </row>
    <row r="28" spans="1:18" ht="63" customHeight="1" x14ac:dyDescent="0.3">
      <c r="A28" s="674"/>
      <c r="B28" s="746"/>
      <c r="C28" s="728"/>
      <c r="D28" s="749"/>
      <c r="E28" s="629"/>
      <c r="F28" s="733"/>
      <c r="G28" s="722" t="s">
        <v>31</v>
      </c>
      <c r="H28" s="703" t="s">
        <v>155</v>
      </c>
      <c r="I28" s="717" t="s">
        <v>160</v>
      </c>
      <c r="J28" s="717" t="s">
        <v>144</v>
      </c>
      <c r="K28" s="61" t="s">
        <v>138</v>
      </c>
      <c r="L28" s="62">
        <v>0</v>
      </c>
      <c r="M28" s="722" t="s">
        <v>47</v>
      </c>
      <c r="N28" s="23">
        <v>1.4</v>
      </c>
      <c r="O28" s="23">
        <v>7</v>
      </c>
      <c r="P28" s="709" t="s">
        <v>121</v>
      </c>
      <c r="Q28" s="613"/>
      <c r="R28" s="736"/>
    </row>
    <row r="29" spans="1:18" ht="93" customHeight="1" x14ac:dyDescent="0.3">
      <c r="A29" s="674"/>
      <c r="B29" s="746"/>
      <c r="C29" s="728"/>
      <c r="D29" s="749"/>
      <c r="E29" s="629"/>
      <c r="F29" s="733"/>
      <c r="G29" s="723"/>
      <c r="H29" s="705"/>
      <c r="I29" s="719"/>
      <c r="J29" s="719"/>
      <c r="K29" s="61" t="s">
        <v>130</v>
      </c>
      <c r="L29" s="62">
        <v>0</v>
      </c>
      <c r="M29" s="723"/>
      <c r="N29" s="77">
        <v>12</v>
      </c>
      <c r="O29" s="23">
        <v>61</v>
      </c>
      <c r="P29" s="711"/>
      <c r="Q29" s="614"/>
      <c r="R29" s="737"/>
    </row>
    <row r="30" spans="1:18" ht="93.75" customHeight="1" x14ac:dyDescent="0.3">
      <c r="A30" s="674"/>
      <c r="B30" s="747"/>
      <c r="C30" s="729"/>
      <c r="D30" s="750"/>
      <c r="E30" s="715"/>
      <c r="F30" s="734"/>
      <c r="G30" s="62" t="s">
        <v>36</v>
      </c>
      <c r="H30" s="63" t="s">
        <v>154</v>
      </c>
      <c r="I30" s="82" t="s">
        <v>160</v>
      </c>
      <c r="J30" s="64" t="s">
        <v>144</v>
      </c>
      <c r="K30" s="23" t="s">
        <v>131</v>
      </c>
      <c r="L30" s="77">
        <v>60120</v>
      </c>
      <c r="M30" s="107">
        <v>2019</v>
      </c>
      <c r="N30" s="62" t="s">
        <v>47</v>
      </c>
      <c r="O30" s="23">
        <v>16880</v>
      </c>
      <c r="P30" s="24" t="s">
        <v>121</v>
      </c>
      <c r="Q30" s="67" t="s">
        <v>109</v>
      </c>
      <c r="R30" s="92" t="s">
        <v>110</v>
      </c>
    </row>
    <row r="31" spans="1:18" ht="70.5" customHeight="1" x14ac:dyDescent="0.3">
      <c r="A31" s="674"/>
      <c r="B31" s="748">
        <v>18750000</v>
      </c>
      <c r="C31" s="743" t="s">
        <v>135</v>
      </c>
      <c r="D31" s="748">
        <f>B31</f>
        <v>18750000</v>
      </c>
      <c r="E31" s="628">
        <f>B31+D31</f>
        <v>37500000</v>
      </c>
      <c r="F31" s="757">
        <f>E31</f>
        <v>37500000</v>
      </c>
      <c r="G31" s="62" t="s">
        <v>31</v>
      </c>
      <c r="H31" s="63" t="s">
        <v>155</v>
      </c>
      <c r="I31" s="82" t="s">
        <v>119</v>
      </c>
      <c r="J31" s="64" t="s">
        <v>120</v>
      </c>
      <c r="K31" s="66" t="s">
        <v>130</v>
      </c>
      <c r="L31" s="62">
        <v>0</v>
      </c>
      <c r="M31" s="62" t="s">
        <v>47</v>
      </c>
      <c r="N31" s="23">
        <v>11</v>
      </c>
      <c r="O31" s="23">
        <v>37.5</v>
      </c>
      <c r="P31" s="24" t="s">
        <v>121</v>
      </c>
      <c r="Q31" s="67" t="s">
        <v>156</v>
      </c>
      <c r="R31" s="94" t="s">
        <v>105</v>
      </c>
    </row>
    <row r="32" spans="1:18" ht="68.25" customHeight="1" x14ac:dyDescent="0.3">
      <c r="A32" s="692"/>
      <c r="B32" s="750"/>
      <c r="C32" s="729"/>
      <c r="D32" s="750"/>
      <c r="E32" s="715"/>
      <c r="F32" s="758"/>
      <c r="G32" s="62" t="s">
        <v>36</v>
      </c>
      <c r="H32" s="63" t="s">
        <v>154</v>
      </c>
      <c r="I32" s="82" t="s">
        <v>119</v>
      </c>
      <c r="J32" s="82" t="s">
        <v>120</v>
      </c>
      <c r="K32" s="23" t="s">
        <v>131</v>
      </c>
      <c r="L32" s="77">
        <v>2250</v>
      </c>
      <c r="M32" s="107">
        <v>2019</v>
      </c>
      <c r="N32" s="62" t="s">
        <v>47</v>
      </c>
      <c r="O32" s="23">
        <v>900</v>
      </c>
      <c r="P32" s="24" t="s">
        <v>121</v>
      </c>
      <c r="Q32" s="67" t="s">
        <v>94</v>
      </c>
      <c r="R32" s="94" t="s">
        <v>104</v>
      </c>
    </row>
    <row r="33" spans="1:12" x14ac:dyDescent="0.3">
      <c r="C33" s="2"/>
      <c r="D33" s="3"/>
      <c r="E33" s="80"/>
      <c r="F33" s="16"/>
      <c r="G33" s="16"/>
      <c r="H33" s="4"/>
      <c r="I33" s="5"/>
      <c r="J33" s="5"/>
      <c r="K33" s="4"/>
      <c r="L33" s="10"/>
    </row>
    <row r="34" spans="1:12" ht="0.75" customHeight="1" x14ac:dyDescent="0.3">
      <c r="C34" s="2"/>
      <c r="D34" s="3"/>
      <c r="E34" s="80"/>
      <c r="F34" s="16"/>
      <c r="G34" s="16"/>
      <c r="H34" s="4"/>
      <c r="I34" s="5"/>
      <c r="J34" s="5"/>
      <c r="K34" s="4"/>
    </row>
    <row r="35" spans="1:12" x14ac:dyDescent="0.3">
      <c r="C35" s="2"/>
      <c r="D35" s="3"/>
      <c r="E35" s="80"/>
      <c r="F35" s="16"/>
      <c r="G35" s="16"/>
      <c r="H35" s="4"/>
      <c r="I35" s="5"/>
      <c r="J35" s="5"/>
      <c r="K35" s="4"/>
    </row>
    <row r="36" spans="1:12" x14ac:dyDescent="0.3">
      <c r="A36" s="1"/>
      <c r="B36" s="15"/>
      <c r="C36" s="2"/>
      <c r="D36" s="3"/>
      <c r="E36" s="80"/>
      <c r="F36" s="16"/>
      <c r="G36" s="16"/>
      <c r="H36" s="4"/>
      <c r="I36" s="5"/>
      <c r="J36" s="5"/>
      <c r="K36" s="4"/>
    </row>
    <row r="37" spans="1:12" ht="26.25" customHeight="1" x14ac:dyDescent="0.3">
      <c r="A37" s="72" t="s">
        <v>143</v>
      </c>
      <c r="B37" s="40" t="s">
        <v>142</v>
      </c>
      <c r="C37" s="72" t="s">
        <v>116</v>
      </c>
      <c r="D37" s="72" t="s">
        <v>140</v>
      </c>
      <c r="E37" s="72" t="s">
        <v>112</v>
      </c>
      <c r="F37" s="72" t="s">
        <v>115</v>
      </c>
      <c r="G37" s="72" t="s">
        <v>141</v>
      </c>
      <c r="H37" s="72" t="s">
        <v>124</v>
      </c>
      <c r="I37" s="72" t="s">
        <v>123</v>
      </c>
      <c r="J37" s="165" t="s">
        <v>222</v>
      </c>
      <c r="K37" s="4"/>
    </row>
    <row r="38" spans="1:12" ht="49.5" customHeight="1" x14ac:dyDescent="0.3">
      <c r="A38" s="56" t="s">
        <v>36</v>
      </c>
      <c r="B38" s="125" t="s">
        <v>154</v>
      </c>
      <c r="C38" s="23" t="s">
        <v>131</v>
      </c>
      <c r="D38" s="58">
        <f>SUM(L7+L10+L14+L15+L26+L32)</f>
        <v>582771</v>
      </c>
      <c r="E38" s="41" t="s">
        <v>119</v>
      </c>
      <c r="F38" s="56" t="s">
        <v>24</v>
      </c>
      <c r="G38" s="41">
        <v>2019</v>
      </c>
      <c r="H38" s="57" t="s">
        <v>47</v>
      </c>
      <c r="I38" s="57">
        <f>SUM(O7+O10+O14+O15+O26+O32)</f>
        <v>44865</v>
      </c>
      <c r="J38" s="164">
        <f>SUM(D38-I38)</f>
        <v>537906</v>
      </c>
      <c r="K38" s="4"/>
    </row>
    <row r="39" spans="1:12" ht="52.5" customHeight="1" x14ac:dyDescent="0.3">
      <c r="A39" s="56" t="s">
        <v>36</v>
      </c>
      <c r="B39" s="125" t="s">
        <v>154</v>
      </c>
      <c r="C39" s="23" t="s">
        <v>131</v>
      </c>
      <c r="D39" s="58">
        <f>SUM(L22+L30)</f>
        <v>67344</v>
      </c>
      <c r="E39" s="82" t="s">
        <v>160</v>
      </c>
      <c r="F39" s="56" t="s">
        <v>16</v>
      </c>
      <c r="G39" s="41">
        <v>2019</v>
      </c>
      <c r="H39" s="57" t="s">
        <v>47</v>
      </c>
      <c r="I39" s="57">
        <f>SUM(O22+O30)</f>
        <v>16880</v>
      </c>
      <c r="J39" s="164">
        <f>SUM(D39-I39)</f>
        <v>50464</v>
      </c>
      <c r="K39" s="4"/>
    </row>
    <row r="40" spans="1:12" ht="43.5" customHeight="1" x14ac:dyDescent="0.3">
      <c r="A40" s="670" t="s">
        <v>31</v>
      </c>
      <c r="B40" s="755" t="s">
        <v>155</v>
      </c>
      <c r="C40" s="61" t="s">
        <v>138</v>
      </c>
      <c r="D40" s="41">
        <v>0</v>
      </c>
      <c r="E40" s="41" t="s">
        <v>119</v>
      </c>
      <c r="F40" s="41" t="s">
        <v>24</v>
      </c>
      <c r="G40" s="39"/>
      <c r="H40" s="55">
        <f>SUM(N6+N9+N24)</f>
        <v>85.08</v>
      </c>
      <c r="I40" s="55">
        <f>SUM(O6+O9+O24)</f>
        <v>283.60000000000002</v>
      </c>
      <c r="J40" s="5"/>
      <c r="K40" s="4"/>
    </row>
    <row r="41" spans="1:12" ht="61.5" customHeight="1" x14ac:dyDescent="0.3">
      <c r="A41" s="751"/>
      <c r="B41" s="756"/>
      <c r="C41" s="66" t="s">
        <v>130</v>
      </c>
      <c r="D41" s="41">
        <v>0</v>
      </c>
      <c r="E41" s="41" t="s">
        <v>119</v>
      </c>
      <c r="F41" s="41" t="s">
        <v>24</v>
      </c>
      <c r="G41" s="39"/>
      <c r="H41" s="55">
        <f>SUM(N11+N17+N25+N31)</f>
        <v>101</v>
      </c>
      <c r="I41" s="55">
        <f>SUM(O11+O17+O25+O31)</f>
        <v>348.5</v>
      </c>
      <c r="J41" s="5"/>
      <c r="K41" s="4"/>
    </row>
    <row r="42" spans="1:12" ht="47.25" customHeight="1" x14ac:dyDescent="0.3">
      <c r="A42" s="670" t="s">
        <v>31</v>
      </c>
      <c r="B42" s="755" t="s">
        <v>155</v>
      </c>
      <c r="C42" s="61" t="s">
        <v>138</v>
      </c>
      <c r="D42" s="41">
        <v>0</v>
      </c>
      <c r="E42" s="82" t="s">
        <v>160</v>
      </c>
      <c r="F42" s="41" t="s">
        <v>16</v>
      </c>
      <c r="G42" s="39"/>
      <c r="H42" s="55">
        <f>SUM(N20+N28)</f>
        <v>2.2999999999999998</v>
      </c>
      <c r="I42" s="55">
        <f>SUM(O20+O28)</f>
        <v>11.7</v>
      </c>
      <c r="J42" s="6"/>
      <c r="K42" s="6"/>
    </row>
    <row r="43" spans="1:12" ht="74.25" customHeight="1" x14ac:dyDescent="0.3">
      <c r="A43" s="751"/>
      <c r="B43" s="756"/>
      <c r="C43" s="61" t="s">
        <v>130</v>
      </c>
      <c r="D43" s="41">
        <v>0</v>
      </c>
      <c r="E43" s="82" t="s">
        <v>160</v>
      </c>
      <c r="F43" s="41" t="s">
        <v>16</v>
      </c>
      <c r="G43" s="39"/>
      <c r="H43" s="55">
        <f>SUM(N21+N29)</f>
        <v>30</v>
      </c>
      <c r="I43" s="55">
        <f>SUM(O21+O29)</f>
        <v>152.80000000000001</v>
      </c>
      <c r="J43" s="6"/>
      <c r="K43" s="6"/>
    </row>
    <row r="44" spans="1:12" ht="35.25" customHeight="1" x14ac:dyDescent="0.3">
      <c r="A44" s="54" t="s">
        <v>118</v>
      </c>
      <c r="B44" s="116" t="s">
        <v>139</v>
      </c>
      <c r="C44" s="117" t="s">
        <v>29</v>
      </c>
      <c r="D44" s="26">
        <v>0</v>
      </c>
      <c r="E44" s="41" t="s">
        <v>119</v>
      </c>
      <c r="F44" s="117" t="s">
        <v>24</v>
      </c>
      <c r="G44" s="54"/>
      <c r="H44" s="36">
        <f>SUM(N5+N8+N23)</f>
        <v>94.759999999999991</v>
      </c>
      <c r="I44" s="36">
        <f>SUM(O5+O8+O23)</f>
        <v>402.2</v>
      </c>
      <c r="J44" s="6"/>
    </row>
    <row r="45" spans="1:12" ht="31.5" customHeight="1" x14ac:dyDescent="0.3">
      <c r="A45" s="54" t="s">
        <v>118</v>
      </c>
      <c r="B45" s="116" t="s">
        <v>139</v>
      </c>
      <c r="C45" s="117" t="s">
        <v>29</v>
      </c>
      <c r="D45" s="26">
        <v>0</v>
      </c>
      <c r="E45" s="82" t="s">
        <v>160</v>
      </c>
      <c r="F45" s="54" t="s">
        <v>16</v>
      </c>
      <c r="G45" s="54"/>
      <c r="H45" s="49">
        <f>SUM(N19+N27)</f>
        <v>513</v>
      </c>
      <c r="I45" s="49">
        <f>SUM(O19+O27)</f>
        <v>2568</v>
      </c>
      <c r="J45" s="6"/>
    </row>
    <row r="46" spans="1:12" x14ac:dyDescent="0.3">
      <c r="C46" s="752"/>
      <c r="D46" s="7"/>
      <c r="E46" s="8"/>
      <c r="F46" s="753"/>
      <c r="J46" s="6"/>
    </row>
    <row r="47" spans="1:12" x14ac:dyDescent="0.3">
      <c r="C47" s="752"/>
      <c r="D47" s="7"/>
      <c r="E47" s="9"/>
      <c r="F47" s="754"/>
      <c r="H47" s="6"/>
      <c r="I47" s="6"/>
      <c r="J47" s="6"/>
    </row>
    <row r="48" spans="1:12" x14ac:dyDescent="0.3">
      <c r="C48" s="752"/>
      <c r="D48" s="7"/>
      <c r="E48" s="9"/>
      <c r="F48" s="754"/>
      <c r="H48" s="6"/>
      <c r="I48" s="6"/>
    </row>
    <row r="49" spans="3:9" x14ac:dyDescent="0.3">
      <c r="C49" s="752"/>
      <c r="D49" s="7"/>
      <c r="E49" s="9"/>
      <c r="F49" s="754"/>
      <c r="H49" s="6"/>
      <c r="I49" s="6"/>
    </row>
    <row r="50" spans="3:9" x14ac:dyDescent="0.3">
      <c r="C50" s="752"/>
      <c r="D50" s="7"/>
      <c r="E50" s="9"/>
      <c r="F50" s="754"/>
      <c r="H50" s="6"/>
      <c r="I50" s="6"/>
    </row>
    <row r="51" spans="3:9" x14ac:dyDescent="0.3">
      <c r="C51" s="79"/>
      <c r="D51" s="7"/>
      <c r="E51" s="9"/>
      <c r="F51" s="16"/>
      <c r="H51" s="6"/>
      <c r="I51" s="6"/>
    </row>
    <row r="52" spans="3:9" x14ac:dyDescent="0.3">
      <c r="C52" s="79"/>
      <c r="D52" s="7"/>
      <c r="E52" s="9"/>
      <c r="F52" s="16"/>
      <c r="H52" s="6"/>
      <c r="I52" s="6"/>
    </row>
    <row r="53" spans="3:9" x14ac:dyDescent="0.3">
      <c r="C53" s="79"/>
      <c r="D53" s="7"/>
      <c r="E53" s="9"/>
      <c r="F53" s="16"/>
      <c r="H53" s="6"/>
      <c r="I53" s="6"/>
    </row>
    <row r="54" spans="3:9" x14ac:dyDescent="0.3">
      <c r="C54" s="3"/>
      <c r="D54" s="7"/>
      <c r="E54" s="9"/>
      <c r="F54" s="16"/>
      <c r="H54" s="6"/>
      <c r="I54" s="6"/>
    </row>
    <row r="57" spans="3:9" x14ac:dyDescent="0.3">
      <c r="C57" s="1"/>
      <c r="D57" s="1"/>
      <c r="E57" s="1"/>
      <c r="F57" s="1"/>
      <c r="G57" s="1"/>
      <c r="H57" s="1"/>
      <c r="I57" s="1"/>
    </row>
    <row r="60" spans="3:9" x14ac:dyDescent="0.3">
      <c r="C60" s="6"/>
    </row>
    <row r="62" spans="3:9" x14ac:dyDescent="0.3">
      <c r="C62" s="6"/>
    </row>
  </sheetData>
  <mergeCells count="126">
    <mergeCell ref="A42:A43"/>
    <mergeCell ref="C46:C50"/>
    <mergeCell ref="F46:F50"/>
    <mergeCell ref="B40:B41"/>
    <mergeCell ref="B42:B43"/>
    <mergeCell ref="B31:B32"/>
    <mergeCell ref="C31:C32"/>
    <mergeCell ref="D31:D32"/>
    <mergeCell ref="E31:E32"/>
    <mergeCell ref="F31:F32"/>
    <mergeCell ref="A40:A41"/>
    <mergeCell ref="R27:R29"/>
    <mergeCell ref="G28:G29"/>
    <mergeCell ref="H28:H29"/>
    <mergeCell ref="I28:I29"/>
    <mergeCell ref="J28:J29"/>
    <mergeCell ref="M28:M29"/>
    <mergeCell ref="P28:P29"/>
    <mergeCell ref="B27:B30"/>
    <mergeCell ref="C27:C30"/>
    <mergeCell ref="D27:D30"/>
    <mergeCell ref="E27:E30"/>
    <mergeCell ref="F27:F30"/>
    <mergeCell ref="Q27:Q29"/>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
  <sheetViews>
    <sheetView topLeftCell="A16" zoomScale="80" zoomScaleNormal="80" workbookViewId="0">
      <selection activeCell="A5" sqref="A5:A8"/>
    </sheetView>
  </sheetViews>
  <sheetFormatPr defaultRowHeight="14.4" x14ac:dyDescent="0.3"/>
  <cols>
    <col min="1" max="1" width="18.44140625" style="17" customWidth="1"/>
    <col min="2" max="2" width="20.5546875" style="17" customWidth="1"/>
    <col min="3" max="3" width="43.44140625" style="17" customWidth="1"/>
    <col min="4" max="4" width="17.44140625" style="17" customWidth="1"/>
    <col min="5" max="5" width="20.5546875" style="17" customWidth="1"/>
    <col min="6" max="6" width="13.44140625" style="17" bestFit="1" customWidth="1"/>
    <col min="7" max="7" width="11.44140625" style="17" customWidth="1"/>
    <col min="8" max="8" width="15.5546875" style="17" customWidth="1"/>
    <col min="9" max="9" width="15.88671875" style="17" customWidth="1"/>
    <col min="10" max="10" width="9.109375" style="17"/>
    <col min="11" max="11" width="14.44140625" style="17" customWidth="1"/>
    <col min="12" max="12" width="9.109375" style="17"/>
    <col min="13" max="13" width="8.5546875" style="17" customWidth="1"/>
    <col min="14" max="14" width="11.88671875" style="17" customWidth="1"/>
    <col min="15" max="15" width="11.44140625" style="17" customWidth="1"/>
    <col min="16" max="16" width="17.88671875" style="17" customWidth="1"/>
    <col min="17" max="17" width="0.109375" style="17" customWidth="1"/>
    <col min="18" max="18" width="66.5546875" style="93" customWidth="1"/>
  </cols>
  <sheetData>
    <row r="1" spans="1:19" ht="21" x14ac:dyDescent="0.4">
      <c r="A1" s="20" t="s">
        <v>42</v>
      </c>
      <c r="B1" s="20"/>
      <c r="C1" s="20"/>
      <c r="D1" s="20"/>
      <c r="E1" s="20"/>
      <c r="F1" s="20"/>
      <c r="G1" s="20"/>
      <c r="H1" s="20"/>
      <c r="I1" s="20"/>
      <c r="J1" s="20"/>
      <c r="K1" s="20"/>
    </row>
    <row r="2" spans="1:19" ht="15" thickBot="1" x14ac:dyDescent="0.35"/>
    <row r="3" spans="1:19" ht="14.85" customHeight="1" thickBot="1" x14ac:dyDescent="0.35">
      <c r="A3" s="759" t="s">
        <v>0</v>
      </c>
      <c r="B3" s="688" t="s">
        <v>1</v>
      </c>
      <c r="C3" s="761" t="s">
        <v>2</v>
      </c>
      <c r="D3" s="762"/>
      <c r="E3" s="763"/>
      <c r="F3" s="764" t="s">
        <v>20</v>
      </c>
      <c r="G3" s="766" t="s">
        <v>111</v>
      </c>
      <c r="H3" s="767"/>
      <c r="I3" s="688" t="s">
        <v>181</v>
      </c>
      <c r="J3" s="778" t="s">
        <v>115</v>
      </c>
      <c r="K3" s="688" t="s">
        <v>182</v>
      </c>
      <c r="L3" s="761" t="s">
        <v>140</v>
      </c>
      <c r="M3" s="763"/>
      <c r="N3" s="688" t="s">
        <v>124</v>
      </c>
      <c r="O3" s="688" t="s">
        <v>123</v>
      </c>
      <c r="P3" s="688" t="s">
        <v>172</v>
      </c>
      <c r="Q3" s="633" t="s">
        <v>9</v>
      </c>
      <c r="R3" s="769" t="s">
        <v>61</v>
      </c>
    </row>
    <row r="4" spans="1:19" ht="75.900000000000006" customHeight="1" thickBot="1" x14ac:dyDescent="0.35">
      <c r="A4" s="760"/>
      <c r="B4" s="689"/>
      <c r="C4" s="133" t="s">
        <v>10</v>
      </c>
      <c r="D4" s="134" t="s">
        <v>183</v>
      </c>
      <c r="E4" s="135" t="s">
        <v>44</v>
      </c>
      <c r="F4" s="765"/>
      <c r="G4" s="136" t="s">
        <v>113</v>
      </c>
      <c r="H4" s="136" t="s">
        <v>114</v>
      </c>
      <c r="I4" s="689"/>
      <c r="J4" s="779"/>
      <c r="K4" s="689"/>
      <c r="L4" s="137" t="s">
        <v>126</v>
      </c>
      <c r="M4" s="137" t="s">
        <v>125</v>
      </c>
      <c r="N4" s="689"/>
      <c r="O4" s="689"/>
      <c r="P4" s="689"/>
      <c r="Q4" s="768"/>
      <c r="R4" s="770"/>
    </row>
    <row r="5" spans="1:19" ht="100.5" customHeight="1" x14ac:dyDescent="0.3">
      <c r="A5" s="771" t="s">
        <v>167</v>
      </c>
      <c r="B5" s="773">
        <v>8750000</v>
      </c>
      <c r="C5" s="774" t="s">
        <v>168</v>
      </c>
      <c r="D5" s="773">
        <f>B5</f>
        <v>8750000</v>
      </c>
      <c r="E5" s="775">
        <f>B5+D5</f>
        <v>17500000</v>
      </c>
      <c r="F5" s="776">
        <f>E5</f>
        <v>17500000</v>
      </c>
      <c r="G5" s="62" t="s">
        <v>28</v>
      </c>
      <c r="H5" s="23" t="s">
        <v>169</v>
      </c>
      <c r="I5" s="23" t="s">
        <v>119</v>
      </c>
      <c r="J5" s="23" t="s">
        <v>120</v>
      </c>
      <c r="K5" s="23" t="s">
        <v>162</v>
      </c>
      <c r="L5" s="62">
        <v>26250</v>
      </c>
      <c r="M5" s="62">
        <v>2021</v>
      </c>
      <c r="N5" s="112" t="s">
        <v>47</v>
      </c>
      <c r="O5" s="124">
        <v>26250</v>
      </c>
      <c r="P5" s="124" t="s">
        <v>121</v>
      </c>
      <c r="Q5" s="128" t="s">
        <v>173</v>
      </c>
      <c r="R5" s="98" t="s">
        <v>163</v>
      </c>
      <c r="S5" s="141"/>
    </row>
    <row r="6" spans="1:19" ht="168" customHeight="1" thickBot="1" x14ac:dyDescent="0.35">
      <c r="A6" s="772"/>
      <c r="B6" s="718"/>
      <c r="C6" s="610"/>
      <c r="D6" s="702"/>
      <c r="E6" s="749"/>
      <c r="F6" s="777"/>
      <c r="G6" s="27" t="s">
        <v>118</v>
      </c>
      <c r="H6" s="27" t="s">
        <v>170</v>
      </c>
      <c r="I6" s="27" t="s">
        <v>119</v>
      </c>
      <c r="J6" s="27" t="s">
        <v>120</v>
      </c>
      <c r="K6" s="27" t="s">
        <v>161</v>
      </c>
      <c r="L6" s="122">
        <v>0</v>
      </c>
      <c r="M6" s="122" t="s">
        <v>47</v>
      </c>
      <c r="N6" s="27">
        <v>78</v>
      </c>
      <c r="O6" s="27">
        <v>391</v>
      </c>
      <c r="P6" s="76" t="s">
        <v>121</v>
      </c>
      <c r="Q6" s="105" t="s">
        <v>174</v>
      </c>
      <c r="R6" s="150" t="s">
        <v>188</v>
      </c>
      <c r="S6" s="141"/>
    </row>
    <row r="7" spans="1:19" ht="89.25" customHeight="1" x14ac:dyDescent="0.3">
      <c r="A7" s="772"/>
      <c r="B7" s="749">
        <v>16250000</v>
      </c>
      <c r="C7" s="774" t="s">
        <v>168</v>
      </c>
      <c r="D7" s="773">
        <f>B7</f>
        <v>16250000</v>
      </c>
      <c r="E7" s="775">
        <f>B7+D7</f>
        <v>32500000</v>
      </c>
      <c r="F7" s="788">
        <f>E7</f>
        <v>32500000</v>
      </c>
      <c r="G7" s="86" t="s">
        <v>28</v>
      </c>
      <c r="H7" s="126" t="s">
        <v>169</v>
      </c>
      <c r="I7" s="77" t="s">
        <v>160</v>
      </c>
      <c r="J7" s="77" t="s">
        <v>144</v>
      </c>
      <c r="K7" s="77" t="s">
        <v>162</v>
      </c>
      <c r="L7" s="86">
        <v>50800</v>
      </c>
      <c r="M7" s="86">
        <v>2021</v>
      </c>
      <c r="N7" s="127" t="s">
        <v>47</v>
      </c>
      <c r="O7" s="77">
        <v>50800</v>
      </c>
      <c r="P7" s="145" t="s">
        <v>121</v>
      </c>
      <c r="Q7" s="129" t="s">
        <v>175</v>
      </c>
      <c r="R7" s="146" t="s">
        <v>164</v>
      </c>
      <c r="S7" s="141"/>
    </row>
    <row r="8" spans="1:19" ht="137.25" customHeight="1" thickBot="1" x14ac:dyDescent="0.35">
      <c r="A8" s="772"/>
      <c r="B8" s="749"/>
      <c r="C8" s="610"/>
      <c r="D8" s="702"/>
      <c r="E8" s="749"/>
      <c r="F8" s="777"/>
      <c r="G8" s="27" t="s">
        <v>118</v>
      </c>
      <c r="H8" s="27" t="s">
        <v>170</v>
      </c>
      <c r="I8" s="27" t="s">
        <v>160</v>
      </c>
      <c r="J8" s="27" t="s">
        <v>144</v>
      </c>
      <c r="K8" s="27" t="s">
        <v>161</v>
      </c>
      <c r="L8" s="122">
        <v>0</v>
      </c>
      <c r="M8" s="122" t="s">
        <v>47</v>
      </c>
      <c r="N8" s="27">
        <v>153</v>
      </c>
      <c r="O8" s="27">
        <v>767</v>
      </c>
      <c r="P8" s="27" t="s">
        <v>121</v>
      </c>
      <c r="Q8" s="105" t="s">
        <v>176</v>
      </c>
      <c r="R8" s="149" t="s">
        <v>187</v>
      </c>
      <c r="S8" s="141"/>
    </row>
    <row r="9" spans="1:19" ht="118.5" customHeight="1" x14ac:dyDescent="0.3">
      <c r="A9" s="771" t="s">
        <v>166</v>
      </c>
      <c r="B9" s="775">
        <v>8750000</v>
      </c>
      <c r="C9" s="781" t="s">
        <v>168</v>
      </c>
      <c r="D9" s="783">
        <f>B9</f>
        <v>8750000</v>
      </c>
      <c r="E9" s="785">
        <f>B9+D9</f>
        <v>17500000</v>
      </c>
      <c r="F9" s="788">
        <f>E9</f>
        <v>17500000</v>
      </c>
      <c r="G9" s="86" t="s">
        <v>28</v>
      </c>
      <c r="H9" s="77" t="s">
        <v>169</v>
      </c>
      <c r="I9" s="77" t="s">
        <v>119</v>
      </c>
      <c r="J9" s="77" t="s">
        <v>120</v>
      </c>
      <c r="K9" s="77" t="s">
        <v>162</v>
      </c>
      <c r="L9" s="86">
        <v>28600</v>
      </c>
      <c r="M9" s="86">
        <v>2021</v>
      </c>
      <c r="N9" s="86" t="s">
        <v>47</v>
      </c>
      <c r="O9" s="77">
        <v>28600</v>
      </c>
      <c r="P9" s="77" t="s">
        <v>121</v>
      </c>
      <c r="Q9" s="128" t="s">
        <v>177</v>
      </c>
      <c r="R9" s="144" t="s">
        <v>171</v>
      </c>
      <c r="S9" s="141"/>
    </row>
    <row r="10" spans="1:19" ht="165.75" customHeight="1" thickBot="1" x14ac:dyDescent="0.35">
      <c r="A10" s="772"/>
      <c r="B10" s="718"/>
      <c r="C10" s="782"/>
      <c r="D10" s="784"/>
      <c r="E10" s="786"/>
      <c r="F10" s="777"/>
      <c r="G10" s="76" t="s">
        <v>118</v>
      </c>
      <c r="H10" s="27" t="s">
        <v>170</v>
      </c>
      <c r="I10" s="27" t="s">
        <v>119</v>
      </c>
      <c r="J10" s="27" t="s">
        <v>120</v>
      </c>
      <c r="K10" s="76" t="s">
        <v>161</v>
      </c>
      <c r="L10" s="85">
        <v>0</v>
      </c>
      <c r="M10" s="85" t="s">
        <v>47</v>
      </c>
      <c r="N10" s="76">
        <v>100</v>
      </c>
      <c r="O10" s="76">
        <v>498</v>
      </c>
      <c r="P10" s="76" t="s">
        <v>121</v>
      </c>
      <c r="Q10" s="130" t="s">
        <v>178</v>
      </c>
      <c r="R10" s="143" t="s">
        <v>184</v>
      </c>
    </row>
    <row r="11" spans="1:19" ht="120.75" customHeight="1" x14ac:dyDescent="0.3">
      <c r="A11" s="772"/>
      <c r="B11" s="775">
        <v>16250000</v>
      </c>
      <c r="C11" s="781" t="s">
        <v>168</v>
      </c>
      <c r="D11" s="783">
        <f>B11</f>
        <v>16250000</v>
      </c>
      <c r="E11" s="785">
        <f>B11+D11</f>
        <v>32500000</v>
      </c>
      <c r="F11" s="776">
        <f>E11</f>
        <v>32500000</v>
      </c>
      <c r="G11" s="112" t="s">
        <v>39</v>
      </c>
      <c r="H11" s="77" t="s">
        <v>169</v>
      </c>
      <c r="I11" s="77" t="s">
        <v>160</v>
      </c>
      <c r="J11" s="77" t="s">
        <v>144</v>
      </c>
      <c r="K11" s="124" t="s">
        <v>162</v>
      </c>
      <c r="L11" s="112">
        <v>53104</v>
      </c>
      <c r="M11" s="112">
        <v>2021</v>
      </c>
      <c r="N11" s="112" t="s">
        <v>47</v>
      </c>
      <c r="O11" s="124">
        <v>53104</v>
      </c>
      <c r="P11" s="124" t="s">
        <v>121</v>
      </c>
      <c r="Q11" s="131" t="s">
        <v>179</v>
      </c>
      <c r="R11" s="142" t="s">
        <v>165</v>
      </c>
    </row>
    <row r="12" spans="1:19" ht="213.75" customHeight="1" thickBot="1" x14ac:dyDescent="0.35">
      <c r="A12" s="780"/>
      <c r="B12" s="787"/>
      <c r="C12" s="782"/>
      <c r="D12" s="784"/>
      <c r="E12" s="786"/>
      <c r="F12" s="777"/>
      <c r="G12" s="27" t="s">
        <v>118</v>
      </c>
      <c r="H12" s="27" t="s">
        <v>170</v>
      </c>
      <c r="I12" s="27" t="s">
        <v>160</v>
      </c>
      <c r="J12" s="27" t="s">
        <v>144</v>
      </c>
      <c r="K12" s="76" t="s">
        <v>161</v>
      </c>
      <c r="L12" s="122">
        <v>0</v>
      </c>
      <c r="M12" s="85" t="s">
        <v>47</v>
      </c>
      <c r="N12" s="76">
        <v>185</v>
      </c>
      <c r="O12" s="76">
        <v>925</v>
      </c>
      <c r="P12" s="76" t="s">
        <v>121</v>
      </c>
      <c r="Q12" s="132" t="s">
        <v>180</v>
      </c>
      <c r="R12" s="140" t="s">
        <v>185</v>
      </c>
      <c r="S12" s="141"/>
    </row>
    <row r="13" spans="1:19" ht="130.5" customHeight="1" x14ac:dyDescent="0.3">
      <c r="K13" s="19"/>
      <c r="M13" s="19"/>
      <c r="N13" s="19"/>
      <c r="O13" s="19"/>
      <c r="P13" s="19"/>
      <c r="Q13" s="22"/>
      <c r="R13" s="139"/>
    </row>
    <row r="14" spans="1:19" ht="42" customHeight="1" x14ac:dyDescent="0.3">
      <c r="A14" s="35" t="s">
        <v>143</v>
      </c>
      <c r="B14" s="46" t="s">
        <v>142</v>
      </c>
      <c r="C14" s="35" t="s">
        <v>116</v>
      </c>
      <c r="D14" s="35" t="s">
        <v>140</v>
      </c>
      <c r="E14" s="35" t="s">
        <v>112</v>
      </c>
      <c r="F14" s="35" t="s">
        <v>115</v>
      </c>
      <c r="G14" s="35" t="s">
        <v>141</v>
      </c>
      <c r="H14" s="35" t="s">
        <v>124</v>
      </c>
      <c r="I14" s="35" t="s">
        <v>123</v>
      </c>
    </row>
    <row r="15" spans="1:19" ht="42" customHeight="1" x14ac:dyDescent="0.3">
      <c r="A15" s="23" t="s">
        <v>118</v>
      </c>
      <c r="B15" s="23" t="s">
        <v>170</v>
      </c>
      <c r="C15" s="23" t="s">
        <v>161</v>
      </c>
      <c r="D15" s="18">
        <v>0</v>
      </c>
      <c r="E15" s="23" t="s">
        <v>119</v>
      </c>
      <c r="F15" s="138" t="s">
        <v>120</v>
      </c>
      <c r="G15" s="138" t="s">
        <v>47</v>
      </c>
      <c r="H15" s="148">
        <f>SUM(N6,N10)</f>
        <v>178</v>
      </c>
      <c r="I15" s="148">
        <f>SUM(O6,O10)</f>
        <v>889</v>
      </c>
    </row>
    <row r="16" spans="1:19" ht="54.75" customHeight="1" x14ac:dyDescent="0.3">
      <c r="A16" s="23" t="s">
        <v>118</v>
      </c>
      <c r="B16" s="23" t="s">
        <v>170</v>
      </c>
      <c r="C16" s="23" t="s">
        <v>161</v>
      </c>
      <c r="D16" s="18">
        <v>0</v>
      </c>
      <c r="E16" s="23" t="s">
        <v>160</v>
      </c>
      <c r="F16" s="138" t="s">
        <v>144</v>
      </c>
      <c r="G16" s="138" t="s">
        <v>47</v>
      </c>
      <c r="H16" s="148">
        <f>SUM(N8,N12)</f>
        <v>338</v>
      </c>
      <c r="I16" s="148">
        <f>SUM(O8,O12)</f>
        <v>1692</v>
      </c>
    </row>
    <row r="17" spans="1:9" ht="45.75" customHeight="1" x14ac:dyDescent="0.3">
      <c r="A17" s="18" t="s">
        <v>28</v>
      </c>
      <c r="B17" s="23" t="s">
        <v>169</v>
      </c>
      <c r="C17" s="23" t="s">
        <v>162</v>
      </c>
      <c r="D17" s="148">
        <f>SUM(L5,L9)</f>
        <v>54850</v>
      </c>
      <c r="E17" s="138" t="s">
        <v>186</v>
      </c>
      <c r="F17" s="138" t="s">
        <v>120</v>
      </c>
      <c r="G17" s="18">
        <v>2019</v>
      </c>
      <c r="H17" s="163" t="s">
        <v>47</v>
      </c>
      <c r="I17" s="148">
        <f>SUM(O5,O9)</f>
        <v>54850</v>
      </c>
    </row>
    <row r="18" spans="1:9" ht="55.5" customHeight="1" x14ac:dyDescent="0.3">
      <c r="A18" s="18" t="s">
        <v>28</v>
      </c>
      <c r="B18" s="23" t="s">
        <v>169</v>
      </c>
      <c r="C18" s="23" t="s">
        <v>162</v>
      </c>
      <c r="D18" s="148">
        <f>SUM(L7,L11)</f>
        <v>103904</v>
      </c>
      <c r="E18" s="23" t="s">
        <v>160</v>
      </c>
      <c r="F18" s="138" t="s">
        <v>144</v>
      </c>
      <c r="G18" s="18">
        <v>2019</v>
      </c>
      <c r="H18" s="163" t="s">
        <v>47</v>
      </c>
      <c r="I18" s="148">
        <f>SUM(O7,O11)</f>
        <v>103904</v>
      </c>
    </row>
    <row r="19" spans="1:9" x14ac:dyDescent="0.3">
      <c r="A19" s="147"/>
      <c r="B19" s="22"/>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D14" sqref="D14"/>
    </sheetView>
  </sheetViews>
  <sheetFormatPr defaultRowHeight="14.4" x14ac:dyDescent="0.3"/>
  <cols>
    <col min="2" max="2" width="41.109375" customWidth="1"/>
    <col min="3" max="3" width="63.5546875" customWidth="1"/>
    <col min="4" max="4" width="66.109375" customWidth="1"/>
  </cols>
  <sheetData>
    <row r="1" spans="1:3" ht="15.6" x14ac:dyDescent="0.3">
      <c r="A1" s="239" t="s">
        <v>279</v>
      </c>
      <c r="B1" s="259" t="s">
        <v>280</v>
      </c>
      <c r="C1" s="259" t="s">
        <v>281</v>
      </c>
    </row>
    <row r="2" spans="1:3" ht="15.6" x14ac:dyDescent="0.3">
      <c r="A2" s="242">
        <v>1</v>
      </c>
      <c r="B2" s="243" t="s">
        <v>263</v>
      </c>
      <c r="C2" s="243" t="s">
        <v>282</v>
      </c>
    </row>
    <row r="3" spans="1:3" ht="31.2" x14ac:dyDescent="0.3">
      <c r="A3" s="242">
        <f>A2+1</f>
        <v>2</v>
      </c>
      <c r="B3" s="243" t="s">
        <v>264</v>
      </c>
      <c r="C3" s="265" t="s">
        <v>321</v>
      </c>
    </row>
    <row r="4" spans="1:3" ht="15.6" x14ac:dyDescent="0.3">
      <c r="A4" s="242">
        <f t="shared" ref="A4:A19" si="0">A3+1</f>
        <v>3</v>
      </c>
      <c r="B4" s="243" t="s">
        <v>116</v>
      </c>
      <c r="C4" s="243" t="s">
        <v>146</v>
      </c>
    </row>
    <row r="5" spans="1:3" ht="15.6" x14ac:dyDescent="0.3">
      <c r="A5" s="242">
        <f t="shared" si="0"/>
        <v>4</v>
      </c>
      <c r="B5" s="243" t="s">
        <v>284</v>
      </c>
      <c r="C5" s="243" t="s">
        <v>285</v>
      </c>
    </row>
    <row r="6" spans="1:3" ht="15.6" x14ac:dyDescent="0.3">
      <c r="A6" s="242">
        <f t="shared" si="0"/>
        <v>5</v>
      </c>
      <c r="B6" s="243" t="s">
        <v>140</v>
      </c>
      <c r="C6" s="260">
        <v>0</v>
      </c>
    </row>
    <row r="7" spans="1:3" ht="15.6" x14ac:dyDescent="0.3">
      <c r="A7" s="242">
        <f t="shared" si="0"/>
        <v>6</v>
      </c>
      <c r="B7" s="243" t="s">
        <v>124</v>
      </c>
      <c r="C7" s="261" t="s">
        <v>317</v>
      </c>
    </row>
    <row r="8" spans="1:3" ht="15.6" x14ac:dyDescent="0.3">
      <c r="A8" s="242">
        <f t="shared" si="0"/>
        <v>7</v>
      </c>
      <c r="B8" s="243" t="s">
        <v>123</v>
      </c>
      <c r="C8" s="261" t="s">
        <v>286</v>
      </c>
    </row>
    <row r="9" spans="1:3" ht="15.6" x14ac:dyDescent="0.3">
      <c r="A9" s="242">
        <f t="shared" si="0"/>
        <v>8</v>
      </c>
      <c r="B9" s="243" t="s">
        <v>287</v>
      </c>
      <c r="C9" s="243" t="s">
        <v>288</v>
      </c>
    </row>
    <row r="10" spans="1:3" ht="15.6" x14ac:dyDescent="0.3">
      <c r="A10" s="242">
        <f t="shared" si="0"/>
        <v>9</v>
      </c>
      <c r="B10" s="243" t="s">
        <v>289</v>
      </c>
      <c r="C10" s="243" t="s">
        <v>318</v>
      </c>
    </row>
    <row r="11" spans="1:3" ht="187.2" x14ac:dyDescent="0.3">
      <c r="A11" s="242">
        <f t="shared" si="0"/>
        <v>10</v>
      </c>
      <c r="B11" s="243" t="s">
        <v>291</v>
      </c>
      <c r="C11" s="262" t="s">
        <v>319</v>
      </c>
    </row>
    <row r="12" spans="1:3" ht="15.6" x14ac:dyDescent="0.3">
      <c r="A12" s="242">
        <f t="shared" si="0"/>
        <v>11</v>
      </c>
      <c r="B12" s="243" t="s">
        <v>293</v>
      </c>
      <c r="C12" s="261" t="s">
        <v>121</v>
      </c>
    </row>
    <row r="13" spans="1:3" ht="15.6" x14ac:dyDescent="0.3">
      <c r="A13" s="242">
        <f t="shared" si="0"/>
        <v>12</v>
      </c>
      <c r="B13" s="243" t="s">
        <v>294</v>
      </c>
      <c r="C13" s="243" t="s">
        <v>295</v>
      </c>
    </row>
    <row r="14" spans="1:3" ht="15.6" x14ac:dyDescent="0.3">
      <c r="A14" s="242">
        <f t="shared" si="0"/>
        <v>13</v>
      </c>
      <c r="B14" s="243" t="s">
        <v>296</v>
      </c>
      <c r="C14" s="263"/>
    </row>
    <row r="15" spans="1:3" ht="15.6" x14ac:dyDescent="0.3">
      <c r="A15" s="242">
        <f t="shared" si="0"/>
        <v>14</v>
      </c>
      <c r="B15" s="243" t="s">
        <v>297</v>
      </c>
      <c r="C15" s="264" t="s">
        <v>320</v>
      </c>
    </row>
    <row r="16" spans="1:3" ht="15.6" x14ac:dyDescent="0.3">
      <c r="A16" s="242">
        <f t="shared" si="0"/>
        <v>15</v>
      </c>
      <c r="B16" s="243" t="s">
        <v>299</v>
      </c>
      <c r="C16" s="263"/>
    </row>
    <row r="17" spans="1:3" ht="15.6" x14ac:dyDescent="0.3">
      <c r="A17" s="242">
        <f t="shared" si="0"/>
        <v>16</v>
      </c>
      <c r="B17" s="243" t="s">
        <v>300</v>
      </c>
      <c r="C17" s="243"/>
    </row>
    <row r="18" spans="1:3" ht="15.6" x14ac:dyDescent="0.3">
      <c r="A18" s="242">
        <f>A17+1</f>
        <v>17</v>
      </c>
      <c r="B18" s="243" t="s">
        <v>301</v>
      </c>
      <c r="C18" s="263"/>
    </row>
    <row r="19" spans="1:3" ht="15.6" x14ac:dyDescent="0.3">
      <c r="A19" s="242">
        <f t="shared" si="0"/>
        <v>18</v>
      </c>
      <c r="B19" s="243" t="s">
        <v>302</v>
      </c>
      <c r="C19" s="24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zoomScale="75" zoomScaleNormal="75" workbookViewId="0">
      <selection activeCell="C32" sqref="C32"/>
    </sheetView>
  </sheetViews>
  <sheetFormatPr defaultColWidth="9.109375" defaultRowHeight="15.6" x14ac:dyDescent="0.3"/>
  <cols>
    <col min="1" max="1" width="9.109375" style="251"/>
    <col min="2" max="2" width="41.6640625" style="241" customWidth="1"/>
    <col min="3" max="3" width="75.44140625" style="241" customWidth="1"/>
    <col min="4" max="4" width="36.88671875" style="251" customWidth="1"/>
    <col min="5" max="16384" width="9.109375" style="241"/>
  </cols>
  <sheetData>
    <row r="1" spans="1:3" s="241" customFormat="1" x14ac:dyDescent="0.3">
      <c r="A1" s="239" t="s">
        <v>279</v>
      </c>
      <c r="B1" s="240" t="s">
        <v>280</v>
      </c>
      <c r="C1" s="240" t="s">
        <v>281</v>
      </c>
    </row>
    <row r="2" spans="1:3" s="241" customFormat="1" x14ac:dyDescent="0.3">
      <c r="A2" s="242">
        <v>1</v>
      </c>
      <c r="B2" s="243" t="s">
        <v>263</v>
      </c>
      <c r="C2" s="244" t="s">
        <v>282</v>
      </c>
    </row>
    <row r="3" spans="1:3" s="241" customFormat="1" ht="46.8" x14ac:dyDescent="0.3">
      <c r="A3" s="242">
        <f>A2+1</f>
        <v>2</v>
      </c>
      <c r="B3" s="243" t="s">
        <v>264</v>
      </c>
      <c r="C3" s="245" t="s">
        <v>283</v>
      </c>
    </row>
    <row r="4" spans="1:3" s="241" customFormat="1" x14ac:dyDescent="0.3">
      <c r="A4" s="242">
        <f t="shared" ref="A4:A19" si="0">A3+1</f>
        <v>3</v>
      </c>
      <c r="B4" s="243" t="s">
        <v>116</v>
      </c>
      <c r="C4" s="244" t="s">
        <v>190</v>
      </c>
    </row>
    <row r="5" spans="1:3" s="241" customFormat="1" x14ac:dyDescent="0.3">
      <c r="A5" s="242">
        <f t="shared" si="0"/>
        <v>4</v>
      </c>
      <c r="B5" s="243" t="s">
        <v>284</v>
      </c>
      <c r="C5" s="244" t="s">
        <v>285</v>
      </c>
    </row>
    <row r="6" spans="1:3" s="241" customFormat="1" x14ac:dyDescent="0.3">
      <c r="A6" s="242">
        <f t="shared" si="0"/>
        <v>5</v>
      </c>
      <c r="B6" s="243" t="s">
        <v>140</v>
      </c>
      <c r="C6" s="246">
        <v>0</v>
      </c>
    </row>
    <row r="7" spans="1:3" s="241" customFormat="1" x14ac:dyDescent="0.3">
      <c r="A7" s="242">
        <f t="shared" si="0"/>
        <v>6</v>
      </c>
      <c r="B7" s="243" t="s">
        <v>124</v>
      </c>
      <c r="C7" s="247" t="s">
        <v>286</v>
      </c>
    </row>
    <row r="8" spans="1:3" s="241" customFormat="1" x14ac:dyDescent="0.3">
      <c r="A8" s="242">
        <f t="shared" si="0"/>
        <v>7</v>
      </c>
      <c r="B8" s="243" t="s">
        <v>123</v>
      </c>
      <c r="C8" s="247" t="s">
        <v>286</v>
      </c>
    </row>
    <row r="9" spans="1:3" s="241" customFormat="1" x14ac:dyDescent="0.3">
      <c r="A9" s="242">
        <f t="shared" si="0"/>
        <v>8</v>
      </c>
      <c r="B9" s="243" t="s">
        <v>287</v>
      </c>
      <c r="C9" s="244" t="s">
        <v>288</v>
      </c>
    </row>
    <row r="10" spans="1:3" s="241" customFormat="1" x14ac:dyDescent="0.3">
      <c r="A10" s="242">
        <f t="shared" si="0"/>
        <v>9</v>
      </c>
      <c r="B10" s="243" t="s">
        <v>289</v>
      </c>
      <c r="C10" s="244" t="s">
        <v>290</v>
      </c>
    </row>
    <row r="11" spans="1:3" s="241" customFormat="1" ht="31.2" x14ac:dyDescent="0.3">
      <c r="A11" s="242">
        <f t="shared" si="0"/>
        <v>10</v>
      </c>
      <c r="B11" s="243" t="s">
        <v>291</v>
      </c>
      <c r="C11" s="248" t="s">
        <v>292</v>
      </c>
    </row>
    <row r="12" spans="1:3" s="241" customFormat="1" x14ac:dyDescent="0.3">
      <c r="A12" s="242">
        <f t="shared" si="0"/>
        <v>11</v>
      </c>
      <c r="B12" s="243" t="s">
        <v>293</v>
      </c>
      <c r="C12" s="247" t="s">
        <v>121</v>
      </c>
    </row>
    <row r="13" spans="1:3" s="241" customFormat="1" x14ac:dyDescent="0.3">
      <c r="A13" s="242">
        <f t="shared" si="0"/>
        <v>12</v>
      </c>
      <c r="B13" s="243" t="s">
        <v>294</v>
      </c>
      <c r="C13" s="244" t="s">
        <v>295</v>
      </c>
    </row>
    <row r="14" spans="1:3" s="241" customFormat="1" x14ac:dyDescent="0.3">
      <c r="A14" s="242">
        <f t="shared" si="0"/>
        <v>13</v>
      </c>
      <c r="B14" s="243" t="s">
        <v>296</v>
      </c>
      <c r="C14" s="249"/>
    </row>
    <row r="15" spans="1:3" s="241" customFormat="1" ht="31.2" x14ac:dyDescent="0.3">
      <c r="A15" s="242">
        <f t="shared" si="0"/>
        <v>14</v>
      </c>
      <c r="B15" s="243" t="s">
        <v>297</v>
      </c>
      <c r="C15" s="250" t="s">
        <v>298</v>
      </c>
    </row>
    <row r="16" spans="1:3" s="241" customFormat="1" x14ac:dyDescent="0.3">
      <c r="A16" s="242">
        <f t="shared" si="0"/>
        <v>15</v>
      </c>
      <c r="B16" s="243" t="s">
        <v>299</v>
      </c>
      <c r="C16" s="249"/>
    </row>
    <row r="17" spans="1:17" x14ac:dyDescent="0.3">
      <c r="A17" s="242">
        <f t="shared" si="0"/>
        <v>16</v>
      </c>
      <c r="B17" s="243" t="s">
        <v>300</v>
      </c>
      <c r="C17" s="244"/>
    </row>
    <row r="18" spans="1:17" x14ac:dyDescent="0.3">
      <c r="A18" s="242">
        <f>A17+1</f>
        <v>17</v>
      </c>
      <c r="B18" s="243" t="s">
        <v>301</v>
      </c>
      <c r="C18" s="249"/>
      <c r="M18" s="252"/>
      <c r="N18" s="252"/>
      <c r="O18" s="252"/>
      <c r="P18" s="252"/>
      <c r="Q18" s="252"/>
    </row>
    <row r="19" spans="1:17" x14ac:dyDescent="0.3">
      <c r="A19" s="242">
        <f t="shared" si="0"/>
        <v>18</v>
      </c>
      <c r="B19" s="243" t="s">
        <v>302</v>
      </c>
      <c r="C19" s="2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328FB-344B-49E6-80F0-5AD1B8E393BF}">
  <ds:schemaRefs>
    <ds:schemaRef ds:uri="http://schemas.microsoft.com/sharepoint/v3/contenttype/forms"/>
  </ds:schemaRefs>
</ds:datastoreItem>
</file>

<file path=customXml/itemProps3.xml><?xml version="1.0" encoding="utf-8"?>
<ds:datastoreItem xmlns:ds="http://schemas.openxmlformats.org/officeDocument/2006/customXml" ds:itemID="{1750B916-2488-43D2-8BF8-930DBC63F1D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7e1cde7d-1d3d-42a6-b142-3e8b75033348"/>
    <ds:schemaRef ds:uri="http://schemas.microsoft.com/office/infopath/2007/PartnerControls"/>
    <ds:schemaRef ds:uri="d2426d7b-0fc7-434c-bfb8-842f1e3498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2PO 2.1.</vt:lpstr>
      <vt:lpstr>2PO 2.1 (e)</vt:lpstr>
      <vt:lpstr>2PO 2.1 (eng)</vt:lpstr>
      <vt:lpstr>2PO 2.2 (eng)</vt:lpstr>
      <vt:lpstr>2PO 2.3 (eng)</vt:lpstr>
      <vt:lpstr>F Specific output 2.1.1 (1)</vt:lpstr>
      <vt:lpstr>F Specific output 2.1.3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2025-11-05T12:02:38Z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