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S:\24_vp_dep\bendras\10. Projektų administravimas 2014-2020\Stebėsenos rodikliai\2021-2027\VP keitimai\6. Vidurio peržiūra (MRT II)\SADM\"/>
    </mc:Choice>
  </mc:AlternateContent>
  <xr:revisionPtr revIDLastSave="0" documentId="13_ncr:1_{7C078B34-E253-4413-BF6E-22F7B7DE0466}" xr6:coauthVersionLast="47" xr6:coauthVersionMax="47" xr10:uidLastSave="{00000000-0000-0000-0000-000000000000}"/>
  <bookViews>
    <workbookView xWindow="-108" yWindow="-108" windowWidth="23256" windowHeight="12456" xr2:uid="{00000000-000D-0000-FFFF-FFFF00000000}"/>
  </bookViews>
  <sheets>
    <sheet name="4.1." sheetId="51" r:id="rId1"/>
    <sheet name="F Special result 4.1.2 (1)" sheetId="35" r:id="rId2"/>
    <sheet name="F Special result 4.1.3 (1)" sheetId="47" r:id="rId3"/>
    <sheet name="F Special result 4.1.4 (1)" sheetId="46" r:id="rId4"/>
    <sheet name="F Special output 4.1.5 (1)" sheetId="39" r:id="rId5"/>
    <sheet name="Special result 4.1.5 (1)" sheetId="36" r:id="rId6"/>
    <sheet name="F Special output 4.1.6 (1)" sheetId="43" r:id="rId7"/>
    <sheet name="Special result 4.1.6 (1)" sheetId="44" r:id="rId8"/>
    <sheet name="Lapas1" sheetId="5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51" l="1"/>
  <c r="E46" i="51"/>
  <c r="E44" i="51"/>
  <c r="E42" i="51"/>
  <c r="E40" i="51"/>
  <c r="E38" i="51"/>
  <c r="E36" i="51"/>
  <c r="E34" i="51"/>
  <c r="E31" i="51"/>
  <c r="E28" i="51"/>
  <c r="E22" i="51"/>
  <c r="E17" i="51"/>
  <c r="E11" i="51"/>
  <c r="E6" i="51"/>
  <c r="P19" i="51"/>
  <c r="M21" i="51"/>
  <c r="M20" i="51"/>
  <c r="M19" i="51"/>
  <c r="P18" i="51"/>
  <c r="P21" i="51" s="1"/>
  <c r="M9" i="51"/>
  <c r="M10" i="51"/>
  <c r="P7" i="51"/>
  <c r="P9" i="51" s="1"/>
  <c r="M8" i="51"/>
  <c r="P8" i="51"/>
  <c r="C17" i="51"/>
  <c r="C6" i="51"/>
  <c r="P10" i="51" l="1"/>
  <c r="P20" i="51"/>
  <c r="D74" i="51"/>
  <c r="D72" i="51"/>
  <c r="D75" i="51"/>
  <c r="I86" i="51"/>
  <c r="D86" i="51"/>
  <c r="C86" i="51"/>
  <c r="B86" i="51"/>
  <c r="A86" i="51"/>
  <c r="I85" i="51"/>
  <c r="D85" i="51"/>
  <c r="C85" i="51"/>
  <c r="B85" i="51"/>
  <c r="A85" i="51"/>
  <c r="I84" i="51"/>
  <c r="D84" i="51"/>
  <c r="C84" i="51"/>
  <c r="B84" i="51"/>
  <c r="A84" i="51"/>
  <c r="I83" i="51"/>
  <c r="D83" i="51"/>
  <c r="C83" i="51"/>
  <c r="B83" i="51"/>
  <c r="A83" i="51"/>
  <c r="I82" i="51"/>
  <c r="D82" i="51"/>
  <c r="C82" i="51"/>
  <c r="B82" i="51"/>
  <c r="A82" i="51"/>
  <c r="I81" i="51"/>
  <c r="D81" i="51"/>
  <c r="C81" i="51"/>
  <c r="B81" i="51"/>
  <c r="A81" i="51"/>
  <c r="I80" i="51"/>
  <c r="D80" i="51"/>
  <c r="C80" i="51"/>
  <c r="B80" i="51"/>
  <c r="A80" i="51"/>
  <c r="I79" i="51"/>
  <c r="D79" i="51"/>
  <c r="C79" i="51"/>
  <c r="B79" i="51"/>
  <c r="A79" i="51"/>
  <c r="H78" i="51"/>
  <c r="G78" i="51"/>
  <c r="D78" i="51"/>
  <c r="C78" i="51"/>
  <c r="B78" i="51"/>
  <c r="A78" i="51"/>
  <c r="I77" i="51"/>
  <c r="H77" i="51"/>
  <c r="G77" i="51"/>
  <c r="D77" i="51"/>
  <c r="C77" i="51"/>
  <c r="B77" i="51"/>
  <c r="A77" i="51"/>
  <c r="H76" i="51"/>
  <c r="G76" i="51"/>
  <c r="D76" i="51"/>
  <c r="C76" i="51"/>
  <c r="B76" i="51"/>
  <c r="A76" i="51"/>
  <c r="H75" i="51"/>
  <c r="G75" i="51"/>
  <c r="C75" i="51"/>
  <c r="B75" i="51"/>
  <c r="A75" i="51"/>
  <c r="H74" i="51"/>
  <c r="G74" i="51"/>
  <c r="C74" i="51"/>
  <c r="B74" i="51"/>
  <c r="A74" i="51"/>
  <c r="H73" i="51"/>
  <c r="G73" i="51"/>
  <c r="D73" i="51"/>
  <c r="C73" i="51"/>
  <c r="B73" i="51"/>
  <c r="A73" i="51"/>
  <c r="H72" i="51"/>
  <c r="G72" i="51"/>
  <c r="C72" i="51"/>
  <c r="B72" i="51"/>
  <c r="A72" i="51"/>
  <c r="I71" i="51"/>
  <c r="H71" i="51"/>
  <c r="G71" i="51"/>
  <c r="D71" i="51"/>
  <c r="C71" i="51"/>
  <c r="B71" i="51"/>
  <c r="A71" i="51"/>
  <c r="I70" i="51"/>
  <c r="C70" i="51"/>
  <c r="B70" i="51"/>
  <c r="A70" i="51"/>
  <c r="I69" i="51"/>
  <c r="C69" i="51"/>
  <c r="B69" i="51"/>
  <c r="A69" i="51"/>
  <c r="I68" i="51"/>
  <c r="C68" i="51"/>
  <c r="B68" i="51"/>
  <c r="A68" i="51"/>
  <c r="I67" i="51"/>
  <c r="C67" i="51"/>
  <c r="B67" i="51"/>
  <c r="A67" i="51"/>
  <c r="I66" i="51"/>
  <c r="C66" i="51"/>
  <c r="B66" i="51"/>
  <c r="A66" i="51"/>
  <c r="I65" i="51"/>
  <c r="C65" i="51"/>
  <c r="B65" i="51"/>
  <c r="A65" i="51"/>
  <c r="I64" i="51"/>
  <c r="C64" i="51"/>
  <c r="B64" i="51"/>
  <c r="A64" i="51"/>
  <c r="I63" i="51"/>
  <c r="C63" i="51"/>
  <c r="B63" i="51"/>
  <c r="A63" i="51"/>
  <c r="I62" i="51"/>
  <c r="C62" i="51"/>
  <c r="B62" i="51"/>
  <c r="A62" i="51"/>
  <c r="I61" i="51"/>
  <c r="C61" i="51"/>
  <c r="B61" i="51"/>
  <c r="A61" i="51"/>
  <c r="I60" i="51"/>
  <c r="C60" i="51"/>
  <c r="B60" i="51"/>
  <c r="A60" i="51"/>
  <c r="I59" i="51"/>
  <c r="C59" i="51"/>
  <c r="B59" i="51"/>
  <c r="A59" i="51"/>
  <c r="C58" i="51"/>
  <c r="B58" i="51"/>
  <c r="A58" i="51"/>
  <c r="C57" i="51"/>
  <c r="B57" i="51"/>
  <c r="A57" i="51"/>
  <c r="C56" i="51"/>
  <c r="B56" i="51"/>
  <c r="A56" i="51"/>
  <c r="C55" i="51"/>
  <c r="B55" i="51"/>
  <c r="A55" i="51"/>
  <c r="M50" i="51"/>
  <c r="O48" i="51"/>
  <c r="H70" i="51" s="1"/>
  <c r="C48" i="51"/>
  <c r="O46" i="51"/>
  <c r="H69" i="51" s="1"/>
  <c r="C46" i="51"/>
  <c r="O44" i="51"/>
  <c r="H68" i="51" s="1"/>
  <c r="C44" i="51"/>
  <c r="O42" i="51"/>
  <c r="H67" i="51" s="1"/>
  <c r="C42" i="51"/>
  <c r="O40" i="51"/>
  <c r="H66" i="51" s="1"/>
  <c r="C40" i="51"/>
  <c r="O38" i="51"/>
  <c r="H65" i="51" s="1"/>
  <c r="C38" i="51"/>
  <c r="O36" i="51"/>
  <c r="H62" i="51" s="1"/>
  <c r="C36" i="51"/>
  <c r="O34" i="51"/>
  <c r="H61" i="51" s="1"/>
  <c r="C34" i="51"/>
  <c r="P33" i="51"/>
  <c r="I78" i="51" s="1"/>
  <c r="O31" i="51"/>
  <c r="H64" i="51" s="1"/>
  <c r="C31" i="51"/>
  <c r="O28" i="51"/>
  <c r="H63" i="51" s="1"/>
  <c r="C28" i="51"/>
  <c r="F28" i="51" s="1"/>
  <c r="G28" i="51" s="1"/>
  <c r="P27" i="51"/>
  <c r="P26" i="51"/>
  <c r="O24" i="51"/>
  <c r="H60" i="51" s="1"/>
  <c r="P23" i="51"/>
  <c r="P22" i="51" s="1"/>
  <c r="O22" i="51" s="1"/>
  <c r="H56" i="51" s="1"/>
  <c r="F22" i="51"/>
  <c r="G22" i="51" s="1"/>
  <c r="B17" i="51"/>
  <c r="P16" i="51"/>
  <c r="P15" i="51"/>
  <c r="O13" i="51"/>
  <c r="H59" i="51" s="1"/>
  <c r="P12" i="51"/>
  <c r="O12" i="51" s="1"/>
  <c r="F11" i="51"/>
  <c r="F6" i="51"/>
  <c r="G6" i="51" s="1"/>
  <c r="I74" i="51" l="1"/>
  <c r="O23" i="51"/>
  <c r="H58" i="51" s="1"/>
  <c r="P17" i="51"/>
  <c r="I72" i="51"/>
  <c r="C51" i="51"/>
  <c r="C50" i="51"/>
  <c r="I56" i="51"/>
  <c r="I57" i="51"/>
  <c r="I58" i="51"/>
  <c r="B11" i="51"/>
  <c r="D87" i="51"/>
  <c r="D88" i="51" s="1"/>
  <c r="P6" i="51"/>
  <c r="H57" i="51"/>
  <c r="B6" i="51"/>
  <c r="G11" i="51"/>
  <c r="F34" i="51"/>
  <c r="F17" i="51"/>
  <c r="B28" i="51"/>
  <c r="B22" i="51"/>
  <c r="B38" i="51"/>
  <c r="F38" i="51"/>
  <c r="G38" i="51" s="1"/>
  <c r="B31" i="51"/>
  <c r="B36" i="51"/>
  <c r="G36" i="51" s="1"/>
  <c r="B40" i="51"/>
  <c r="B44" i="51"/>
  <c r="B48" i="51"/>
  <c r="P11" i="51"/>
  <c r="O11" i="51" s="1"/>
  <c r="F46" i="51"/>
  <c r="I76" i="51" l="1"/>
  <c r="I55" i="51"/>
  <c r="I75" i="51"/>
  <c r="B46" i="51"/>
  <c r="G46" i="51" s="1"/>
  <c r="I73" i="51"/>
  <c r="F44" i="51"/>
  <c r="G44" i="51" s="1"/>
  <c r="F36" i="51"/>
  <c r="B34" i="51"/>
  <c r="E50" i="51"/>
  <c r="G34" i="51"/>
  <c r="B42" i="51"/>
  <c r="P50" i="51"/>
  <c r="H55" i="51"/>
  <c r="H87" i="51" s="1"/>
  <c r="O50" i="51"/>
  <c r="E51" i="51"/>
  <c r="F40" i="51"/>
  <c r="G40" i="51" s="1"/>
  <c r="G17" i="51"/>
  <c r="F48" i="51"/>
  <c r="G48" i="51" s="1"/>
  <c r="F42" i="51"/>
  <c r="G42" i="51" s="1"/>
  <c r="F31" i="51"/>
  <c r="G31" i="51" s="1"/>
  <c r="H88" i="51" l="1"/>
  <c r="G50" i="51"/>
  <c r="I87" i="51"/>
  <c r="J87" i="51" s="1"/>
  <c r="F51" i="51"/>
  <c r="G51" i="51"/>
  <c r="F50" i="51"/>
  <c r="A4" i="46" l="1"/>
  <c r="A5" i="46" s="1"/>
  <c r="A6" i="46" s="1"/>
  <c r="A7" i="46" s="1"/>
  <c r="A8" i="46" s="1"/>
  <c r="A9" i="46" s="1"/>
  <c r="A10" i="46" s="1"/>
  <c r="A11" i="46" s="1"/>
  <c r="A12" i="46" s="1"/>
  <c r="A13" i="46" s="1"/>
  <c r="A14" i="46" s="1"/>
  <c r="A15" i="46" s="1"/>
  <c r="A16" i="46" s="1"/>
  <c r="A17" i="46" s="1"/>
  <c r="A18" i="46" s="1"/>
  <c r="A19" i="46" s="1"/>
  <c r="A20" i="46" s="1"/>
  <c r="A4" i="47" l="1"/>
  <c r="A5" i="47" s="1"/>
  <c r="A6" i="47" s="1"/>
  <c r="A7" i="47" s="1"/>
  <c r="A8" i="47" s="1"/>
  <c r="A9" i="47" s="1"/>
  <c r="A10" i="47" s="1"/>
  <c r="A11" i="47" s="1"/>
  <c r="A12" i="47" s="1"/>
  <c r="A13" i="47" s="1"/>
  <c r="A14" i="47" s="1"/>
  <c r="A15" i="47" s="1"/>
  <c r="A16" i="47" s="1"/>
  <c r="A17" i="47" s="1"/>
  <c r="A18" i="47" s="1"/>
  <c r="A19" i="47" s="1"/>
  <c r="A20" i="47" s="1"/>
  <c r="A4" i="44"/>
  <c r="A5" i="44" s="1"/>
  <c r="A6" i="44" s="1"/>
  <c r="A7" i="44" s="1"/>
  <c r="A8" i="44" s="1"/>
  <c r="A9" i="44" s="1"/>
  <c r="A10" i="44" s="1"/>
  <c r="A11" i="44" s="1"/>
  <c r="A12" i="44" s="1"/>
  <c r="A13" i="44" s="1"/>
  <c r="A14" i="44" s="1"/>
  <c r="A15" i="44" s="1"/>
  <c r="A16" i="44" s="1"/>
  <c r="A17" i="44" s="1"/>
  <c r="A18" i="44" s="1"/>
  <c r="A19" i="44" s="1"/>
  <c r="A20" i="44" s="1"/>
  <c r="A4" i="43" l="1"/>
  <c r="A5" i="43" s="1"/>
  <c r="A6" i="43" s="1"/>
  <c r="A7" i="43" s="1"/>
  <c r="A8" i="43" s="1"/>
  <c r="A9" i="43" s="1"/>
  <c r="A10" i="43" s="1"/>
  <c r="A11" i="43" s="1"/>
  <c r="A12" i="43" s="1"/>
  <c r="A13" i="43" s="1"/>
  <c r="A14" i="43" s="1"/>
  <c r="A15" i="43" s="1"/>
  <c r="A16" i="43" s="1"/>
  <c r="A17" i="43" s="1"/>
  <c r="A18" i="43" s="1"/>
  <c r="A19" i="43" s="1"/>
  <c r="A20" i="43" s="1"/>
  <c r="A4" i="36" l="1"/>
  <c r="A5" i="36" s="1"/>
  <c r="A6" i="36" s="1"/>
  <c r="A7" i="36" s="1"/>
  <c r="A8" i="36" s="1"/>
  <c r="A9" i="36" s="1"/>
  <c r="A10" i="36" s="1"/>
  <c r="A11" i="36" s="1"/>
  <c r="A12" i="36" s="1"/>
  <c r="A13" i="36" s="1"/>
  <c r="A14" i="36" s="1"/>
  <c r="A15" i="36" s="1"/>
  <c r="A16" i="36" s="1"/>
  <c r="A17" i="36" s="1"/>
  <c r="A18" i="36" s="1"/>
  <c r="A19" i="36" s="1"/>
  <c r="A20" i="36" s="1"/>
  <c r="A4" i="39" l="1"/>
  <c r="A5" i="39" s="1"/>
  <c r="A6" i="39" s="1"/>
  <c r="A7" i="39" s="1"/>
  <c r="A8" i="39" s="1"/>
  <c r="A9" i="39" s="1"/>
  <c r="A10" i="39" s="1"/>
  <c r="A11" i="39" s="1"/>
  <c r="A12" i="39" s="1"/>
  <c r="A13" i="39" s="1"/>
  <c r="A14" i="39" s="1"/>
  <c r="A15" i="39" s="1"/>
  <c r="A16" i="39" s="1"/>
  <c r="A17" i="39" s="1"/>
  <c r="A18" i="39" s="1"/>
  <c r="A19" i="39" s="1"/>
  <c r="A20" i="39" s="1"/>
  <c r="A4" i="35" l="1"/>
  <c r="A5" i="35" s="1"/>
  <c r="A6" i="35" s="1"/>
  <c r="A7" i="35" s="1"/>
  <c r="A8" i="35" s="1"/>
  <c r="A9" i="35" s="1"/>
  <c r="A10" i="35" s="1"/>
  <c r="A11" i="35" s="1"/>
  <c r="A12" i="35" s="1"/>
  <c r="A13" i="35" s="1"/>
  <c r="A14" i="35" s="1"/>
  <c r="A15" i="35" s="1"/>
  <c r="A16" i="35" s="1"/>
  <c r="A17" i="35" s="1"/>
  <c r="A18" i="35" s="1"/>
  <c r="A19" i="35" s="1"/>
  <c r="A20" i="35" s="1"/>
</calcChain>
</file>

<file path=xl/sharedStrings.xml><?xml version="1.0" encoding="utf-8"?>
<sst xmlns="http://schemas.openxmlformats.org/spreadsheetml/2006/main" count="724" uniqueCount="219">
  <si>
    <t>Ministry of Social Security and Labour</t>
  </si>
  <si>
    <t>Action</t>
  </si>
  <si>
    <t>Total allocation at action level (indicative)</t>
  </si>
  <si>
    <t>EU Amount (EUR)</t>
  </si>
  <si>
    <t>Intervention field</t>
  </si>
  <si>
    <t>Indicator</t>
  </si>
  <si>
    <t>Category of region</t>
  </si>
  <si>
    <t>Fund</t>
  </si>
  <si>
    <t>M.U.</t>
  </si>
  <si>
    <t>Baseline</t>
  </si>
  <si>
    <t xml:space="preserve">Milestone 2024 </t>
  </si>
  <si>
    <t>Target 2029</t>
  </si>
  <si>
    <t>Data source</t>
  </si>
  <si>
    <t>Methodology for calculating the values for the indicator</t>
  </si>
  <si>
    <t>code and name</t>
  </si>
  <si>
    <t>co-financing rate (Eur.)</t>
  </si>
  <si>
    <t>Amount (EU+ national)(Eur.)</t>
  </si>
  <si>
    <t>Code</t>
  </si>
  <si>
    <t>Name</t>
  </si>
  <si>
    <t>value</t>
  </si>
  <si>
    <t>Year</t>
  </si>
  <si>
    <t>EECO01</t>
  </si>
  <si>
    <t>Capital region</t>
  </si>
  <si>
    <t>ESF+</t>
  </si>
  <si>
    <t>Number of persons</t>
  </si>
  <si>
    <t>n/a</t>
  </si>
  <si>
    <t xml:space="preserve">EECO1=EECO02
</t>
  </si>
  <si>
    <t>EECO02</t>
  </si>
  <si>
    <t>EECR03</t>
  </si>
  <si>
    <t>EECR04</t>
  </si>
  <si>
    <t>EECR05</t>
  </si>
  <si>
    <t>EECO1=EECO02</t>
  </si>
  <si>
    <t>EECO2=EECO07</t>
  </si>
  <si>
    <t>EECO07</t>
  </si>
  <si>
    <t>Midle-West Lithuania region</t>
  </si>
  <si>
    <t>EECO12</t>
  </si>
  <si>
    <t>Specific  result</t>
  </si>
  <si>
    <t>Specific result</t>
  </si>
  <si>
    <t>EECO08</t>
  </si>
  <si>
    <t>MWR</t>
  </si>
  <si>
    <t>Indicator code</t>
  </si>
  <si>
    <t>Indicator name</t>
  </si>
  <si>
    <t>Indicator M.U.</t>
  </si>
  <si>
    <t>Indicator baseline value</t>
  </si>
  <si>
    <t>Indicator baseline year</t>
  </si>
  <si>
    <t>Capital Region</t>
  </si>
  <si>
    <t>Mid-West Region</t>
  </si>
  <si>
    <t>percentage</t>
  </si>
  <si>
    <t>Row ID</t>
  </si>
  <si>
    <t>Field</t>
  </si>
  <si>
    <t>Indicator metadata</t>
  </si>
  <si>
    <t>R.S.</t>
  </si>
  <si>
    <t>Measurement unit</t>
  </si>
  <si>
    <t>Type of indicator</t>
  </si>
  <si>
    <t>Milestone 2024</t>
  </si>
  <si>
    <t>Policy objective</t>
  </si>
  <si>
    <t>Specific objective</t>
  </si>
  <si>
    <t>Definition and concepts</t>
  </si>
  <si>
    <t>Data collection</t>
  </si>
  <si>
    <t>Time measurement achieved</t>
  </si>
  <si>
    <t>Aggregation issues</t>
  </si>
  <si>
    <t>Reporting</t>
  </si>
  <si>
    <t>References</t>
  </si>
  <si>
    <t>No references</t>
  </si>
  <si>
    <t>Corresponding corporate indicator</t>
  </si>
  <si>
    <t>Notes</t>
  </si>
  <si>
    <t>Examples</t>
  </si>
  <si>
    <t>No examples</t>
  </si>
  <si>
    <t xml:space="preserve">Capital region – 90 
Mid-West region – 90
</t>
  </si>
  <si>
    <t>Not required, specific result indicator</t>
  </si>
  <si>
    <t>P.S.</t>
  </si>
  <si>
    <t xml:space="preserve">Capital region – 80 
Mid-West region – 80
</t>
  </si>
  <si>
    <t xml:space="preserve">Capital region – 30 
Mid-West region – 30
</t>
  </si>
  <si>
    <t>Reporting by specific objective Forecast for achieved values, cumulative to date (CPR Annex VII, Table 6A)</t>
  </si>
  <si>
    <t xml:space="preserve">Capital region – 95
Mid-West region – 95
</t>
  </si>
  <si>
    <t>Percentage</t>
  </si>
  <si>
    <t xml:space="preserve">Result </t>
  </si>
  <si>
    <t>Project data</t>
  </si>
  <si>
    <t>Data of the Authority of Audit, Accounting, Property Valuation and Insolvency Management under the Ministry of Finance of the Republic of Lithuania</t>
  </si>
  <si>
    <t>Survey data</t>
  </si>
  <si>
    <t>Percentage of persons 55 years of age and above who have acquired competences after leaving</t>
  </si>
  <si>
    <t>Organisations and enterprises that participated in the activities aimed at development of social dialogue</t>
  </si>
  <si>
    <t>Persons who participated in the activities aimed at increasing risk assessment and monitoring (control) competences</t>
  </si>
  <si>
    <t>Percentage of persons who acquired or improved their occupational risk assessment and monitoring (control) competences after leaving</t>
  </si>
  <si>
    <t>persons</t>
  </si>
  <si>
    <t>Persons</t>
  </si>
  <si>
    <t xml:space="preserve">The indicator value has been determined in accordance with the experience of the period 2014-2020. It is planned that at least 80 percent of the supported companies (or 74*0.8=59.2 ~59 companies) will successfully operate after 12 months from the end of grant of the support. During the period of 2014–2020, the result indicator of a similar measure was 70 percent; currently, the achievement exceeds 90 percent; nevertheless, the indicator value is calculated after 6 months; furthermore, the measure is still implemented; therefore, taking into account the impact of the pandemic, we believe that the objective is rather ambitious. 
</t>
  </si>
  <si>
    <t xml:space="preserve">The indicator value has been determined in accordance with the experience of the period 2014-2020. It is planned that at least 80 percent of the supported companies (or 74*0.8=59.2 ~59 companies) will successfully operate after 12 months from the end of grant of the support. During the period of 2014–2020, the result indicator of a similar measure was 70 percent; currently, the achievement exceeds 90 percent; nevertheless, the indicator value is calculated after 6 months; furthermore, the measure is still implemented; therefore, taking into account the impact of the pandemic, we believe that the objective is rather ambitious. </t>
  </si>
  <si>
    <t>Result</t>
  </si>
  <si>
    <t>Unit</t>
  </si>
  <si>
    <t>4. A more social Lithuania</t>
  </si>
  <si>
    <t>SO 4.1. Improving access to employment of all jobseekers, in particular youth and long-term unemployed, and of inactive people, promoting self-employment and the social economy</t>
  </si>
  <si>
    <t>The indicator is deemed to be achieved when a person receives a certificate of vocational rehabilitation after leaving</t>
  </si>
  <si>
    <t>The persons who successfully completed a vocational rehabilitation programme after leaving</t>
  </si>
  <si>
    <t>Related to the output indicator EECO12 “Participants with disabilities”</t>
  </si>
  <si>
    <t>Percent</t>
  </si>
  <si>
    <t>4.1. Improving access to employment of all jobseekers, in particular youth and long-term unemployed, and of inactive people, promoting self-employment and the social economy</t>
  </si>
  <si>
    <t>The indicator is deemed to be achieved when a person 55 years of age and above receives a certificate and/or another document evidencing that the person has acquired a competence not later than within 4 weeks (28 calendar days) from participation in the activities.</t>
  </si>
  <si>
    <t>Percentage of persons 55 years of age and above who acquired competences after leaving as compared with all persons 55 years of age and above who participated in the activities is counted. The same person who participated in several activities under the same project is counted once.</t>
  </si>
  <si>
    <t>Related to the output indicator EECO08 “Persons 55 years of age and above”</t>
  </si>
  <si>
    <t>Output</t>
  </si>
  <si>
    <r>
      <rPr>
        <b/>
        <sz val="10"/>
        <rFont val="Calibri"/>
        <family val="2"/>
        <scheme val="minor"/>
      </rPr>
      <t>Organisation</t>
    </r>
    <r>
      <rPr>
        <sz val="10"/>
        <rFont val="Calibri"/>
        <family val="2"/>
        <charset val="186"/>
        <scheme val="minor"/>
      </rPr>
      <t xml:space="preserve"> means a union of people or public groups with an organised structure (e.g. institution, body, non-governmental organisation etc.).
</t>
    </r>
    <r>
      <rPr>
        <b/>
        <sz val="10"/>
        <rFont val="Calibri"/>
        <family val="2"/>
        <scheme val="minor"/>
      </rPr>
      <t>Enterprise</t>
    </r>
    <r>
      <rPr>
        <sz val="10"/>
        <rFont val="Calibri"/>
        <family val="2"/>
        <charset val="186"/>
        <scheme val="minor"/>
      </rPr>
      <t xml:space="preserve"> means a legal person engaged in economic activities (source: Republic of Lithuania Law on Development of Small and Medium-Sized Business).
</t>
    </r>
    <r>
      <rPr>
        <b/>
        <sz val="10"/>
        <rFont val="Calibri"/>
        <family val="2"/>
        <scheme val="minor"/>
      </rPr>
      <t>Social dialogue</t>
    </r>
    <r>
      <rPr>
        <sz val="10"/>
        <rFont val="Calibri"/>
        <family val="2"/>
        <charset val="186"/>
        <scheme val="minor"/>
      </rPr>
      <t xml:space="preserve"> means all types of negotiation, consultation or simply exchange of information between, or among, representatives of employers and workers (in case of a bilateral social dialogue) and the Government, municipal council (in case of a tripartite social dialogue), on issues of common interest relating to economic and social policy (source: https://www.ilo.org).
</t>
    </r>
    <r>
      <rPr>
        <b/>
        <sz val="10"/>
        <rFont val="Calibri"/>
        <family val="2"/>
        <scheme val="minor"/>
      </rPr>
      <t xml:space="preserve">Activity </t>
    </r>
    <r>
      <rPr>
        <sz val="10"/>
        <rFont val="Calibri"/>
        <family val="2"/>
        <scheme val="minor"/>
      </rPr>
      <t xml:space="preserve">means  </t>
    </r>
    <r>
      <rPr>
        <sz val="10"/>
        <rFont val="Calibri"/>
        <family val="2"/>
        <charset val="186"/>
        <scheme val="minor"/>
      </rPr>
      <t xml:space="preserve">activity under the project financed by the European Social Fund Plus.
</t>
    </r>
  </si>
  <si>
    <t>The indicator is deemed to be achieved when an organisation or enterprise starts to participate in the activity of any project aimed at development of social dialogue and is included in the list of participants of the project for the first time.</t>
  </si>
  <si>
    <t>The organisations and enterprises which participated in the activities of a project aimed at development of social dialogue are summed up. The same organisation or enterprise which participated in different or continuous activities in implementation of the same project is counted once. Duplications are eliminated at the project level.</t>
  </si>
  <si>
    <t>Related to the result indicator “Percentage of organisations and enterprises in which a change has occurred within 6 months from participation in the activities aimed at development of social dialogue”</t>
  </si>
  <si>
    <t>The indicator is deemed to be achieved when an organisation or enterprise declares (provides documents or information supporting a change) that a change has occurred in the organisation or enterprise within 6 months from the end of participation in the activities</t>
  </si>
  <si>
    <t>The percentage of organisations and enterprises in which a change has occurred within six months from the end of participation in the activities aimed at development of social dialogue as compared with the total number of organisations and enterprises which participated in the activities aimed at development of social dialogue. The total number is determined on the basis of the achieved value of the indicator “Organisations and enterprises that participated in the activities aimed at development of social dialogue”</t>
  </si>
  <si>
    <t>Related to the output indicator “Organisations and enterprises that participated in the activities aimed at development of social dialogue”</t>
  </si>
  <si>
    <r>
      <rPr>
        <b/>
        <sz val="10"/>
        <rFont val="Calibri"/>
        <family val="2"/>
        <scheme val="minor"/>
      </rPr>
      <t>Activity</t>
    </r>
    <r>
      <rPr>
        <sz val="10"/>
        <rFont val="Calibri"/>
        <family val="2"/>
        <charset val="186"/>
        <scheme val="minor"/>
      </rPr>
      <t xml:space="preserve"> means activity under the project financed by the European Social Fund Plus.
</t>
    </r>
    <r>
      <rPr>
        <b/>
        <sz val="10"/>
        <rFont val="Calibri"/>
        <family val="2"/>
        <scheme val="minor"/>
      </rPr>
      <t>Competence</t>
    </r>
    <r>
      <rPr>
        <sz val="10"/>
        <rFont val="Calibri"/>
        <family val="2"/>
        <charset val="186"/>
        <scheme val="minor"/>
      </rPr>
      <t xml:space="preserve"> means capability to perform a certain activity on the basis of the entirety of acquired knowledge, abilities, skills and values (source: Republic of Lithuania Law on Education).
</t>
    </r>
    <r>
      <rPr>
        <b/>
        <sz val="10"/>
        <rFont val="Calibri"/>
        <family val="2"/>
        <scheme val="minor"/>
      </rPr>
      <t xml:space="preserve">Occupational risk assessment and monitoring (control) </t>
    </r>
    <r>
      <rPr>
        <sz val="10"/>
        <rFont val="Calibri"/>
        <family val="2"/>
        <charset val="186"/>
        <scheme val="minor"/>
      </rPr>
      <t xml:space="preserve">includes identification of the risk factors in the enterprise, identification of the places in which employees may be affected by the risk factors, investigation of the risk, drawing up of the plan for risk elimination or mitigation measures and supervision of its implementation. Vocational risk assessment is carried out with a view to identifying and assessing the existing or possible risk at work, eliminating it and, if it cannot be eliminated, introducing preventive measures so that the employees were protected against the risk or it was mitigated as much as possible. The risk is assessed by organising and commencing activities, designing and equipping workplaces, designing or changing technological processes, selecting or replacing devices, work equipment or dangerous substances, recruiting personnel of the enterprise, changing the structure of the enterprise or restructuring the enterprise.
</t>
    </r>
  </si>
  <si>
    <t xml:space="preserve">Project data </t>
  </si>
  <si>
    <t>Related to the result indicator “Percentage of persons who acquired or improved their occupational risk assessment and monitoring (control) competences after leaving”</t>
  </si>
  <si>
    <r>
      <rPr>
        <b/>
        <sz val="10"/>
        <color theme="1"/>
        <rFont val="Calibri"/>
        <family val="2"/>
        <scheme val="minor"/>
      </rPr>
      <t>Activity</t>
    </r>
    <r>
      <rPr>
        <sz val="10"/>
        <color theme="1"/>
        <rFont val="Calibri"/>
        <family val="2"/>
        <charset val="186"/>
        <scheme val="minor"/>
      </rPr>
      <t xml:space="preserve"> means activity under the project financed by the European Social Fund Plus.
</t>
    </r>
    <r>
      <rPr>
        <b/>
        <sz val="10"/>
        <color theme="1"/>
        <rFont val="Calibri"/>
        <family val="2"/>
        <scheme val="minor"/>
      </rPr>
      <t>Competence</t>
    </r>
    <r>
      <rPr>
        <sz val="10"/>
        <color theme="1"/>
        <rFont val="Calibri"/>
        <family val="2"/>
        <charset val="186"/>
        <scheme val="minor"/>
      </rPr>
      <t xml:space="preserve"> means capability to perform a certain activity on the basis of the entirety of acquired knowledge, abilities, skills and values (source: Republic of Lithuania Law on Education).
</t>
    </r>
    <r>
      <rPr>
        <b/>
        <sz val="10"/>
        <color theme="1"/>
        <rFont val="Calibri"/>
        <family val="2"/>
        <scheme val="minor"/>
      </rPr>
      <t xml:space="preserve">Occupational risk assessment and monitoring (control) </t>
    </r>
    <r>
      <rPr>
        <sz val="10"/>
        <color theme="1"/>
        <rFont val="Calibri"/>
        <family val="2"/>
        <charset val="186"/>
        <scheme val="minor"/>
      </rPr>
      <t xml:space="preserve">includes identification of the risk factors in the enterprise, identification of the places in which employees may be affected by the risk factors, investigation of the risk, drawing up of the plan for risk elimination or mitigation measures and supervision of its implementation. Vocational risk assessment is carried out with a view to identifying and assessing the existing or possible risk at work, eliminating it and, if it cannot be eliminated, introducing preventive measures so that the employees were protected against the risk or it was mitigated as much as possible. The risk is assessed by organising and commencing activities, designing and equipping workplaces, designing or changing technological processes, selecting or replacing devices, work equipment or dangerous substances, recruiting personnel of the enterprise, changing the structure of the enterprise or restructuring the enterprise.
</t>
    </r>
  </si>
  <si>
    <t>The indicator is deemed to be achieved when a participant of the project receives a certificate and/or another document evidencing that he/she has acquired a competence through participation in the activities not later than within 4 weeks (28 calendar days) from participation in the activities.</t>
  </si>
  <si>
    <t>Percentage of persons who acquired or improved their occupational risk assessment and monitoring (control) competences after leaving as compared with all persons who participated in the activities aimed at increasing the risk assessment and monitoring (control) competences is counted. The same person who participated in several activities under the same project is counted once.</t>
  </si>
  <si>
    <t>Related to the output indicator “Persons who participated in the activities aimed at increasing risk assessment and monitoring (control) competences”</t>
  </si>
  <si>
    <t>Data of the Authority of Audit, Accounting, Property Valuation and Insolvency Management Service under the Ministry of Finance of the Republic of Lithuania</t>
  </si>
  <si>
    <t>Not required, specific output indicator</t>
  </si>
  <si>
    <t>The persons who participated in the activities aimed at increasing risk assessment and monitoring (control) competences are summed up. The same person who participated in several activities under the same project is counted once. Duplications are eliminated at the project level.</t>
  </si>
  <si>
    <t xml:space="preserve">The indicator is deemed to be achieved when a person participates in the activities aimed  at increasing risk assessment and monitoring (control) competences and he/she is included in the list of participants of the project for the first time. </t>
  </si>
  <si>
    <t>Total number of participants (Bendras dalyvių skaičius)</t>
  </si>
  <si>
    <t>Participants with disabilities (Dalyviai, turintys negalią)</t>
  </si>
  <si>
    <t>Organisations and enterprises that participated in the activities aimed at development of social dialogue (Organizacijos ir įmonės, dalyvavusios veiklose, skirtose vystyti socialinį dialogą)</t>
  </si>
  <si>
    <t>4.1.1. To facilitate access to employment and return to the labour market for the disabled (Didinti bedarbių galimybes įsidarbinti ar grįžti į darbo rinką)</t>
  </si>
  <si>
    <t>4.1.2. To promote employment of the disabled (Skatinti neįgaliųjų užimtumą)</t>
  </si>
  <si>
    <t>4.1.3. To increase the potential of elderly people to participate in the labour market (Didinti vyresnio amžiaus asmenų potencialą dalyvauti darbo rinkoje)</t>
  </si>
  <si>
    <t>4.1.6. To create a safer and better adapted working environment (Kurti saugesnę ir geriau pritaikytą darbo aplinką)</t>
  </si>
  <si>
    <r>
      <rPr>
        <b/>
        <sz val="11"/>
        <rFont val="Calibri"/>
        <family val="2"/>
        <charset val="186"/>
        <scheme val="minor"/>
      </rPr>
      <t>134</t>
    </r>
    <r>
      <rPr>
        <sz val="11"/>
        <rFont val="Calibri"/>
        <family val="2"/>
        <charset val="186"/>
        <scheme val="minor"/>
      </rPr>
      <t xml:space="preserve"> Measures to improve access to employment (Priemonės, kuriomis gerinamos galimybės įsidarbinti)</t>
    </r>
  </si>
  <si>
    <r>
      <rPr>
        <b/>
        <sz val="11"/>
        <rFont val="Calibri"/>
        <family val="2"/>
        <charset val="186"/>
        <scheme val="minor"/>
      </rPr>
      <t>136</t>
    </r>
    <r>
      <rPr>
        <sz val="11"/>
        <rFont val="Calibri"/>
        <family val="2"/>
        <charset val="186"/>
        <scheme val="minor"/>
      </rPr>
      <t xml:space="preserve"> Specific support for youth employment and socio economic integration of young people (Specialioji parama jaunimo užimtumui ir jaunimo socioekonominei integracijai)</t>
    </r>
  </si>
  <si>
    <r>
      <t xml:space="preserve">134 </t>
    </r>
    <r>
      <rPr>
        <sz val="11"/>
        <rFont val="Calibri"/>
        <family val="2"/>
        <charset val="186"/>
        <scheme val="minor"/>
      </rPr>
      <t>Measures to improve access to employment (Priemonės, kuriomis gerinamos galimybės įsidarbinti)</t>
    </r>
  </si>
  <si>
    <r>
      <rPr>
        <b/>
        <sz val="11"/>
        <rFont val="Calibri"/>
        <family val="2"/>
        <charset val="186"/>
        <scheme val="minor"/>
      </rPr>
      <t xml:space="preserve">137 </t>
    </r>
    <r>
      <rPr>
        <sz val="11"/>
        <rFont val="Calibri"/>
        <family val="2"/>
        <charset val="186"/>
        <scheme val="minor"/>
      </rPr>
      <t>Support for self-employment and business start up (Parama savarankiškam darbui ir verslo startuoliams)</t>
    </r>
  </si>
  <si>
    <r>
      <rPr>
        <b/>
        <sz val="11"/>
        <rFont val="Calibri"/>
        <family val="2"/>
        <charset val="186"/>
        <scheme val="minor"/>
      </rPr>
      <t>144</t>
    </r>
    <r>
      <rPr>
        <sz val="11"/>
        <rFont val="Calibri"/>
        <family val="2"/>
        <charset val="186"/>
        <scheme val="minor"/>
      </rPr>
      <t xml:space="preserve"> Measures for a healthy and well–adapted working environment addressing health risks, including promotion of physical activity (Sveikos ir gerai pritaikytos darbo aplinkos priemonės, skirtos sveikatos sutrikimo rizikai mažinti, įskaitant fizinio aktyvumo skatinimą)
</t>
    </r>
  </si>
  <si>
    <t>EECO19</t>
  </si>
  <si>
    <t>The share (percentage) of successfully operating supoorted micro, small and medium-sized enterprises is calculated from the total number of supported micro, small and medium sized enterprises. The total number is determined in accordance with the achieved value of the output indicator “Number of supported micro, small and medium-sized enterprises (including cooperative enterprises, social enterprises)”</t>
  </si>
  <si>
    <t>Related to the output indicator “Number of supported micro, small and medium-sized enterprises (including cooperative enterprises, social enterprises)”</t>
  </si>
  <si>
    <t>Percentage of organisations and enterprises in which a positive change has occurred within 6 months from participation in the activities aimed at development of social dialogue</t>
  </si>
  <si>
    <t xml:space="preserve">number of enterprises
</t>
  </si>
  <si>
    <t>Specific  output</t>
  </si>
  <si>
    <t>Specific output</t>
  </si>
  <si>
    <t>Capital Region – n/a
Mid-West Region – n/a</t>
  </si>
  <si>
    <t xml:space="preserve">Capital Region –n/a  
Mid-West Region –n/a </t>
  </si>
  <si>
    <t>number</t>
  </si>
  <si>
    <t>Policy objective - 4. A  more social and inclusive Europe implementing the European Pillar of Social Rights</t>
  </si>
  <si>
    <t>Specific objective 4.1. -  Improving access to employment and activation measures for all jobseekers, in particular young people, especially through the implementation of the Youth Guarantee, for long-term unemployed and disadvantaged groups on the labour market, and for inactive people, as well as through the promotion of self-employment and the social economy</t>
  </si>
  <si>
    <t>4.1.4. Developing self-employment and job creation by assisting young businesses getting established on the market (Plėtoti savarankišką užimtumą ir darbo vietų kūrimą padedant jauniems verslams įsitvirtinti rinkoje)</t>
  </si>
  <si>
    <t>4.1.5. Developing social dialogue for the purpose of creating quality jobs and boosting competition (Vystyti socialinį dialogą, siekiant kurti kokybiškas darbo vietas ir didinti konkurencingumą)</t>
  </si>
  <si>
    <t>Participants with disabilities who have completed labour market integration programmes</t>
  </si>
  <si>
    <t xml:space="preserve">Capital region – 112
Mid-West region – 556
</t>
  </si>
  <si>
    <t xml:space="preserve">Capital region – 2,010
West region – 4,865
PO4. A more social Europe
</t>
  </si>
  <si>
    <t xml:space="preserve">Capital region – 34
Mid-West region – 167
</t>
  </si>
  <si>
    <t xml:space="preserve">Capital region – 201 
Mid-West region – 487
</t>
  </si>
  <si>
    <t>The indicator value has been determined taking into account the data of the projects implemented under measure “54+” of the Operational Programme in 2014-2020. It is planned that 96.86 percent of parsons who attended the trainings of key competences under the concluded contracts will acquire competences. Nevertheless, according to the data available in July 2020, key competences were acquired by 88.63 percent of persons. In the light of actual achievement of the indicator, it is planned that during the period of 2021–2027 competences will be acquired by up to 90 percent of the persons who attended the trainings (or 886*0.9=797.01 ~797 persons).</t>
  </si>
  <si>
    <t xml:space="preserve">The indicator value has been determined taking into account the data of the projects implemented under measure “54+” of the Operational Programme in 2014-2020. It is planned that 96.86 percent of parsons who attended the trainings of key competences under the concluded contracts will acquire competences. Nevertheless, according to the data available in July 2020, key competences were acquired by 88.63 percent of persons. In the light of actual achievement of the indicator, it is planned that during the period of 2021–2027 competences will be acquired by up to 90 percent of the persons who attended the trainings (or 3,820*0.9=3,438.07~3,438 persons).
</t>
  </si>
  <si>
    <r>
      <rPr>
        <b/>
        <sz val="10"/>
        <rFont val="Calibri"/>
        <family val="2"/>
        <scheme val="minor"/>
      </rPr>
      <t xml:space="preserve">Participant with disabilities </t>
    </r>
    <r>
      <rPr>
        <sz val="10"/>
        <rFont val="Calibri"/>
        <family val="2"/>
        <charset val="186"/>
        <scheme val="minor"/>
      </rPr>
      <t xml:space="preserve">means a person for whom a disability level or 55 percent and lower capacity for work level or a level of special needs is established under the procedure prescribed in the Republic of Lithuania Law on the Social Integration of the Disabled (source: Republic of Lithuania Law on the Social Integration of the Disabled). The persons who apply to the Disability and Working Capacity Assessment Office under the Ministry of Social Security and Labour for establishment of the level of capacity for work for the first time, for whom the need for vocational rehabilitation services has been established under the procedure prescribed in Order No A1-302 of the Minister of Social Security and Labour of the Republic of Lithuania of 31 December 2004 “On the Approval of the Description of the Criteria for Establishment of the Need for Vocational Rehabilitation Services and the Rules on Provision and Financing of Vocational Rehabilitation Services” are included.
</t>
    </r>
    <r>
      <rPr>
        <b/>
        <sz val="10"/>
        <rFont val="Calibri"/>
        <family val="2"/>
        <scheme val="minor"/>
      </rPr>
      <t xml:space="preserve">Vocational rehabilitation </t>
    </r>
    <r>
      <rPr>
        <sz val="10"/>
        <rFont val="Calibri"/>
        <family val="2"/>
        <charset val="186"/>
        <scheme val="minor"/>
      </rPr>
      <t xml:space="preserve">means restoration or enhancement of a person’s capacity for work, his professional competence and ability to participate in the labour market by applying educational, social, psychological, rehabilitation and other measures (source: Republic of Lithuania Law on the Social Integration of the Disabled).
</t>
    </r>
    <r>
      <rPr>
        <b/>
        <sz val="10"/>
        <rFont val="Calibri"/>
        <family val="2"/>
        <scheme val="minor"/>
      </rPr>
      <t>The persons who have completed vocational rehabilitation programmes</t>
    </r>
    <r>
      <rPr>
        <sz val="10"/>
        <rFont val="Calibri"/>
        <family val="2"/>
        <charset val="186"/>
        <scheme val="minor"/>
      </rPr>
      <t xml:space="preserve"> are deemed to be the persons who received a certificate of vocational rehabilitation after leaving
</t>
    </r>
  </si>
  <si>
    <t>Unemployed, including long-term unemployed
(Bedarbiai, įskaitant ilgalaikius bedarbius)</t>
  </si>
  <si>
    <t xml:space="preserve"> Participants gaining a qualification upon leaving 
(Dalyviai, pasibaigus jų dalyvavimui įgyjantys kvalifikaciją)</t>
  </si>
  <si>
    <t>Participants in employment, including self-employment, upon leaving 
(Dalyviai, pasibaigus jų dalyvavimui dirbantys, įskaitant savarankišką darbą)</t>
  </si>
  <si>
    <t>Participants in employment, including self-employment, six months after leaving 
(Dalyviai, kurie per šešis mėnesius nuo dalyvavimo pabaigos pradėjo dirbti, įskaitant savarankišką darbą)</t>
  </si>
  <si>
    <t>Unemployed, including long-term unemployed 
(Bedarbiai, įskaitant ilgalaikius bedarbius)</t>
  </si>
  <si>
    <t>Young people aged 18-29 years
(18-29 metų jaunuoliai)</t>
  </si>
  <si>
    <t xml:space="preserve"> Participants gaining a qualification upon leaving
 (Dalyviai, pasibaigus jų dalyvavimui įgyjantys kvalifikaciją)</t>
  </si>
  <si>
    <t>Participants with disabilities
(Dalyviai, turintys negalią)</t>
  </si>
  <si>
    <t>Number of participants 55 years of age and above 
(55 metų ir vyresnių dalyvių skaičius)</t>
  </si>
  <si>
    <t>Percentage of persons aged 55 years and above who have acquired competences after leaving 
(55 metų ir vyresnių asmenų, kurie po dalyvavimo veiklose įgijo kompetencijas, dalis)</t>
  </si>
  <si>
    <t xml:space="preserve">Number of supported micro, small and medium-sized enterprises (including 
cooperative enterprises, social enterprises)
(Paramą gavusių labai mažų, mažųjų ir vidutinių įmonių (įskaitant kooperatines įmones ir socialinės įmones) skaičius)
</t>
  </si>
  <si>
    <t>Percentage of successfully operating supported micro, small and medium sized enterprises (including 
cooperative enterprises, social enterprises)
(Sėkmingai veikiančių paramą gavusių labai mažų, mažųjų ir vidutinių įmonių (įskaitant kooperatines 
įmones ir socialinės įmones) dalis</t>
  </si>
  <si>
    <t>Percentage of successfully operating supported micro, small and medium sized enterprises (including 
cooperative enterprises, social enterprises) 
(Sėkmingai veikiančių paramą gavusių labai mažų, mažųjų ir vidutinių įmonių (įskaitant kooperatines 
įmones ir socialinės įmones) dalis</t>
  </si>
  <si>
    <t>Organisations and enterprises that participated in the activities aimed at development of social dialogue
(Organizacijos ir įmonės, dalyvavusios veiklose, skirtose vystyti socialinį dialogą)</t>
  </si>
  <si>
    <t>Percentage of organisations and enterprises in which a positive  change has occurred within 6 months from participation in the activities aimed at development of social dialogue 
(Organizacijų ir įmonių, kuriose per šešis mėnesius po dalyvavimo veiklose, skirtose socialiniam dialogui vystyti,  pabaigos įvyko teigiamas pokytis, dalis)</t>
  </si>
  <si>
    <t>Persons who participated in the activities aimed at increasing risk assessment and monitoring (control) competences 
(Asmenys, dalyvavę veiklose skirtose didinti rizikos vertinimo ir priežiūros (kontrolės) kompetencijas)</t>
  </si>
  <si>
    <t>Percentage of persons who acquired or improved their occupational risk assessment and monitoring (control) competences after leaving
(Asmenų, kurie po dalyvavimo veiklose įgijo arba patobulino profesinės rizikos vertinimo ir priežiūros (kontrolės) kompetencijas, dalis)</t>
  </si>
  <si>
    <t>Percentage of organisations and enterprises in which a positive change has occurred within 6 months from participation in the activities aimed at development of social dialogue 
(Organizacijų ir įmonių, kuriose per šešis mėnesius po dalyvavimo veiklose, skirtose socialiniam dialogui vystyti,  pabaigos įvyko teigiamas pokytis, dalis)</t>
  </si>
  <si>
    <t>The indicator value has been determined taking into account the data of the projects implemented during the period of 2007–2013, since during the period of 2014–2020 a similar indicator has not been calculated. According to the data available during the period of 2007–2013, collective agreements were signed (revised) in 263 companies/organisations of 545 companies/organisations the employees of which participated in the project activities. They made 48.26 percent. In the light of the fact that during the period of 2021–2027 a more diverse change was recorded but focus will be placed on the private sector in which it is more difficult to create social dialogue, it is assumed that the indicator value will be lower and will be 30 percent (112*0.3=33.6 ~34 companies/organisations).</t>
  </si>
  <si>
    <t>The indicator value has been determined taking into account the data of the projects implemented during the period of 2007–2013, since during the period of 2014–2020 a similar indicator has not been calculated. According to the data available during the period of 2007–2013, collective agreements were signed (revised) in 263 companies/organisations of 545 companies/organisations the employees of which participated in the project activities. They made 48.26 percent. In the light of the fact that during the period of 2021–2027 a more diverse change was recorded but focus will be placed on the private sector in which it is more difficult to create social dialogue, it is assumed that the indicator value will be lower and will be 30 percent (566*0.3=166.8 ~167 companies/organisations).</t>
  </si>
  <si>
    <t>The indicator values has been determined taking into account the data of the project implemented under measure “Promotion of Social Responsibility and Social Dialogue” of the Operational Programme in 2014–2020 using information on the persons who participated in the project activities. Around 20 percent of the companies who participated in the activities were from the Capital Region and the price of participation of representatives in the project per company amounted to EUR 2,400. Given the inflation forecast (30 percent till 2029), the rate is increased up to EUR 3,120. In the light of the planned funds, it is estimated that 349,800/3,120=112.12 ~112 companies/organisations will participate in the activities. In the light of the experience gained in implementation of the projects during the period of 2014–2020 and planned start of the activities, it is estimate that the interim indicator value will be 15 percent of the value of the entire period (112*0.15=16.8 ~17 companies/organisations).</t>
  </si>
  <si>
    <t xml:space="preserve">The indicator values has been determined taking into account the data of the project implemented under measure “Promotion of Social Responsibility and Social Dialogue” of the Operational Programme in 2014–2020 using information on the persons who participated in the project activities. Around 20 percent of the companies who participated in the activities were from the Capital Region and the price of participation of representatives in the project per company amounted to EUR 2,400. Given the inflation forecast (30 percent till 2029), the rate is increased up to EUR 3,120. In the light of the planned funds, it is estimated that 1,735,412/3,120=556.22~556 companies/organisations will participate in the activities. In the light of the experience gained in implementation of the projects during the period of 2014–2020 and planned start of the activities, it is estimate that the interim indicator value will be 15 percent of the value of the entire period (556*0.15=83.4 ~83 companies/organisations).
</t>
  </si>
  <si>
    <t>80 percent of the funds allocated for investment direction 4.1.6 in the Capital Region (EUR 980,000.00*0.8=784,000.00 Eur) is allocated for achievement of the indicator value. The remaining 20 percent of the funds are allocated for preparation of the occupation risk management good practice models, interactive training measures and other activities which will be offered by the project promoters and which will contribute to implementation of the objective.
The indicator value has been determined in accordance with the data available to the State Labour Inspectorate. It is planned that occupational risk management good practice models, interactive training measures, online risk factor assessment/management tools will be prepared, activities (trainings, courses, seminars etc.) aimed at increasing the competences of the occupational risk management specialists, occupational safety and health inspectors of the State Labour Inspectorate, employers, self-employed persons will be strengthened, good experience sharing and other measures aimed at improving occupational risk assessment and control will be implemented. Taking into account the planned funds and the fact that the price of participation in the activities per person will amount to EUR 390, it is estimated that 784,000.00/390=2,010.26 ~2,010 persons will participate in the activities. In the light of the fact that some activities will be organised after preparation of the occupational risk management good practice models, the materials and tools necessary for the activities as well as the planned start of the acitvity, it is estimated that the interim indicator value will be 10 percent of the value of the entire period (2,010*0.1=201 persons).</t>
  </si>
  <si>
    <t>The indicator value has been determined in accordance with the data available to the State Labour Inspectorate. It is planned that activities (trainings, courses, seminars etc.) aimed at increasing the competences of the occupational risk management specialists, employers, self-employed persons will be strengthened, good experience sharing and other measures aimed at improving occupational risk assessment and control will be implemented. Taking into account the planned funds and the fact that the price of participation in the activities per person will amount to EUR 260, it is estimated that 1,265,000.00/260=4,865.39 ~4,865 persons will participate in the activities. In the light of the fact that some activities will be organised after preparation of the occupational risk management good practice models, the materials and tools necessary for the activities as well as the planned start of the acitvity, it is estimated that the interim indicator value will be 10 percent of the value of the entire period (4,865*0.1=487 persons).</t>
  </si>
  <si>
    <t xml:space="preserve">
The preliminary number of participants, their breakdown by separate measures and the price of participation is determined on the basis of the Employment Service. In the light of the experience gained in implementation of the projects during the period of 2014–2020 and planned start of the activities, it is estimated that the interim indicator value will be 30 percent of the value of the entire period.
The 18-29 years unemployed persons who will participate in the measures under the ALMP, namely, learning support, acquisition of job skills, employment through subsidies, and other measures under the ALMP will be counted. It is planned that the following number of persons will participate in separate measures under the ALMP: 994 persons (~42 percent of participants) will participate in the learning support measure and the average price of participation in the measure per person will amount to EUR 3,744.75; 578 persons (~24 percent of participants) will participate in the measure of supported employment and the average price of participation in the measure per person will amount to EUR 4,790.86; 720 persons (~31 percent of participants) will participate in the measure of support for mobility and the average benefit per participant will amount to EUR 280; 54 persons (~2-3 percent of participants) will participate in other measures (support for creation of jobs and self-employment) and the average price of participation in the measure per person will amount to EUR 16,553. It is estimated that 2,346 persons will participate in separate measures. Nevertheless, it should be noted that the appropriately one third of persons participate in more than one measure under the ALMP. Following the experience gained in the projects, it is estimated that unique persons will make 65 percent of all persons participating in the measures; therefore, it is estimated that 2,346*0.65=1,524.90~1,525 persons will participate in the measures. The interim value is 1,525*0.3=457,5~458 persons. The average price of participation in the measures under the ALMP per unique person is EUR 7,586,868/1,525=4,974.99. The afore-mentioned amount also includes services of activity and motivation enhancement, socialisation and other additional services necessary for integration in the labour market (services of a psychologist, lawyer, IT competences, entrepreneurship etc.) which could be provided by the Employment Service, project partners or service providers depending on the needs of the person.</t>
  </si>
  <si>
    <t xml:space="preserve">The preliminary number of participants, their breakdown by separate measures and the price of participation is determined on the basis of the Employment Service. In the light of the experience gained in implementation of the projects during the period of 2014–2020 and planned start of the activities, it is estimated that the interim indicator value will be 30 percent of the value of the entire period.
The 18-29 years unemployed persons who will participate in the measures under the Active Labour Market Policies (ALMP), namely, learning support, acquisition of job skills, employment through subsidies, and other measures under the ALMP will be counted. It is planned that the following number of persons will participate in separate measures under the ALMP: 4,880 persons (~34 percent of participants) will participate in the learning support measure and the average price of participation in the measure per person will amount to EUR 3,510.86; 5,120 persons (~36 percent of all participants) will participate in the measure of supported employment and the average price of participation in the measure per person will amount to EUR 4,399.39; 4,000 persons (~28 percent of all participants) will participate in the measure of support for mobility and the average benefit per participant will amount to EUR 280; 371 person (~3 percent of all participants) will participate in other measures (support for creation of jobs and self-employment) and the average price of participation in the measure per person will amount to EUR 16,553. It is estimated that 14,371 persons will participate in separate measures. Nevertheless, it should be noted that the appropriately one third of persons participate in more than one measure under the ALMP. Following the experience gained in the projects, it is estimated that unique persons will make 65 percent of all persons participating in the measures; therefore, it is estimated that 14,371*0.65=9,341.15~9,341 persons will participate in the measures. The interim value is 9,341*0.3=2,802.3 ~2,802 persons. The average price of participation in the measures under the ALMP per unique person is EUR 46,919,056/9,341=5,022.92. The afore-mentioned amount also includes services of activity and motivation enhancement, socialisation and other additional services necessary for integration in the labour market (services of a psychologist, lawyer, IT competences, entrepreneurship etc.) which could be provided by the Employment Service, project partners or service providers depending on the needs of the person.
</t>
  </si>
  <si>
    <t>The number of participants has been determined taking into account the data of the projects implemented during the period of 2014–2020. The average price is set according to the currently valid contracts signed with institutions providing vocational rehabilitation services and in view of inflation forecasts  (30 percent till 2029). The average price of participation per person will amount to EUR 5,690. Considering the target amount of funds and the price per person, 25,749,226/5,690=4,525.35 ~4,525 persons will participate in the vocational rehabilitation programme. In the light of the experience gained in implementation of the projects during the period of 2014–2020 and planned start of the activities, it is estimated that the interim indicator value will be 30 percent of the value of the entire period (4,525*0.3=1,357.6 ~1,358 persons).</t>
  </si>
  <si>
    <t>The indicator value has been determined taking into account the data of the projects implemented under measure “54+” of the Operational Programme in 2014-2020. During the projects, such activities as trainings of key competences, voluntary activities, motivational and educational activities were carried out. Learning expenses per participant of the project, on average, amounted to EUR 608. In view of the inflation forecasts (30 percent till 2029), the price of participation in the activities per person will amount to 790,4 ~790 EUR/person. Taking into account the expected funds, it has been estimated that 699,600/790=885.57 ~886 persons will participate in the activities. In the light of the experience gained in implementation of the projects during the period of 2014–2020 and planned start of the activities, it is estimated  that the interim indicator value will be 20 percent of the value of the entire period (886*0.2=177.2 ~177 persons).</t>
  </si>
  <si>
    <t>90 percent of the funds allocated for investment direction 4.1.3 in the Mid-West Region of Lithuania, i.e. EUR 3,353,176*0.9=3,017,858, is allocated for achievement of the indicator. The remaining 10 percent of the funds are allocated for research, methodologies or other activities which will be offered by the project promoters and which will contribute to implementation of the objective.
The number of participants has been determined taking into account the data of the projects implemented under the measure “54+” of the Operational Programme in 2014-2020.
During the projects, such activities as trainings of key competences, voluntary activities, motivational and educational activities were carried out. Learning expenses per participant of the project, on average, amounted to EUR 608. In view of the inflation forecasts (30 percent till 2029), the price of participation in the activities per person will amount to 790,4 ~790 EUR/person. Taking into account the expected funds, it has been estimated that 3,017,858/790=3,820.07 ~3,820 persons will participate in the activities. In the light of the experience gained in implementation of the projects during the period of 2014–2020 and planned start of the activities, it is estimated that the interim indicator value will be 20 percent of the value of the entire period (3,820*0.2=765 persons).</t>
  </si>
  <si>
    <t>The subsidies would be granted to the borrowers of the Entrepreneurship Promotion Fund with a view to continuing the intervention logic of the period 2014–2020, helping persons starting their own business and facing difficulties to easier establish themselves in the market at the beginning of their operation.
The indicator values has been determined in the light of the experience gained in implementation of the projects during the period of 2014–2020 and assuming that the maximum amount of the subsidy for remuneration of employees per company could not exceed EUR 25 thous. 1,844,230/25,000=73.77 ~74 companies. Interim indicator value will be 10 percent (or 74*0.1=7,4 ~7 companies) of the entire period. The low intermediate value is explained by the fact that in order to benefit from the measure, companies must first apply for, obtain and use a loan from the Entrepreneurship Promotion Fund.</t>
  </si>
  <si>
    <t>The subsidies would be granted to the borrowers of the Entrepreneurship Promotion Fund with a view to continuing the intervention logic of the period 2014–2020, helping persons starting their own business and facing difficulties to easier establish themselves in the market at the beginning of their operation.
The indicator values has been determined in the light of the experience gained in implementation of the projects during the period of 2014–2020 and assuming that the maximum amount of the subsidy for remuneration of employees per company could not exceed EUR 25 thous. 973,041/25,000=318.92 ~319 companies. Interim indicator value will be 10 percent (or 319*0.1=31.9 ~32  companies) of the entire period. The low intermediate value is explained by the fact that in order to benefit from the measure, companies must first apply for, obtain and use a loan from the Entrepreneurship Promotion Fund.</t>
  </si>
  <si>
    <t xml:space="preserve">The number of participants has been determined taking into account the data of the projects implemented during the period of 2014–2020. The average price is set according to the currently valid contracts signed with institutions providing vocational rehabilitation services and in view of the inflation forecasts  (30 percent till 2029). The average price of participation per person will amount to EUR 5,690. Considering the target amount of funds and the price per person, 3,093,216/5,690=543,62 ~544 persons will participate in the vocational rehabilitation programme. In the light of the experience gained in implementation of the projects during the period of 2014–2020 and planned start of the activities, it is estimated that the interim indicator value will be 30 percent of the value of the entire period (544*0.3=163,09 ~163 persons).
</t>
  </si>
  <si>
    <t xml:space="preserve">Capital region –  435
Mid-West region – 3,620
</t>
  </si>
  <si>
    <r>
      <rPr>
        <b/>
        <sz val="11"/>
        <rFont val="Calibri"/>
        <family val="2"/>
        <scheme val="minor"/>
      </rPr>
      <t>Persons 55 years of age and above</t>
    </r>
    <r>
      <rPr>
        <sz val="11"/>
        <rFont val="Calibri"/>
        <family val="2"/>
        <charset val="186"/>
        <scheme val="minor"/>
      </rPr>
      <t xml:space="preserve"> mean persons at the moment of starting to participate in the activities are 55 years of age and above (until they attain the old-age retirement age as provided for in Articles 15 and 57 of the Law on Social Insurance Pensions of the Republic of Lithuania). A person’s age is calculated from his/her date of birth and determined on the date when the persons starts to participate in the activities.
</t>
    </r>
    <r>
      <rPr>
        <b/>
        <sz val="11"/>
        <rFont val="Calibri"/>
        <family val="2"/>
        <scheme val="minor"/>
      </rPr>
      <t xml:space="preserve">Activity </t>
    </r>
    <r>
      <rPr>
        <sz val="11"/>
        <rFont val="Calibri"/>
        <family val="2"/>
        <scheme val="minor"/>
      </rPr>
      <t>mean</t>
    </r>
    <r>
      <rPr>
        <sz val="11"/>
        <rFont val="Calibri"/>
        <family val="2"/>
        <charset val="186"/>
        <scheme val="minor"/>
      </rPr>
      <t xml:space="preserve"> activity under the project financed by the European Social Fund Plus.
</t>
    </r>
    <r>
      <rPr>
        <b/>
        <sz val="11"/>
        <rFont val="Calibri"/>
        <family val="2"/>
        <scheme val="minor"/>
      </rPr>
      <t xml:space="preserve">Competence </t>
    </r>
    <r>
      <rPr>
        <sz val="11"/>
        <rFont val="Calibri"/>
        <family val="2"/>
        <scheme val="minor"/>
      </rPr>
      <t>mean</t>
    </r>
    <r>
      <rPr>
        <sz val="11"/>
        <rFont val="Calibri"/>
        <family val="2"/>
        <charset val="186"/>
        <scheme val="minor"/>
      </rPr>
      <t xml:space="preserve"> capability to perform a certain activity on the basis of the entirety of acquired knowledge, abilities, skills and values (source: Republic of Lithuania Law on Education).</t>
    </r>
  </si>
  <si>
    <t>Percentage of successfully operating  supported micro, small and medium sized enterprises (including 
cooperative enterprises, social enterprises)</t>
  </si>
  <si>
    <r>
      <rPr>
        <b/>
        <sz val="10"/>
        <rFont val="Calibri"/>
        <family val="2"/>
        <scheme val="minor"/>
      </rPr>
      <t>A successfuly operating micro, small and medium sized enterprise (including cooperatives and social enterprises)</t>
    </r>
    <r>
      <rPr>
        <sz val="10"/>
        <rFont val="Calibri"/>
        <family val="2"/>
        <scheme val="minor"/>
      </rPr>
      <t xml:space="preserve"> is a micro, small and medium sized enterprise that received a loan from the Entrepreneurship Promotion Fund and was paid a subsidy for compensation of a part of expenses of the remuneration paid out to the employees employed by the loan reciever, and that does not have the status of an enterprise in bankruptcy, bankrupt enterprise or an enterprise in liquidation after 12 months from the end date of compensation of a part of the employee remuneration expenses.
</t>
    </r>
    <r>
      <rPr>
        <b/>
        <sz val="10"/>
        <rFont val="Calibri"/>
        <family val="2"/>
        <scheme val="minor"/>
      </rPr>
      <t>Entrepreneurship Promotion Fund</t>
    </r>
    <r>
      <rPr>
        <sz val="10"/>
        <rFont val="Calibri"/>
        <family val="2"/>
        <scheme val="minor"/>
      </rPr>
      <t xml:space="preserve"> means a fund of funds “Entrepreneurship Promotion Fund which during the period of 2014–2020 was financed by the European Social Fund"and has been set up on 8 December 2015 by Establishment and Financing Agreement No 07.3.3-FM-F-424-01-0001/1S-69/D4-239 among the Ministry of Social Security and Labour of the Republic of Lithuania, the Ministry of Finance of the Republic of Lithuania and the private limited liability company Investicijų ir verslo garantijos (hereinafter referred to as “INVEGA”) with a view to promoting entrepreneurship, self-employment and creation of new jobs.
</t>
    </r>
    <r>
      <rPr>
        <b/>
        <sz val="10"/>
        <rFont val="Calibri"/>
        <family val="2"/>
        <scheme val="minor"/>
      </rPr>
      <t xml:space="preserve">Subsidy for compensation of a part of employee remuneration expenses </t>
    </r>
    <r>
      <rPr>
        <sz val="10"/>
        <rFont val="Calibri"/>
        <family val="2"/>
        <scheme val="minor"/>
      </rPr>
      <t xml:space="preserve">means not repayable funding allocated to the small and medium sized enterprise that has received a loan from the Entrepreneurship Promotion Fund used for compensation of a part of expenses of the remuneration paid out to the employees in accordance with the employment contract </t>
    </r>
  </si>
  <si>
    <t>The indicator is considered to be achieved when 12 months from the date of compensation of a part of the employee remuneration expenses joint project promoter, following the information available in the database of the Authority of Audit, Accounting, Property Valuation and Insolvency Management under the Ministry of Finance of the Republic of Lithuania, records that on that day the supported small and medium sized enteprise (borrower of the Entrepreneurship Promotion Fund)  does not have the status of an enterprise in bankruptcy, bankrupt enterprise or an enterprise in liquidation.</t>
  </si>
  <si>
    <r>
      <rPr>
        <b/>
        <sz val="10"/>
        <color theme="1"/>
        <rFont val="Calibri"/>
        <family val="2"/>
        <scheme val="minor"/>
      </rPr>
      <t>Organisation</t>
    </r>
    <r>
      <rPr>
        <sz val="10"/>
        <color theme="1"/>
        <rFont val="Calibri"/>
        <family val="2"/>
        <charset val="186"/>
        <scheme val="minor"/>
      </rPr>
      <t xml:space="preserve"> means a union of people or public groups with an organised structure (e.g. institution, body, non-governmental organisation etc.).
</t>
    </r>
    <r>
      <rPr>
        <b/>
        <sz val="10"/>
        <color theme="1"/>
        <rFont val="Calibri"/>
        <family val="2"/>
        <scheme val="minor"/>
      </rPr>
      <t>Enterprise</t>
    </r>
    <r>
      <rPr>
        <sz val="10"/>
        <color theme="1"/>
        <rFont val="Calibri"/>
        <family val="2"/>
        <charset val="186"/>
        <scheme val="minor"/>
      </rPr>
      <t xml:space="preserve"> means a legal person engaged in economic activities (source: Republic of Lithuania Law on Development of Small and Medium-Sized Business).
</t>
    </r>
    <r>
      <rPr>
        <b/>
        <sz val="10"/>
        <color theme="1"/>
        <rFont val="Calibri"/>
        <family val="2"/>
        <scheme val="minor"/>
      </rPr>
      <t xml:space="preserve">Social dialogue </t>
    </r>
    <r>
      <rPr>
        <sz val="10"/>
        <color theme="1"/>
        <rFont val="Calibri"/>
        <family val="2"/>
        <charset val="186"/>
        <scheme val="minor"/>
      </rPr>
      <t xml:space="preserve">means all types of negotiation, consultation or simply exchange of information between, or among, representatives of employers and workers (in case of a bilateral social dialogue) and the Government, municipal council (in case of a tripartite social dialogue), on issues of common interest relating to economic and social policy (source: https://www.ilo.org).
</t>
    </r>
    <r>
      <rPr>
        <b/>
        <sz val="10"/>
        <color theme="1"/>
        <rFont val="Calibri"/>
        <family val="2"/>
        <scheme val="minor"/>
      </rPr>
      <t xml:space="preserve">Activity </t>
    </r>
    <r>
      <rPr>
        <sz val="10"/>
        <color theme="1"/>
        <rFont val="Calibri"/>
        <family val="2"/>
        <scheme val="minor"/>
      </rPr>
      <t>means</t>
    </r>
    <r>
      <rPr>
        <sz val="10"/>
        <color theme="1"/>
        <rFont val="Calibri"/>
        <family val="2"/>
        <charset val="186"/>
        <scheme val="minor"/>
      </rPr>
      <t xml:space="preserve"> activity under the project financed by the European Social Fund Plus.
</t>
    </r>
    <r>
      <rPr>
        <b/>
        <sz val="10"/>
        <color theme="1"/>
        <rFont val="Calibri"/>
        <family val="2"/>
        <scheme val="minor"/>
      </rPr>
      <t>Change</t>
    </r>
    <r>
      <rPr>
        <sz val="10"/>
        <color theme="1"/>
        <rFont val="Calibri"/>
        <family val="2"/>
        <charset val="186"/>
        <scheme val="minor"/>
      </rPr>
      <t xml:space="preserve"> means the results achieved at the organisation and/or enterprise level during the project implementation period, for example, a signed collective agreement, improved terms and conditions of the collective agreement, established trade union, increased number of members of the trade union etc.</t>
    </r>
  </si>
  <si>
    <t>91.37</t>
  </si>
  <si>
    <t xml:space="preserve">allocation 2021- 2027 used for calculation of 2029 target </t>
  </si>
  <si>
    <t xml:space="preserve">It is planned that the activities upon completion of which the participants will acquire qualification will make not less than 35 percent (2,346*0.35=821.1~821) of the overall package of the ALMP activities (2,346 activities) intended for the target group, i.e. 821 person will participate in the trainings providing qualification. Following the data of the projects of the period 2014–2020, it is planned that around 90 percent of persons participating in the trainings (821*0.9=738.9~739 persons) will successfully complete the trainings and acquire qualification, since some participants fail to accomplish trainings or fail to pass tests of their knowledge supporting qualification for different reasons. The calculation of the baseline of the indicator is based on the information of the Employment Service on the share of participants who have successfully completed vocational training in 2021, out of all included in the programs. The indicator was 91.5 percent. Since the 2021-2027 result indicator is measured in individuals, the baseline is determined by calculating how many persons should acquire the qualification while maintaining the same percentage  (821*0.915=751.2~751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</si>
  <si>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45 percent of the participants (1,525*0.45=686,25~686 persons) should integrate into the labour market within 28 days. During the period of implementation of the projects of the period 2014–2020, 35 percent indicator value was determined, the actual result exceeded 60 percent; however, such result was achieved when the economy was steadily growing, thus, given the uncertainty due to COVID-19, a lower value is forecasted. For the calculation of the indicator baseline, the value achieved by the common indicator R.B.027 for the period 2014-2020 "Participants in employment, including self-employment, upon leaving" was used. At 31 December 2021, the value of the indicator was 62.4 percent. Since the 2021-2027 result indicator is measured in individuals, the baseline is determined by calculating how many people should be employed while maintaining the same percentage (1,525*0.624=951.6~951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</si>
  <si>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6 months from the end of the last participation in the activities. The indicator value has been determined taking into account the data of a similar indicator which was calculated in the projects of the period 2007–2013 (the value was 49 percent) and assuming that more participants of the former projects will integrate into the labour market within a longer period than 28 days; thus, the indicator value will be 55 percent.  It is planned that 1,525*0.55=838,75~839 persons will start employment including self-employment within 6 months. For the calculation of the indicator baseline, the value achieved by the common indicator R.B.111 "Participants in employment, including self-employment, six months after leaving " for the period 2014-2020 was used. At 31 December 2021, the value of the indicator was 51.8 percent (calculated cumulatively). Since the result indicator for 2021-2027 is measured in individuals, the baseline is determined by calculating how many people should get a job while maintaining the same percentage (1,525*0.518=789.95~790 persons). </t>
  </si>
  <si>
    <t xml:space="preserve">It is planned that the activities upon completion of which the participants will acquire qualification will make not less than 30 percent (57,484*0.3=17,245.2~17,245) of the overall package of the ALMP activities (57,484 activities) intended for the target group, i.e. 17,245 persons will participate in the trainings providing qualification. Following the data of the projects of the period 2014–2020, it is planned that around 90 percent of persons participating in the trainings (17,245*0.9=15,520.5 ~15,521 persons) will successfully complete the trainings and acquire qualification, since some participants fail to accomplish trainings or fail to pass tests of their knowledge supporting qualification for different reasons. The calculation of the baseline of the indicator is based on the information of the Employment Service on the share of participants who have successfully completed vocational training in 2021, out of all included in the programs. The indicator was 91.5 percent. Since the 2021-2027 result indicator is measured in individuals, the baseline is determined by calculating how many persons should acquire the qualification while maintaining the same percentage (17,245*0.915=15,779.2~15,779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</si>
  <si>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6 months from the end of the last participation in the activities. The indicator value has been determined taking into account the data of a similar indicator which was calculated in the projects of the period 2007–2013 (the value was 49 percent) and assuming that more participants of the former projects will integrate into the labour market within a longer period than 28 days; thus, the indicator value will be 55 percent.  It is planned that at least 55 percent of the participants (37,365*0.55=20,550,75~20,551 persons) will start employment including self-employment within 6 months. For the calculation of the indicator baseline, the value achieved by the common indicator R.B.111 "Participants in employment, including self-employment, six months after leaving " for the period 2014-2020 was used. At 31 December 2021, the value of the indicator was 51.8 percent (calculated cumulatively). Since the result indicator for 2021-2027 is measured in individuals, the baseline is determined by calculating how many people should get a job while maintaining the same percentage (37,365*0.518=19,355.07~19,355 persons). </t>
  </si>
  <si>
    <t xml:space="preserve">It is planned that the activities upon completion of which the participants will acquire qualification will make not less than 30 percent (14,371*0.3=4,311,3~4311) of the overall package of the ALMP activities (14,371 activities) intended for the target group, i.e. 4,311 persons will participate in the trainings providing qualification. Following the data of the projects of the period 2014–2020, it is planned that around 90 percent of persons participating in the trainings (4,311*0.9=3,879.9 ~3,880 persons) will successfully complete the trainings and acquire qualification, since some participants fail to accomplish trainings or fail to pass tests of their knowledge supporting qualification for different reasons. The calculation of the baseline of the indicator is based on the information of the Employment Service on the share of participants who have successfully completed vocational training in 2021, out of all included in the programs. The indicator was 91.5 percent. Since the 2021-2027 result indicator is measured in individuals, the baseline is determined by calculating how many persons should acquire the qualification while maintaining the same percentage (4,311*0.915=3,944.56~3,945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</si>
  <si>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45 percent of the participants (9,341*0.45=4,203.45 ~4,203 persons) should integrate into the labour market within 28 days. During the period of implementation of the projects of the period 2014–2020, 35 percent indicator value was determined, the actual result exceeded 60 percent; however, such result was achieved when the economy was steadily growing, thus, given the uncertainty due to COVID-19, a lower value is forecasted. For the calculation of the indicator baseline, the value achieved by the common indicator R.B.027 for the period 2014-2020 "Participants in employment, including self-employment, upon leaving" was used. At 31 December 2021, the value of the indicator was 62.4 percent. Since the 2021-2027 result indicator is measured in individuals, the baseline is determined by calculating how many people should be employed while maintaining the same percentage (9,341*0.624=5,828.78~5,829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</si>
  <si>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6 months from the end of the last participation in the activities. The indicator value has been determined taking into account the data of a similar indicator which was calculated in the projects of the period 2007–2013 (the value was 49 percent) and assuming that more participants of the former projects will integrate into the labour market within a longer period than 28 days; thus, the indicator value will be 55 percent.  It is planned that at least 55 percent of the participants (9,341*0.55=5,137.55~5,138 persons) will start employment including self-employment within the afore-mentioned period. For the calculation of the indicator baseline, the value achieved by the common indicator R.B.111 "Participants in employment, including self-employment, six months after leaving " for the period 2014-2020 was used. At 31 December 2021, the value of the indicator was 51.8 percent (calculated cumulatively). Since the result indicator for 2021-2027 is measured in individuals, the baseline is determined by calculating how many people should get a job while maintaining the same percentage (9,341*0.518=4,838.6~4,839 persons). </t>
  </si>
  <si>
    <t>The indicator value has been determined taking into account the data of the projects implemented during the period 2014–2020.
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40 percent of the participants who successfully complete vocational rehabilitation should integrate into the labour market within 28 days. As it is expected that 80 percent of the participants will successfully complete vocational rehabilitation, the indicator is calculated as follows: (544*0.80)*0.40=174.08 ~174 persons. When planning the indicator, the fact that the indicator established in the measures of the active labour market policy is 45 percent; nevertheless, it may be objectively more difficult for the disabled to access to employment within 28 days  than to other groups of persons who are additionally supported in the labour market; thus, the target value is not lower than 40 percent. For the calculation of the indicator baseline, the value achieved by the national indicator R.N.401 „Participants with disabilities who have successfully completed vocational rehabilitation in employment, including self-employment " for the period 2014-2020 was used. At 31 December 2021, the value of the indicator was 63,35 percent (calculated cumulatively). Since the result indicator for 2021-2027 is measured in individuals, the baseline is determined by calculating how many people should get a job while maintaining the same percentage (544*0.80)*0.6335=275,69 ~276 persons</t>
  </si>
  <si>
    <t xml:space="preserve">The indicator value has been determined taking into account the data of the projects implemented during the period 2014–2020. According to the data available to the Employment Service, around 20 percent of the participants terminate the vocational rehabilitation programme (as a rule, due to poor health). In the light of the above, it is expected that 80 percent of the participants will successfully complete the vocational rehabilitation programmes (544*0.8=435.2 ~435 persons). For the calculation of the indicator baseline, the value achieved by the national indicator R.S.350 "Participants with disabilities who have successfully completed vocational rehabilitation programs" for the period 2014-2020 was used. At 31 December 2021, the value of the indicator was 81,89 percent (calculated cumulatively). Since the result indicator for 2021-2027 is measured in individuals, the baseline is determined by calculating how many people should successfully complete vocational rehabilitation programs while maintaining the same percentage 544*0,8189=445,48~445. </t>
  </si>
  <si>
    <t>The indicator value has been determined taking into account the data of the projects implemented during the period 2014–2020.
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40 percent of the participants who successfully complete vocational rehabilitation should integrate into the labour market within 28 days. As it is expected that 80 percent of the participants will successfully complete vocational rehabilitation, the indicator is calculated as follows: (4,525*0.80)*0.40=1,448 persons. When planning the indicator, the fact that the indicator established in the measures of the active labour market policy is 45 percent; nevertheless, it may be objectively more difficult for the disabled to access to employment within 28 days  than to other groups of persons who are additionally supported in the labour market; thus, the target value is not lower than 40 percent.  For the calculation of the indicator baseline, the value achieved by the national indicator R.N.401 „Participants with disabilities who have successfully completed vocational rehabilitation in employment, including self-employment " for the period 2014-2020 was used. At 31 December 2021, the value of the indicator was 63,35 percent (calculated cumulatively). Since the result indicator for 2021-2027 is measured in individuals, the baseline is determined by calculating how many people should get a job while maintaining the same percentage (4525*0.80)*0.6335=2293,27 ~2293 persons</t>
  </si>
  <si>
    <t>The indicator value has been determined taking into account the data of the projects implemented during the period 2014–2020. According to the data available to the Employment Service, around 20 percent of the participants terminate the vocational rehabilitation programme (as a rule, due to poor health). In the light of the above, it is expected that 80 percent of the participants will successfully complete the vocational rehabilitation programmes (4,525*0.8=3,620 persons). For the calculation of the indicator baseline, the value achieved by the national indicator R.S.350 "Participants with disabilities who have successfully completed vocational rehabilitation programs" for the period 2014-2020 was used. At 31 December 2021, the value of the indicator was 81,89 percent (calculated cumulatively). Since the result indicator for 2021-2027 is measured in individuals, the baseline is determined by calculating how many people should successfully complete vocational rehabilitation programs while maintaining the same percentage 4,525*0.8189=3,505,52~3705 persons.</t>
  </si>
  <si>
    <t>The baseline and the target value of the indicator has been determined taking into account the data of the projects aimed at acquisition of competence (qualification) and implemented during the period of 2014–2020. It is planned that 95 percent of the participants will acquire and/or improve their occupational risk assessment and monitoring (control) competences (i.e. 2,010*0.95=1,909.5 ~1,910 persons).</t>
  </si>
  <si>
    <t>The baseline and the target value of the indicator has been determined taking into account the data of the projects aimed at acquisition of competence (qualification) and implemented during the period of 2014–2020. It is planned that 95 percent of the participants will acquire and/or improve their occupational risk assessment and monitoring (control) competences (i.e. 4,865*0.95=4,621.75 ~4,622 persons).</t>
  </si>
  <si>
    <r>
      <t xml:space="preserve">Participants with disabilities who have completed labour market integration programmes 
(Dalyviai, turintys negalią, kurie </t>
    </r>
    <r>
      <rPr>
        <sz val="11"/>
        <rFont val="Calibri"/>
        <family val="2"/>
        <charset val="186"/>
        <scheme val="minor"/>
      </rPr>
      <t>baigė integracijos į darbo rinką programas)</t>
    </r>
  </si>
  <si>
    <t>Justification for the proposed change 2025-12</t>
  </si>
  <si>
    <t xml:space="preserve">The preliminary number of participants, their breakdown by separate measures and the price of participation is determined on the basis of the Employment Service. In the light of the experience gained in implementation of the projects during the period of 2014–2020 and planned start of the activities, it is estimated that the interim indicator value will be 30 percent of the value of the entire period.
The persons who will participate in the measures under the Active Labour Market Policies (ALMP), namely, learning support, acquisition of job skills, employment through subsidies, and other measures under the ALMP will be counted. It is planned that the following number of persons will participate in separate measures under the ALMP: 3,976 persons (~43 percent of participants) will participate in the learning support measure and the average price of participation in the measure per person will amount to EUR 3,744.75; 2,312 persons (~24 percent of participants) will participate in the measure of supported employment and the average price of participation in the measure per person will amount to EUR 4,790.86; 2,880 persons (~31 percent of participants) will participate in the measure of support for mobility and the average benefit per participant will amount to EUR 280; 216 persons (~2 percent of participants) will participate in other measures (support for creation of jobs and self-employment) and the average price of participation in the measure per person will amount to EUR 16,553. It is estimated that 9,384 persons will participate in separate measures. Nevertheless, it should be noted that the appropriately one third of persons participate in more than one measure under the ALMP. Following the experience gained in the projects, it is estimated that unique persons will make 65 percent of all persons participating in the measures; therefore, it is estimated that 9,384*0.65=6,099.60~6,100 persons will participate in the measures. The interim value is 6,100*0.3=1,830 persons. The average price of participation in the measures under the ALMP per unique person is EUR 30,347,468/6.100=4,974.99. The afore-mentioned amount also includes services of activity and motivation enhancement, socialisation and other additional services necessary for integration in the labour market (services of a psychologist, lawyer, IT competences, entrepreneurship etc.) which could be provided by the Employment Service, project partners or service providers depending on the needs of the person. 
</t>
  </si>
  <si>
    <r>
      <t xml:space="preserve">It is planned that the activities upon completion of which the participants will acquire qualification will make not less than 35 percent (9,384*0.35=3,284.4~3284) of the overall package of the ALMP activities (9,384 activities) intended for the target group, i.e. 3,284 persons will participate in the trainings providing qualification. Following the data of the projects of the period 2014–2020, it is planned that around 90 percent of persons participating in the trainings (3,284*0.9=2,955.6~2,956 persons) will successfully complete the trainings and acquire qualification, since some participants fail to accomplish trainings or fail to pass tests of their knowledge supporting qualification for different reasons. The calculation of the baseline of the indicator is based on the information of the Employment Service on the share of participants who have successfully completed vocational training in 2021, out of all included in the programs. The indicator was 91.5 percent. Since the 2021-2027 result indicator is measured in individuals, the baseline is determined by calculating how many persons should acquire the qualification while maintaining the same percentage (3,284*0.915=3,004.86~3,005 persons). </t>
    </r>
    <r>
      <rPr>
        <sz val="11"/>
        <color rgb="FFFF0000"/>
        <rFont val="Calibri"/>
        <family val="2"/>
        <charset val="186"/>
        <scheme val="minor"/>
      </rPr>
      <t xml:space="preserve">
</t>
    </r>
  </si>
  <si>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45 percent of the participants (6,100*0.45=2,745 persons) should integrate in the labour market within 28 days. During the period of implementation of the projects of the period 2014–2020, 35 percent indicator value was determined, the actual result exceeded 60 percent; however, such result was achieved when the economy was steadily growing, thus, given the uncertainty due to COVID-19, a lower value is forecasted. For the calculation of the indicator baseline, the value achieved by the common indicator R.B.027 for the period 2014-2020 "Participants in employment, including self-employment, upon leaving" was used. At 31 December 2021, the value of the indicator was 62.4 percent. Since the 2021-2027 result indicator is measured in individuals, the baseline is determined by calculating how many people should be employed while maintaining the same percentage (6,100*0.624=3,806.4~3,806 persons).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</si>
  <si>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6 months from the end of the last participation in the activities. The indicator value has been determined taking into account the data of a similar indicator which was calculated in the projects of the period 2007–2013 (the value was 49 percent) and assuming that more participants of the former projects will integrate into the labour market within a longer period than 28 days; thus, the indicator value will be 55 percent.  It is planned that 6,100*0.55=3,355 persons start employment including self-employment within 6 months. For the calculation of the indicator baseline, the value achieved by the common indicator R.B.111 "Participants in employment, including self-employment, six months after leaving " for the period 2014-2020 was used. At 31 December 2021, the value of the indicator was 51.8 percent (calculated cumulatively). Since the result indicator for 2021-2027 is measured in individuals, the baseline is determined by calculating how many people should get a job while maintaining the same percentage (6,100*0.518=3,159.8~3,160 persons). </t>
  </si>
  <si>
    <t xml:space="preserve">The preliminary number of participants, their breakdown by separate measures and the price of participation is determined on the basis of the Employment Service. In the light of the experience gained in implementation of the projects during the period of 2014–2020  and planned start of the activities, it is estimated that the interim indicator value will be 30 percent of the value of the entire period.
The persons who will participate in the measures under the Active Labour Market Policies (ALMP), namely, learning support, acquisition of job skills, employment through subsidies, and other measures under the ALMP will be counted. It is planned that the following number of persons will participate in separate measures under the ALMP: 19,520 persons (~34 percent of all participants) will participate in the learning support measure and the average price of participation in the measure per person will amount to EUR 3,510.86; 20,480 persons (~36 percent of participants) will participate in the measure of supported employment and the average price of participation in the measure per person will amount to EUR 4,399.39; 16,000 persons (~28 percent of participants) will participate in the measure of support for mobility and the average benefit per participant will amount to EUR 280; 1,484 persons (~3 percent of participants) will participate in other measures (support for creation of jobs and self-employment) and the average price of participation in the measure per person will amount to EUR 16,553. It is estimated that 57,484 persons will participate in separate measures. Nevertheless, it should be noted that the appropriately one third of persons participate in more than one measure under the ALMP. Following the experience gained in the projects, it is estimated that unique persons will make 65 percent of all persons participating in the measures; therefore, it is estimated that 57,484*0.65=37,364.60~37,365 persons will participate in the measures. The interim value is 37,365*0.3=11,209.50~11,210 persons. The average price of participation in the measures under the ALMP per unique person is EUR 187,676,218/37,365=5,022.78. The afore-mentioned amount also includes services of activity and motivation enhancement, socialisation and other additional services necessary for integration in the labour market (services of a psychologist, lawyer, IT competences, entrepreneurship etc.) would could be provided by the Employment Service, project partners or service providers depending on the needs of the person. </t>
  </si>
  <si>
    <t xml:space="preserve">The participants who start employment including self-employment after participation in the activities will be counted. The indicator is deemed to be achieved when a person starts employment including self-employment while participating in the project activities or within 28 days from the end of the last participation in the activities. It is planned that at least 45 percent of the participants (37,365*0.45=16,814.25~16,814 persons) should integrate into the labour market within 28 days. During the period of implementation of the projects of the period 2014–2020, 35 percent indicator value was determined, the actual result exceeded 60 percent; however, such result was achieved when the economy was steadily growing, thus, given the uncertainty due to COVID-19, a lower value is forecasted. For the calculation of the indicator baseline, the value achieved by the common indicator R.B.027 for the period 2014-2020 "Participants in employment, including self-employment, upon leaving" was used. At 31 December 2021, the value of the indicator was 62.4 percent. Since the 2021-2027 result indicator is measured in individuals, the baseline is determined by calculating how many people should be employed while maintaining the same percentage (37,365*0.624=23,315.76~23,316 persons). </t>
  </si>
  <si>
    <t xml:space="preserve">The value of the indicator is reduced in proportion to the amount of funds being redistributed (17,2%) and allocated to new priorities. 2024 milestone value ramains the same. </t>
  </si>
  <si>
    <t xml:space="preserve">The value of the indicator is reduced in proportion to the amount of funds being redistributed (17,2%) and allocated to new priorities. </t>
  </si>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</sst>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_ ;\-0\ "/>
    <numFmt numFmtId="167" formatCode="_-* #,##0\ _€_-;\-* #,##0\ _€_-;_-* &quot;-&quot;\ _€_-;_-@_-"/>
    <numFmt numFmtId="168" formatCode="_-* #,##0.00\ _€_-;\-* #,##0.00\ _€_-;_-* &quot;-&quot;??\ _€_-;_-@_-"/>
  </numFmts>
  <fonts count="26"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charset val="186"/>
      <scheme val="minor"/>
    </font>
    <font>
      <sz val="10"/>
      <color theme="1"/>
      <name val="Calibri"/>
      <family val="2"/>
      <charset val="186"/>
      <scheme val="minor"/>
    </font>
    <font>
      <b/>
      <sz val="10"/>
      <name val="Calibri"/>
      <family val="2"/>
      <charset val="186"/>
      <scheme val="minor"/>
    </font>
    <font>
      <sz val="10"/>
      <name val="Calibri"/>
      <family val="2"/>
      <charset val="186"/>
      <scheme val="minor"/>
    </font>
    <font>
      <sz val="10"/>
      <color rgb="FFFF0000"/>
      <name val="Calibri"/>
      <family val="2"/>
      <charset val="186"/>
      <scheme val="minor"/>
    </font>
    <font>
      <b/>
      <sz val="10"/>
      <color theme="1"/>
      <name val="Calibri"/>
      <family val="2"/>
      <charset val="186"/>
      <scheme val="minor"/>
    </font>
    <font>
      <b/>
      <sz val="10"/>
      <color rgb="FF000000"/>
      <name val="Calibri"/>
      <family val="2"/>
      <charset val="186"/>
      <scheme val="minor"/>
    </font>
    <font>
      <b/>
      <sz val="10"/>
      <name val="Calibri"/>
      <family val="2"/>
      <scheme val="minor"/>
    </font>
    <font>
      <sz val="10"/>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0"/>
      <name val="Times New Roman"/>
      <family val="1"/>
      <charset val="186"/>
    </font>
    <font>
      <sz val="11"/>
      <color rgb="FFFF0000"/>
      <name val="Calibri"/>
      <family val="2"/>
      <charset val="186"/>
      <scheme val="minor"/>
    </font>
    <font>
      <sz val="8"/>
      <name val="Calibri"/>
      <family val="2"/>
      <scheme val="minor"/>
    </font>
    <font>
      <sz val="11"/>
      <color rgb="FF00B0F0"/>
      <name val="Calibri"/>
      <family val="2"/>
      <scheme val="minor"/>
    </font>
    <font>
      <b/>
      <sz val="11"/>
      <color theme="1"/>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top/>
      <bottom style="medium">
        <color indexed="64"/>
      </bottom>
      <diagonal/>
    </border>
  </borders>
  <cellStyleXfs count="5">
    <xf numFmtId="0" fontId="0" fillId="0" borderId="0"/>
    <xf numFmtId="41" fontId="6" fillId="0" borderId="0" applyFont="0" applyFill="0" applyBorder="0" applyAlignment="0" applyProtection="0"/>
    <xf numFmtId="0" fontId="6" fillId="0" borderId="0"/>
    <xf numFmtId="168" fontId="6" fillId="0" borderId="0" applyFont="0" applyFill="0" applyBorder="0" applyAlignment="0" applyProtection="0"/>
    <xf numFmtId="167" fontId="6" fillId="0" borderId="0" applyFont="0" applyFill="0" applyBorder="0" applyAlignment="0" applyProtection="0"/>
  </cellStyleXfs>
  <cellXfs count="150">
    <xf numFmtId="0" fontId="0" fillId="0" borderId="0" xfId="0"/>
    <xf numFmtId="0" fontId="5" fillId="0" borderId="0" xfId="0" applyFont="1" applyAlignment="1">
      <alignment vertical="center"/>
    </xf>
    <xf numFmtId="0" fontId="5" fillId="0" borderId="0" xfId="0" applyFont="1" applyAlignment="1">
      <alignment horizontal="center" vertical="center"/>
    </xf>
    <xf numFmtId="0" fontId="5" fillId="2" borderId="1" xfId="0" applyFont="1" applyFill="1" applyBorder="1" applyAlignment="1">
      <alignment vertical="top" wrapText="1"/>
    </xf>
    <xf numFmtId="0" fontId="5" fillId="0" borderId="1" xfId="0" applyFont="1" applyBorder="1" applyAlignment="1">
      <alignment horizontal="center" vertical="top" wrapText="1"/>
    </xf>
    <xf numFmtId="0" fontId="5" fillId="0" borderId="1"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vertical="top" wrapText="1"/>
    </xf>
    <xf numFmtId="0" fontId="8" fillId="0" borderId="1" xfId="0" applyFont="1" applyBorder="1" applyAlignment="1">
      <alignment horizontal="left" vertical="top" wrapText="1"/>
    </xf>
    <xf numFmtId="0" fontId="9" fillId="0" borderId="0" xfId="0" applyFont="1" applyAlignment="1">
      <alignment vertical="center"/>
    </xf>
    <xf numFmtId="0" fontId="9" fillId="0" borderId="0" xfId="0" applyFont="1" applyAlignment="1">
      <alignment horizontal="center" vertical="center"/>
    </xf>
    <xf numFmtId="0" fontId="9" fillId="2" borderId="1" xfId="0" applyFont="1" applyFill="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11" fillId="0" borderId="1" xfId="0" applyFont="1" applyBorder="1" applyAlignment="1">
      <alignment vertical="top" wrapText="1"/>
    </xf>
    <xf numFmtId="0" fontId="11" fillId="0" borderId="1" xfId="0" applyFont="1" applyBorder="1" applyAlignment="1">
      <alignment horizontal="left" vertical="top" wrapText="1"/>
    </xf>
    <xf numFmtId="164" fontId="9" fillId="0" borderId="0" xfId="1" applyNumberFormat="1" applyFont="1" applyAlignme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wrapText="1"/>
    </xf>
    <xf numFmtId="0" fontId="13" fillId="0" borderId="1" xfId="0" applyFont="1" applyBorder="1" applyAlignment="1">
      <alignment vertical="top" wrapText="1"/>
    </xf>
    <xf numFmtId="0" fontId="9" fillId="0" borderId="1" xfId="0" applyFont="1" applyBorder="1" applyAlignment="1">
      <alignment horizontal="lef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wrapText="1"/>
    </xf>
    <xf numFmtId="0" fontId="14" fillId="0" borderId="1" xfId="0" applyFont="1" applyBorder="1" applyAlignment="1">
      <alignment vertical="top" wrapText="1"/>
    </xf>
    <xf numFmtId="0" fontId="12" fillId="3" borderId="0" xfId="0" applyFont="1" applyFill="1" applyAlignment="1">
      <alignment vertical="center"/>
    </xf>
    <xf numFmtId="0" fontId="16" fillId="0" borderId="1" xfId="0" applyFont="1" applyBorder="1" applyAlignment="1">
      <alignment vertical="top" wrapText="1"/>
    </xf>
    <xf numFmtId="0" fontId="18" fillId="0" borderId="1" xfId="0" applyFont="1" applyBorder="1" applyAlignment="1">
      <alignment vertical="top" wrapText="1"/>
    </xf>
    <xf numFmtId="0" fontId="20" fillId="0" borderId="1" xfId="0" applyFont="1" applyBorder="1" applyAlignment="1">
      <alignment vertical="top" wrapText="1"/>
    </xf>
    <xf numFmtId="3" fontId="8" fillId="3" borderId="4" xfId="0" applyNumberFormat="1" applyFont="1" applyFill="1" applyBorder="1" applyAlignment="1">
      <alignment horizontal="center" vertical="center" wrapText="1"/>
    </xf>
    <xf numFmtId="3" fontId="8" fillId="3" borderId="4" xfId="2" applyNumberFormat="1" applyFont="1" applyFill="1" applyBorder="1" applyAlignment="1">
      <alignment horizontal="center" vertical="center" wrapText="1"/>
    </xf>
    <xf numFmtId="3" fontId="8" fillId="3" borderId="1" xfId="2" applyNumberFormat="1" applyFont="1" applyFill="1" applyBorder="1" applyAlignment="1">
      <alignment horizontal="center" vertical="center" wrapText="1"/>
    </xf>
    <xf numFmtId="0" fontId="11" fillId="3" borderId="1" xfId="0" applyFont="1" applyFill="1" applyBorder="1" applyAlignment="1">
      <alignment vertical="top" wrapText="1"/>
    </xf>
    <xf numFmtId="0" fontId="16" fillId="3" borderId="1" xfId="0" applyFont="1" applyFill="1" applyBorder="1" applyAlignment="1">
      <alignment vertical="top" wrapText="1"/>
    </xf>
    <xf numFmtId="3" fontId="8" fillId="3" borderId="9" xfId="2" applyNumberFormat="1" applyFont="1" applyFill="1" applyBorder="1" applyAlignment="1">
      <alignment horizontal="center" vertical="center" wrapText="1"/>
    </xf>
    <xf numFmtId="0" fontId="9" fillId="3" borderId="1" xfId="0" applyFont="1" applyFill="1" applyBorder="1" applyAlignment="1">
      <alignment vertical="top" wrapText="1"/>
    </xf>
    <xf numFmtId="3" fontId="8" fillId="3" borderId="1"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3" fontId="8" fillId="3" borderId="1" xfId="0" applyNumberFormat="1"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0" fontId="10" fillId="0" borderId="1" xfId="0" applyFont="1" applyBorder="1" applyAlignment="1">
      <alignment vertical="top" wrapText="1"/>
    </xf>
    <xf numFmtId="0" fontId="15" fillId="3" borderId="1" xfId="0" applyFont="1" applyFill="1" applyBorder="1" applyAlignment="1">
      <alignment vertical="top" wrapText="1"/>
    </xf>
    <xf numFmtId="0" fontId="9"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7" fillId="3" borderId="10" xfId="0" applyFont="1" applyFill="1" applyBorder="1" applyAlignment="1">
      <alignment vertical="top" wrapText="1"/>
    </xf>
    <xf numFmtId="0" fontId="8" fillId="3" borderId="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3" fontId="8" fillId="3" borderId="1" xfId="0" applyNumberFormat="1" applyFont="1" applyFill="1" applyBorder="1" applyAlignment="1">
      <alignment vertical="center" wrapText="1"/>
    </xf>
    <xf numFmtId="0" fontId="8" fillId="3" borderId="9" xfId="0" applyFont="1" applyFill="1" applyBorder="1" applyAlignment="1">
      <alignment horizontal="center" vertical="center" wrapText="1"/>
    </xf>
    <xf numFmtId="1" fontId="8" fillId="3" borderId="4" xfId="0" applyNumberFormat="1"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4" fontId="8" fillId="3" borderId="9" xfId="0" applyNumberFormat="1" applyFont="1" applyFill="1" applyBorder="1" applyAlignment="1">
      <alignment horizontal="center" vertical="center" wrapText="1"/>
    </xf>
    <xf numFmtId="0" fontId="8" fillId="3" borderId="1" xfId="2" applyFont="1" applyFill="1" applyBorder="1" applyAlignment="1">
      <alignment horizontal="center" vertical="center" wrapText="1"/>
    </xf>
    <xf numFmtId="1" fontId="8" fillId="3" borderId="1" xfId="2" applyNumberFormat="1" applyFont="1" applyFill="1" applyBorder="1" applyAlignment="1">
      <alignment horizontal="center" vertical="center" wrapText="1"/>
    </xf>
    <xf numFmtId="3" fontId="8" fillId="3" borderId="1" xfId="2" applyNumberFormat="1" applyFont="1" applyFill="1" applyBorder="1" applyAlignment="1">
      <alignment horizontal="left" vertical="center" wrapText="1"/>
    </xf>
    <xf numFmtId="0" fontId="8" fillId="3" borderId="9" xfId="2" applyFont="1" applyFill="1" applyBorder="1" applyAlignment="1">
      <alignment horizontal="center" vertical="center" wrapText="1"/>
    </xf>
    <xf numFmtId="1" fontId="8" fillId="3" borderId="9" xfId="2" applyNumberFormat="1" applyFont="1" applyFill="1" applyBorder="1" applyAlignment="1">
      <alignment horizontal="center" vertical="center" wrapText="1"/>
    </xf>
    <xf numFmtId="0" fontId="8" fillId="3" borderId="13" xfId="0" applyFont="1" applyFill="1" applyBorder="1" applyAlignment="1">
      <alignment horizontal="center" vertical="center" wrapText="1"/>
    </xf>
    <xf numFmtId="3" fontId="8" fillId="3" borderId="0" xfId="0" applyNumberFormat="1" applyFont="1" applyFill="1" applyAlignment="1">
      <alignment horizontal="center" vertical="center" wrapText="1"/>
    </xf>
    <xf numFmtId="4" fontId="8" fillId="3" borderId="0" xfId="0" applyNumberFormat="1" applyFont="1" applyFill="1" applyAlignment="1">
      <alignment horizontal="center" vertical="center" wrapText="1"/>
    </xf>
    <xf numFmtId="0" fontId="8" fillId="3" borderId="0" xfId="0" applyFont="1" applyFill="1" applyAlignment="1">
      <alignment horizontal="center" vertical="center" wrapText="1"/>
    </xf>
    <xf numFmtId="3" fontId="8" fillId="3" borderId="0" xfId="0" applyNumberFormat="1" applyFont="1" applyFill="1" applyAlignment="1">
      <alignment horizontal="left" vertical="top" wrapText="1"/>
    </xf>
    <xf numFmtId="0" fontId="7" fillId="3" borderId="20" xfId="0" applyFont="1" applyFill="1" applyBorder="1" applyAlignment="1">
      <alignment vertical="center" wrapText="1"/>
    </xf>
    <xf numFmtId="0" fontId="7" fillId="3" borderId="21" xfId="0" applyFont="1" applyFill="1" applyBorder="1" applyAlignment="1">
      <alignment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3" fontId="8" fillId="3" borderId="11"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0" fontId="18" fillId="3" borderId="0" xfId="0" applyFont="1" applyFill="1"/>
    <xf numFmtId="0" fontId="18" fillId="3" borderId="0" xfId="0" applyFont="1" applyFill="1" applyAlignment="1">
      <alignment horizontal="left" vertical="top"/>
    </xf>
    <xf numFmtId="0" fontId="8" fillId="3" borderId="0" xfId="0" applyFont="1" applyFill="1"/>
    <xf numFmtId="0" fontId="7" fillId="3" borderId="9" xfId="0" applyFont="1" applyFill="1" applyBorder="1" applyAlignment="1">
      <alignment vertical="top" wrapText="1"/>
    </xf>
    <xf numFmtId="0" fontId="7" fillId="3" borderId="9" xfId="0" applyFont="1" applyFill="1" applyBorder="1" applyAlignment="1">
      <alignment vertical="top"/>
    </xf>
    <xf numFmtId="3" fontId="21" fillId="3" borderId="0" xfId="0" applyNumberFormat="1" applyFont="1" applyFill="1" applyAlignment="1">
      <alignment vertical="top" wrapText="1"/>
    </xf>
    <xf numFmtId="4" fontId="8" fillId="3" borderId="13" xfId="0" applyNumberFormat="1" applyFont="1" applyFill="1" applyBorder="1" applyAlignment="1">
      <alignment horizontal="center" vertical="center" wrapText="1"/>
    </xf>
    <xf numFmtId="3" fontId="18" fillId="3" borderId="0" xfId="0" applyNumberFormat="1" applyFont="1" applyFill="1"/>
    <xf numFmtId="3" fontId="8" fillId="3" borderId="17" xfId="0" applyNumberFormat="1" applyFont="1" applyFill="1" applyBorder="1" applyAlignment="1">
      <alignment horizontal="center" vertical="center" wrapText="1"/>
    </xf>
    <xf numFmtId="3" fontId="8" fillId="3" borderId="18" xfId="0" applyNumberFormat="1" applyFont="1" applyFill="1" applyBorder="1" applyAlignment="1">
      <alignment horizontal="center" vertical="center" wrapText="1"/>
    </xf>
    <xf numFmtId="3" fontId="18" fillId="3" borderId="18" xfId="0" applyNumberFormat="1" applyFont="1" applyFill="1" applyBorder="1" applyAlignment="1">
      <alignment horizontal="center" vertical="center"/>
    </xf>
    <xf numFmtId="0" fontId="18" fillId="3" borderId="18" xfId="0" applyFont="1" applyFill="1" applyBorder="1" applyAlignment="1">
      <alignment horizontal="center" vertical="center"/>
    </xf>
    <xf numFmtId="3"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3" fontId="18" fillId="3" borderId="14" xfId="0" applyNumberFormat="1" applyFont="1" applyFill="1" applyBorder="1" applyAlignment="1">
      <alignment horizontal="center" vertical="center"/>
    </xf>
    <xf numFmtId="1" fontId="18" fillId="3" borderId="1" xfId="0" applyNumberFormat="1" applyFont="1" applyFill="1" applyBorder="1" applyAlignment="1">
      <alignment horizontal="center" vertical="center"/>
    </xf>
    <xf numFmtId="3" fontId="18" fillId="3" borderId="1" xfId="0" applyNumberFormat="1" applyFont="1" applyFill="1" applyBorder="1" applyAlignment="1">
      <alignment horizontal="center" vertical="center" wrapText="1"/>
    </xf>
    <xf numFmtId="4" fontId="18" fillId="3" borderId="1" xfId="0" applyNumberFormat="1" applyFont="1" applyFill="1" applyBorder="1" applyAlignment="1">
      <alignment horizontal="center" vertical="center"/>
    </xf>
    <xf numFmtId="2" fontId="18" fillId="3" borderId="13" xfId="0" applyNumberFormat="1" applyFont="1" applyFill="1" applyBorder="1" applyAlignment="1">
      <alignment horizontal="center" vertical="center"/>
    </xf>
    <xf numFmtId="3" fontId="18" fillId="3" borderId="13" xfId="0" applyNumberFormat="1" applyFont="1" applyFill="1" applyBorder="1" applyAlignment="1">
      <alignment horizontal="center" vertical="center"/>
    </xf>
    <xf numFmtId="0" fontId="18" fillId="3" borderId="13" xfId="0" applyFont="1" applyFill="1" applyBorder="1" applyAlignment="1">
      <alignment horizontal="center" vertical="center"/>
    </xf>
    <xf numFmtId="3" fontId="18" fillId="3" borderId="15" xfId="0" applyNumberFormat="1" applyFont="1" applyFill="1" applyBorder="1" applyAlignment="1">
      <alignment horizontal="center" vertical="center"/>
    </xf>
    <xf numFmtId="3" fontId="8" fillId="4" borderId="4"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3" fontId="18" fillId="4" borderId="19" xfId="0" applyNumberFormat="1" applyFont="1" applyFill="1" applyBorder="1" applyAlignment="1">
      <alignment horizontal="center" vertical="center"/>
    </xf>
    <xf numFmtId="3" fontId="18" fillId="4" borderId="1" xfId="0" applyNumberFormat="1" applyFont="1" applyFill="1" applyBorder="1" applyAlignment="1">
      <alignment horizontal="center" vertical="center"/>
    </xf>
    <xf numFmtId="3" fontId="18" fillId="4" borderId="14" xfId="0" applyNumberFormat="1" applyFont="1" applyFill="1" applyBorder="1" applyAlignment="1">
      <alignment horizontal="center" vertical="center"/>
    </xf>
    <xf numFmtId="0" fontId="18" fillId="4" borderId="0" xfId="0" applyFont="1" applyFill="1"/>
    <xf numFmtId="1" fontId="18" fillId="3" borderId="0" xfId="0" applyNumberFormat="1" applyFont="1" applyFill="1" applyAlignment="1">
      <alignment horizontal="left" indent="4"/>
    </xf>
    <xf numFmtId="0" fontId="24" fillId="3" borderId="0" xfId="0" quotePrefix="1" applyFont="1" applyFill="1" applyAlignment="1">
      <alignment wrapText="1"/>
    </xf>
    <xf numFmtId="3" fontId="4" fillId="3" borderId="1" xfId="0" applyNumberFormat="1" applyFont="1" applyFill="1" applyBorder="1" applyAlignment="1">
      <alignment vertical="top" wrapText="1"/>
    </xf>
    <xf numFmtId="3" fontId="8" fillId="3" borderId="13" xfId="0" applyNumberFormat="1" applyFont="1" applyFill="1" applyBorder="1" applyAlignment="1">
      <alignment horizontal="left" vertical="center" wrapText="1"/>
    </xf>
    <xf numFmtId="3" fontId="4" fillId="3" borderId="13" xfId="0" applyNumberFormat="1" applyFont="1" applyFill="1" applyBorder="1" applyAlignment="1">
      <alignment vertical="top" wrapText="1"/>
    </xf>
    <xf numFmtId="3" fontId="8" fillId="3" borderId="18" xfId="0" applyNumberFormat="1" applyFont="1" applyFill="1" applyBorder="1" applyAlignment="1">
      <alignment horizontal="left" vertical="center" wrapText="1"/>
    </xf>
    <xf numFmtId="3" fontId="4" fillId="3" borderId="18" xfId="0" applyNumberFormat="1" applyFont="1" applyFill="1" applyBorder="1" applyAlignment="1">
      <alignment vertical="top" wrapText="1"/>
    </xf>
    <xf numFmtId="3" fontId="8" fillId="3" borderId="18" xfId="2" applyNumberFormat="1" applyFont="1" applyFill="1" applyBorder="1" applyAlignment="1">
      <alignment horizontal="left" vertical="center" wrapText="1"/>
    </xf>
    <xf numFmtId="3" fontId="8" fillId="3" borderId="18" xfId="0" applyNumberFormat="1" applyFont="1" applyFill="1" applyBorder="1" applyAlignment="1">
      <alignment horizontal="left" wrapText="1"/>
    </xf>
    <xf numFmtId="0" fontId="8" fillId="3" borderId="18" xfId="0" applyFont="1" applyFill="1" applyBorder="1" applyAlignment="1">
      <alignment horizontal="left" vertical="center" wrapText="1"/>
    </xf>
    <xf numFmtId="0" fontId="18" fillId="3" borderId="23" xfId="0" applyFont="1" applyFill="1" applyBorder="1" applyAlignment="1">
      <alignment horizontal="left" vertical="top"/>
    </xf>
    <xf numFmtId="0" fontId="18" fillId="3" borderId="23" xfId="0" applyFont="1" applyFill="1" applyBorder="1"/>
    <xf numFmtId="0" fontId="18" fillId="3" borderId="24" xfId="0" applyFont="1" applyFill="1" applyBorder="1" applyAlignment="1">
      <alignment horizontal="left" vertical="top"/>
    </xf>
    <xf numFmtId="0" fontId="18" fillId="3" borderId="24" xfId="0" applyFont="1" applyFill="1" applyBorder="1"/>
    <xf numFmtId="3" fontId="3" fillId="3" borderId="1" xfId="0" applyNumberFormat="1" applyFont="1" applyFill="1" applyBorder="1" applyAlignment="1">
      <alignment vertical="top" wrapText="1"/>
    </xf>
    <xf numFmtId="3" fontId="3" fillId="3" borderId="18" xfId="0" applyNumberFormat="1" applyFont="1" applyFill="1" applyBorder="1" applyAlignment="1">
      <alignment vertical="top" wrapText="1"/>
    </xf>
    <xf numFmtId="3" fontId="2" fillId="3" borderId="18" xfId="0" applyNumberFormat="1" applyFont="1" applyFill="1" applyBorder="1" applyAlignment="1">
      <alignment vertical="top" wrapText="1"/>
    </xf>
    <xf numFmtId="0" fontId="7" fillId="3" borderId="0" xfId="0" applyFont="1" applyFill="1" applyAlignment="1">
      <alignment horizontal="left" vertical="top" wrapText="1"/>
    </xf>
    <xf numFmtId="0" fontId="7" fillId="3" borderId="2"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3"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3"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4" xfId="0" applyFont="1" applyFill="1" applyBorder="1" applyAlignment="1">
      <alignment horizontal="center" vertical="top" wrapText="1"/>
    </xf>
    <xf numFmtId="0" fontId="7" fillId="3" borderId="5" xfId="0" applyFont="1" applyFill="1" applyBorder="1" applyAlignment="1">
      <alignment horizontal="center" vertical="top" wrapText="1"/>
    </xf>
    <xf numFmtId="0" fontId="7" fillId="3" borderId="4"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3" borderId="4" xfId="0" applyFont="1" applyFill="1" applyBorder="1" applyAlignment="1">
      <alignment horizontal="center" vertical="top"/>
    </xf>
    <xf numFmtId="0" fontId="7" fillId="3" borderId="3" xfId="0" applyFont="1" applyFill="1" applyBorder="1" applyAlignment="1">
      <alignment horizontal="center" vertical="top"/>
    </xf>
    <xf numFmtId="0" fontId="7" fillId="3" borderId="8" xfId="0" applyFont="1" applyFill="1" applyBorder="1" applyAlignment="1">
      <alignment horizontal="center" vertical="top"/>
    </xf>
    <xf numFmtId="3" fontId="8" fillId="3" borderId="1" xfId="0" applyNumberFormat="1" applyFont="1" applyFill="1" applyBorder="1" applyAlignment="1">
      <alignment horizontal="center" vertical="center" wrapText="1"/>
    </xf>
    <xf numFmtId="3" fontId="8" fillId="4" borderId="4" xfId="0" applyNumberFormat="1"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7" fillId="3" borderId="6" xfId="0" applyFont="1" applyFill="1" applyBorder="1" applyAlignment="1">
      <alignment horizontal="center" vertical="top" wrapText="1"/>
    </xf>
    <xf numFmtId="0" fontId="7" fillId="3" borderId="18" xfId="0" applyFont="1" applyFill="1" applyBorder="1" applyAlignment="1">
      <alignment horizontal="center" vertical="top"/>
    </xf>
    <xf numFmtId="0" fontId="7" fillId="3" borderId="13" xfId="0" applyFont="1" applyFill="1" applyBorder="1" applyAlignment="1">
      <alignment horizontal="center" vertical="top"/>
    </xf>
    <xf numFmtId="3" fontId="8" fillId="3" borderId="2" xfId="0" applyNumberFormat="1" applyFont="1" applyFill="1" applyBorder="1" applyAlignment="1">
      <alignment horizontal="center" vertical="center" wrapText="1"/>
    </xf>
    <xf numFmtId="3" fontId="8" fillId="3" borderId="11"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9"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wrapText="1"/>
    </xf>
    <xf numFmtId="3" fontId="7" fillId="3" borderId="4"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3" borderId="16"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0" fontId="7" fillId="4" borderId="18" xfId="0" applyFont="1" applyFill="1" applyBorder="1" applyAlignment="1">
      <alignment horizontal="center" vertical="center"/>
    </xf>
    <xf numFmtId="0" fontId="7" fillId="4" borderId="13" xfId="0" applyFont="1" applyFill="1" applyBorder="1" applyAlignment="1">
      <alignment horizontal="center" vertical="center"/>
    </xf>
    <xf numFmtId="3" fontId="8" fillId="3" borderId="12" xfId="0" applyNumberFormat="1" applyFont="1" applyFill="1" applyBorder="1" applyAlignment="1">
      <alignment horizontal="center" vertical="center" wrapText="1"/>
    </xf>
    <xf numFmtId="3" fontId="21" fillId="3" borderId="1" xfId="0" applyNumberFormat="1" applyFont="1" applyFill="1" applyBorder="1" applyAlignment="1">
      <alignment vertical="top" wrapText="1"/>
    </xf>
    <xf numFmtId="0" fontId="25" fillId="0" borderId="1" xfId="0" applyFont="1" applyBorder="1" applyAlignment="1">
      <alignment horizontal="center" vertical="center"/>
    </xf>
    <xf numFmtId="0" fontId="1" fillId="4" borderId="1" xfId="0" applyFont="1" applyFill="1" applyBorder="1" applyAlignment="1">
      <alignment vertical="top" wrapText="1"/>
    </xf>
  </cellXfs>
  <cellStyles count="5">
    <cellStyle name="Įprastas" xfId="0" builtinId="0"/>
    <cellStyle name="Įprastas 2" xfId="2" xr:uid="{00000000-0005-0000-0000-000001000000}"/>
    <cellStyle name="Kablelis [0]" xfId="1" builtinId="6"/>
    <cellStyle name="Kablelis [0] 2" xfId="4" xr:uid="{7B5C5C4B-C316-4357-A8F2-FB99DF361F76}"/>
    <cellStyle name="Kablelis 2" xfId="3" xr:uid="{0766F006-57CE-4D51-9EAA-124071A523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7D2B2-6B62-4FCC-ACF6-2B16942842AA}">
  <sheetPr>
    <tabColor theme="0"/>
  </sheetPr>
  <dimension ref="A1:T90"/>
  <sheetViews>
    <sheetView tabSelected="1" topLeftCell="A48" zoomScale="80" zoomScaleNormal="80" workbookViewId="0">
      <selection activeCell="E50" sqref="E50"/>
    </sheetView>
  </sheetViews>
  <sheetFormatPr defaultColWidth="9.109375" defaultRowHeight="14.4" x14ac:dyDescent="0.3"/>
  <cols>
    <col min="1" max="1" width="25.33203125" style="70" customWidth="1"/>
    <col min="2" max="2" width="27.44140625" style="70" customWidth="1"/>
    <col min="3" max="3" width="21" style="70" customWidth="1"/>
    <col min="4" max="4" width="21.88671875" style="70" customWidth="1"/>
    <col min="5" max="5" width="17.109375" style="70" customWidth="1"/>
    <col min="6" max="6" width="17.33203125" style="70" customWidth="1"/>
    <col min="7" max="7" width="16.109375" style="70" customWidth="1"/>
    <col min="8" max="8" width="14.44140625" style="70" customWidth="1"/>
    <col min="9" max="9" width="31.109375" style="70" customWidth="1"/>
    <col min="10" max="10" width="16.6640625" style="70" customWidth="1"/>
    <col min="11" max="11" width="13.109375" style="70" customWidth="1"/>
    <col min="12" max="12" width="13" style="70" customWidth="1"/>
    <col min="13" max="13" width="15.33203125" style="70" customWidth="1"/>
    <col min="14" max="14" width="13.88671875" style="70" customWidth="1"/>
    <col min="15" max="16" width="15" style="70" customWidth="1"/>
    <col min="17" max="17" width="21.88671875" style="70" customWidth="1"/>
    <col min="18" max="18" width="109" style="71" customWidth="1"/>
    <col min="19" max="19" width="52.44140625" style="70" customWidth="1"/>
    <col min="20" max="20" width="32" style="70" customWidth="1"/>
    <col min="21" max="16384" width="9.109375" style="70"/>
  </cols>
  <sheetData>
    <row r="1" spans="1:20" ht="17.25" customHeight="1" x14ac:dyDescent="0.3">
      <c r="A1" s="115" t="s">
        <v>141</v>
      </c>
      <c r="B1" s="115"/>
      <c r="C1" s="115"/>
      <c r="D1" s="115"/>
      <c r="E1" s="115"/>
      <c r="F1" s="115"/>
      <c r="G1" s="115"/>
      <c r="H1" s="115"/>
      <c r="I1" s="115"/>
      <c r="R1" s="108"/>
      <c r="S1" s="109"/>
    </row>
    <row r="2" spans="1:20" x14ac:dyDescent="0.3">
      <c r="A2" s="115" t="s">
        <v>142</v>
      </c>
      <c r="B2" s="115"/>
      <c r="C2" s="115"/>
      <c r="D2" s="115"/>
      <c r="E2" s="115"/>
      <c r="F2" s="115"/>
      <c r="G2" s="115"/>
      <c r="H2" s="115"/>
      <c r="I2" s="115"/>
      <c r="J2" s="115"/>
      <c r="K2" s="115"/>
      <c r="L2" s="115"/>
      <c r="M2" s="115"/>
    </row>
    <row r="3" spans="1:20" ht="15" thickBot="1" x14ac:dyDescent="0.35">
      <c r="A3" s="72" t="s">
        <v>0</v>
      </c>
      <c r="R3" s="110"/>
      <c r="S3" s="111"/>
    </row>
    <row r="4" spans="1:20" x14ac:dyDescent="0.3">
      <c r="A4" s="116" t="s">
        <v>1</v>
      </c>
      <c r="B4" s="118" t="s">
        <v>2</v>
      </c>
      <c r="C4" s="120" t="s">
        <v>3</v>
      </c>
      <c r="D4" s="122" t="s">
        <v>4</v>
      </c>
      <c r="E4" s="123"/>
      <c r="F4" s="123"/>
      <c r="G4" s="124" t="s">
        <v>192</v>
      </c>
      <c r="H4" s="126" t="s">
        <v>5</v>
      </c>
      <c r="I4" s="126"/>
      <c r="J4" s="118" t="s">
        <v>6</v>
      </c>
      <c r="K4" s="127" t="s">
        <v>7</v>
      </c>
      <c r="L4" s="118" t="s">
        <v>8</v>
      </c>
      <c r="M4" s="123" t="s">
        <v>9</v>
      </c>
      <c r="N4" s="132"/>
      <c r="O4" s="118" t="s">
        <v>10</v>
      </c>
      <c r="P4" s="118" t="s">
        <v>11</v>
      </c>
      <c r="Q4" s="118" t="s">
        <v>12</v>
      </c>
      <c r="R4" s="133" t="s">
        <v>13</v>
      </c>
      <c r="S4" s="144" t="s">
        <v>208</v>
      </c>
      <c r="T4" s="148" t="s">
        <v>217</v>
      </c>
    </row>
    <row r="5" spans="1:20" ht="29.4" thickBot="1" x14ac:dyDescent="0.35">
      <c r="A5" s="117"/>
      <c r="B5" s="119"/>
      <c r="C5" s="121"/>
      <c r="D5" s="73" t="s">
        <v>14</v>
      </c>
      <c r="E5" s="45" t="s">
        <v>15</v>
      </c>
      <c r="F5" s="45" t="s">
        <v>16</v>
      </c>
      <c r="G5" s="125"/>
      <c r="H5" s="73" t="s">
        <v>17</v>
      </c>
      <c r="I5" s="74" t="s">
        <v>18</v>
      </c>
      <c r="J5" s="119"/>
      <c r="K5" s="128"/>
      <c r="L5" s="119"/>
      <c r="M5" s="74" t="s">
        <v>19</v>
      </c>
      <c r="N5" s="74" t="s">
        <v>20</v>
      </c>
      <c r="O5" s="119"/>
      <c r="P5" s="119"/>
      <c r="Q5" s="119"/>
      <c r="R5" s="134"/>
      <c r="S5" s="145"/>
      <c r="T5" s="148"/>
    </row>
    <row r="6" spans="1:20" s="75" customFormat="1" ht="201.6" x14ac:dyDescent="0.3">
      <c r="A6" s="135" t="s">
        <v>122</v>
      </c>
      <c r="B6" s="139">
        <f>SUM(C6,E6)</f>
        <v>20944557</v>
      </c>
      <c r="C6" s="130">
        <f>+(15173734-2607000)</f>
        <v>12566734</v>
      </c>
      <c r="D6" s="139" t="s">
        <v>126</v>
      </c>
      <c r="E6" s="130">
        <f>ROUND((C6/0.6*0.4),0)</f>
        <v>8377823</v>
      </c>
      <c r="F6" s="130">
        <f>SUM(C6,E6)</f>
        <v>20944557</v>
      </c>
      <c r="G6" s="130">
        <f>F6</f>
        <v>20944557</v>
      </c>
      <c r="H6" s="30" t="s">
        <v>21</v>
      </c>
      <c r="I6" s="30" t="s">
        <v>119</v>
      </c>
      <c r="J6" s="139" t="s">
        <v>22</v>
      </c>
      <c r="K6" s="139" t="s">
        <v>23</v>
      </c>
      <c r="L6" s="30" t="s">
        <v>24</v>
      </c>
      <c r="M6" s="30">
        <v>0</v>
      </c>
      <c r="N6" s="46" t="s">
        <v>25</v>
      </c>
      <c r="O6" s="30">
        <v>1830</v>
      </c>
      <c r="P6" s="92">
        <f>P7</f>
        <v>5050.8</v>
      </c>
      <c r="Q6" s="30" t="s">
        <v>77</v>
      </c>
      <c r="R6" s="107" t="s">
        <v>26</v>
      </c>
      <c r="S6" s="114" t="s">
        <v>215</v>
      </c>
      <c r="T6" s="149" t="s">
        <v>218</v>
      </c>
    </row>
    <row r="7" spans="1:20" s="75" customFormat="1" ht="316.8" x14ac:dyDescent="0.3">
      <c r="A7" s="136"/>
      <c r="B7" s="129"/>
      <c r="C7" s="131"/>
      <c r="D7" s="129"/>
      <c r="E7" s="131"/>
      <c r="F7" s="131"/>
      <c r="G7" s="131"/>
      <c r="H7" s="37" t="s">
        <v>27</v>
      </c>
      <c r="I7" s="37" t="s">
        <v>153</v>
      </c>
      <c r="J7" s="129"/>
      <c r="K7" s="129"/>
      <c r="L7" s="37" t="s">
        <v>24</v>
      </c>
      <c r="M7" s="37">
        <v>0</v>
      </c>
      <c r="N7" s="37" t="s">
        <v>25</v>
      </c>
      <c r="O7" s="37">
        <v>1830</v>
      </c>
      <c r="P7" s="93">
        <f>6100-(6100*0.172)</f>
        <v>5050.8</v>
      </c>
      <c r="Q7" s="37" t="s">
        <v>77</v>
      </c>
      <c r="R7" s="39" t="s">
        <v>209</v>
      </c>
      <c r="S7" s="113" t="s">
        <v>215</v>
      </c>
      <c r="T7" s="147"/>
    </row>
    <row r="8" spans="1:20" s="75" customFormat="1" ht="158.4" x14ac:dyDescent="0.3">
      <c r="A8" s="136"/>
      <c r="B8" s="129"/>
      <c r="C8" s="131"/>
      <c r="D8" s="129"/>
      <c r="E8" s="131"/>
      <c r="F8" s="131"/>
      <c r="G8" s="131"/>
      <c r="H8" s="37" t="s">
        <v>28</v>
      </c>
      <c r="I8" s="37" t="s">
        <v>154</v>
      </c>
      <c r="J8" s="129"/>
      <c r="K8" s="129"/>
      <c r="L8" s="37" t="s">
        <v>24</v>
      </c>
      <c r="M8" s="93">
        <f>3005-(3005*0.172)</f>
        <v>2488.14</v>
      </c>
      <c r="N8" s="47">
        <v>2021</v>
      </c>
      <c r="O8" s="37" t="s">
        <v>25</v>
      </c>
      <c r="P8" s="93">
        <f>2956-(2956*0.172)</f>
        <v>2447.5680000000002</v>
      </c>
      <c r="Q8" s="37" t="s">
        <v>77</v>
      </c>
      <c r="R8" s="48" t="s">
        <v>210</v>
      </c>
      <c r="S8" s="112" t="s">
        <v>216</v>
      </c>
      <c r="T8" s="147"/>
    </row>
    <row r="9" spans="1:20" s="75" customFormat="1" ht="158.4" x14ac:dyDescent="0.3">
      <c r="A9" s="136"/>
      <c r="B9" s="129"/>
      <c r="C9" s="131"/>
      <c r="D9" s="129"/>
      <c r="E9" s="131"/>
      <c r="F9" s="131"/>
      <c r="G9" s="131"/>
      <c r="H9" s="37" t="s">
        <v>29</v>
      </c>
      <c r="I9" s="37" t="s">
        <v>155</v>
      </c>
      <c r="J9" s="129"/>
      <c r="K9" s="129"/>
      <c r="L9" s="37" t="s">
        <v>24</v>
      </c>
      <c r="M9" s="93">
        <f>3806-(3806*0.172)</f>
        <v>3151.3679999999999</v>
      </c>
      <c r="N9" s="47">
        <v>2021</v>
      </c>
      <c r="O9" s="37" t="s">
        <v>25</v>
      </c>
      <c r="P9" s="93">
        <f>P7*0.45</f>
        <v>2272.86</v>
      </c>
      <c r="Q9" s="37" t="s">
        <v>77</v>
      </c>
      <c r="R9" s="49" t="s">
        <v>211</v>
      </c>
      <c r="S9" s="112" t="s">
        <v>216</v>
      </c>
      <c r="T9" s="147"/>
    </row>
    <row r="10" spans="1:20" s="75" customFormat="1" ht="158.4" x14ac:dyDescent="0.3">
      <c r="A10" s="136"/>
      <c r="B10" s="129"/>
      <c r="C10" s="131"/>
      <c r="D10" s="129"/>
      <c r="E10" s="131"/>
      <c r="F10" s="131"/>
      <c r="G10" s="131"/>
      <c r="H10" s="37" t="s">
        <v>30</v>
      </c>
      <c r="I10" s="37" t="s">
        <v>156</v>
      </c>
      <c r="J10" s="129"/>
      <c r="K10" s="129"/>
      <c r="L10" s="37" t="s">
        <v>24</v>
      </c>
      <c r="M10" s="93">
        <f>3160-(3160*0.172)</f>
        <v>2616.48</v>
      </c>
      <c r="N10" s="47">
        <v>2021</v>
      </c>
      <c r="O10" s="37" t="s">
        <v>25</v>
      </c>
      <c r="P10" s="93">
        <f>P7*0.55</f>
        <v>2777.9400000000005</v>
      </c>
      <c r="Q10" s="37" t="s">
        <v>77</v>
      </c>
      <c r="R10" s="39" t="s">
        <v>212</v>
      </c>
      <c r="S10" s="112" t="s">
        <v>216</v>
      </c>
      <c r="T10" s="147"/>
    </row>
    <row r="11" spans="1:20" s="75" customFormat="1" ht="28.8" x14ac:dyDescent="0.3">
      <c r="A11" s="136"/>
      <c r="B11" s="129">
        <f>SUM(C11,E11)</f>
        <v>6322390</v>
      </c>
      <c r="C11" s="129">
        <v>3793434</v>
      </c>
      <c r="D11" s="129" t="s">
        <v>127</v>
      </c>
      <c r="E11" s="129">
        <f>ROUND((C11/0.6*0.4),0)</f>
        <v>2528956</v>
      </c>
      <c r="F11" s="129">
        <f>SUM(C11,E11)</f>
        <v>6322390</v>
      </c>
      <c r="G11" s="129">
        <f>F11</f>
        <v>6322390</v>
      </c>
      <c r="H11" s="37" t="s">
        <v>21</v>
      </c>
      <c r="I11" s="37" t="s">
        <v>119</v>
      </c>
      <c r="J11" s="129" t="s">
        <v>22</v>
      </c>
      <c r="K11" s="129" t="s">
        <v>23</v>
      </c>
      <c r="L11" s="37" t="s">
        <v>24</v>
      </c>
      <c r="M11" s="37">
        <v>0</v>
      </c>
      <c r="N11" s="47" t="s">
        <v>25</v>
      </c>
      <c r="O11" s="37">
        <f>P11*0.3</f>
        <v>457.5</v>
      </c>
      <c r="P11" s="37">
        <f>P12</f>
        <v>1525</v>
      </c>
      <c r="Q11" s="37" t="s">
        <v>77</v>
      </c>
      <c r="R11" s="39" t="s">
        <v>31</v>
      </c>
      <c r="S11" s="100"/>
      <c r="T11" s="147"/>
    </row>
    <row r="12" spans="1:20" s="75" customFormat="1" ht="57.6" x14ac:dyDescent="0.3">
      <c r="A12" s="136"/>
      <c r="B12" s="129"/>
      <c r="C12" s="129"/>
      <c r="D12" s="129"/>
      <c r="E12" s="129"/>
      <c r="F12" s="129"/>
      <c r="G12" s="129"/>
      <c r="H12" s="37" t="s">
        <v>27</v>
      </c>
      <c r="I12" s="37" t="s">
        <v>157</v>
      </c>
      <c r="J12" s="129"/>
      <c r="K12" s="129"/>
      <c r="L12" s="37" t="s">
        <v>24</v>
      </c>
      <c r="M12" s="37">
        <v>0</v>
      </c>
      <c r="N12" s="47" t="s">
        <v>25</v>
      </c>
      <c r="O12" s="37">
        <f>P12*0.3</f>
        <v>457.5</v>
      </c>
      <c r="P12" s="37">
        <f>P13</f>
        <v>1525</v>
      </c>
      <c r="Q12" s="37" t="s">
        <v>77</v>
      </c>
      <c r="R12" s="39" t="s">
        <v>32</v>
      </c>
      <c r="S12" s="100"/>
      <c r="T12" s="147"/>
    </row>
    <row r="13" spans="1:20" s="75" customFormat="1" ht="375.75" customHeight="1" x14ac:dyDescent="0.3">
      <c r="A13" s="136"/>
      <c r="B13" s="129"/>
      <c r="C13" s="129"/>
      <c r="D13" s="129"/>
      <c r="E13" s="129"/>
      <c r="F13" s="129"/>
      <c r="G13" s="129"/>
      <c r="H13" s="37" t="s">
        <v>33</v>
      </c>
      <c r="I13" s="37" t="s">
        <v>158</v>
      </c>
      <c r="J13" s="129"/>
      <c r="K13" s="129"/>
      <c r="L13" s="37" t="s">
        <v>24</v>
      </c>
      <c r="M13" s="37">
        <v>0</v>
      </c>
      <c r="N13" s="47" t="s">
        <v>25</v>
      </c>
      <c r="O13" s="37">
        <f>P13*0.3</f>
        <v>457.5</v>
      </c>
      <c r="P13" s="37">
        <v>1525</v>
      </c>
      <c r="Q13" s="37" t="s">
        <v>77</v>
      </c>
      <c r="R13" s="39" t="s">
        <v>177</v>
      </c>
      <c r="S13" s="100"/>
      <c r="T13" s="147"/>
    </row>
    <row r="14" spans="1:20" s="75" customFormat="1" ht="144" x14ac:dyDescent="0.3">
      <c r="A14" s="136"/>
      <c r="B14" s="129"/>
      <c r="C14" s="129"/>
      <c r="D14" s="129"/>
      <c r="E14" s="129"/>
      <c r="F14" s="129"/>
      <c r="G14" s="129"/>
      <c r="H14" s="37" t="s">
        <v>28</v>
      </c>
      <c r="I14" s="37" t="s">
        <v>159</v>
      </c>
      <c r="J14" s="129"/>
      <c r="K14" s="129"/>
      <c r="L14" s="37" t="s">
        <v>24</v>
      </c>
      <c r="M14" s="37">
        <v>751</v>
      </c>
      <c r="N14" s="47">
        <v>2021</v>
      </c>
      <c r="O14" s="37" t="s">
        <v>25</v>
      </c>
      <c r="P14" s="37">
        <v>739</v>
      </c>
      <c r="Q14" s="37" t="s">
        <v>77</v>
      </c>
      <c r="R14" s="48" t="s">
        <v>193</v>
      </c>
      <c r="S14" s="100"/>
      <c r="T14" s="147"/>
    </row>
    <row r="15" spans="1:20" s="75" customFormat="1" ht="158.4" x14ac:dyDescent="0.3">
      <c r="A15" s="136"/>
      <c r="B15" s="129"/>
      <c r="C15" s="129"/>
      <c r="D15" s="129"/>
      <c r="E15" s="129"/>
      <c r="F15" s="129"/>
      <c r="G15" s="129"/>
      <c r="H15" s="37" t="s">
        <v>29</v>
      </c>
      <c r="I15" s="37" t="s">
        <v>155</v>
      </c>
      <c r="J15" s="129"/>
      <c r="K15" s="129"/>
      <c r="L15" s="37" t="s">
        <v>24</v>
      </c>
      <c r="M15" s="37">
        <v>951</v>
      </c>
      <c r="N15" s="47">
        <v>2021</v>
      </c>
      <c r="O15" s="37" t="s">
        <v>25</v>
      </c>
      <c r="P15" s="37">
        <f>P13*0.45</f>
        <v>686.25</v>
      </c>
      <c r="Q15" s="37" t="s">
        <v>77</v>
      </c>
      <c r="R15" s="39" t="s">
        <v>194</v>
      </c>
      <c r="S15" s="100"/>
      <c r="T15" s="147"/>
    </row>
    <row r="16" spans="1:20" s="75" customFormat="1" ht="158.4" x14ac:dyDescent="0.3">
      <c r="A16" s="136"/>
      <c r="B16" s="129"/>
      <c r="C16" s="129"/>
      <c r="D16" s="129"/>
      <c r="E16" s="129"/>
      <c r="F16" s="129"/>
      <c r="G16" s="129"/>
      <c r="H16" s="37" t="s">
        <v>30</v>
      </c>
      <c r="I16" s="37" t="s">
        <v>156</v>
      </c>
      <c r="J16" s="129"/>
      <c r="K16" s="129"/>
      <c r="L16" s="37" t="s">
        <v>24</v>
      </c>
      <c r="M16" s="37">
        <v>790</v>
      </c>
      <c r="N16" s="47">
        <v>2021</v>
      </c>
      <c r="O16" s="37" t="s">
        <v>25</v>
      </c>
      <c r="P16" s="37">
        <f>P13*0.55</f>
        <v>838.75000000000011</v>
      </c>
      <c r="Q16" s="37" t="s">
        <v>77</v>
      </c>
      <c r="R16" s="39" t="s">
        <v>195</v>
      </c>
      <c r="S16" s="100"/>
      <c r="T16" s="147"/>
    </row>
    <row r="17" spans="1:20" s="75" customFormat="1" ht="43.2" x14ac:dyDescent="0.3">
      <c r="A17" s="136"/>
      <c r="B17" s="129">
        <f>SUM(C17,E17)</f>
        <v>139086090</v>
      </c>
      <c r="C17" s="131">
        <f>159524786-27393000</f>
        <v>132131786</v>
      </c>
      <c r="D17" s="129" t="s">
        <v>126</v>
      </c>
      <c r="E17" s="131">
        <f>ROUNDDOWN((C17/0.95*0.05),0)</f>
        <v>6954304</v>
      </c>
      <c r="F17" s="131">
        <f>SUM(C17,E17)</f>
        <v>139086090</v>
      </c>
      <c r="G17" s="131">
        <f>F17</f>
        <v>139086090</v>
      </c>
      <c r="H17" s="37" t="s">
        <v>21</v>
      </c>
      <c r="I17" s="37" t="s">
        <v>119</v>
      </c>
      <c r="J17" s="129" t="s">
        <v>34</v>
      </c>
      <c r="K17" s="129" t="s">
        <v>23</v>
      </c>
      <c r="L17" s="37" t="s">
        <v>24</v>
      </c>
      <c r="M17" s="37">
        <v>0</v>
      </c>
      <c r="N17" s="47" t="s">
        <v>25</v>
      </c>
      <c r="O17" s="37">
        <v>11210</v>
      </c>
      <c r="P17" s="93">
        <f>P18</f>
        <v>30938.22</v>
      </c>
      <c r="Q17" s="37" t="s">
        <v>77</v>
      </c>
      <c r="R17" s="48" t="s">
        <v>26</v>
      </c>
      <c r="S17" s="113" t="s">
        <v>215</v>
      </c>
      <c r="T17" s="147"/>
    </row>
    <row r="18" spans="1:20" s="75" customFormat="1" ht="316.8" x14ac:dyDescent="0.3">
      <c r="A18" s="136"/>
      <c r="B18" s="129"/>
      <c r="C18" s="131"/>
      <c r="D18" s="129"/>
      <c r="E18" s="131"/>
      <c r="F18" s="131"/>
      <c r="G18" s="131"/>
      <c r="H18" s="37" t="s">
        <v>27</v>
      </c>
      <c r="I18" s="37" t="s">
        <v>157</v>
      </c>
      <c r="J18" s="129"/>
      <c r="K18" s="129"/>
      <c r="L18" s="37" t="s">
        <v>24</v>
      </c>
      <c r="M18" s="37">
        <v>0</v>
      </c>
      <c r="N18" s="37" t="s">
        <v>25</v>
      </c>
      <c r="O18" s="37">
        <v>11210</v>
      </c>
      <c r="P18" s="93">
        <f>37365-(37365*0.172)</f>
        <v>30938.22</v>
      </c>
      <c r="Q18" s="37" t="s">
        <v>77</v>
      </c>
      <c r="R18" s="39" t="s">
        <v>213</v>
      </c>
      <c r="S18" s="113" t="s">
        <v>215</v>
      </c>
      <c r="T18" s="147"/>
    </row>
    <row r="19" spans="1:20" s="75" customFormat="1" ht="144" x14ac:dyDescent="0.3">
      <c r="A19" s="136"/>
      <c r="B19" s="129"/>
      <c r="C19" s="131"/>
      <c r="D19" s="129"/>
      <c r="E19" s="131"/>
      <c r="F19" s="131"/>
      <c r="G19" s="131"/>
      <c r="H19" s="37" t="s">
        <v>28</v>
      </c>
      <c r="I19" s="37" t="s">
        <v>154</v>
      </c>
      <c r="J19" s="129"/>
      <c r="K19" s="129"/>
      <c r="L19" s="37" t="s">
        <v>24</v>
      </c>
      <c r="M19" s="93">
        <f>15779-(15779*0.172)</f>
        <v>13065.012000000001</v>
      </c>
      <c r="N19" s="47">
        <v>2021</v>
      </c>
      <c r="O19" s="37" t="s">
        <v>25</v>
      </c>
      <c r="P19" s="93">
        <f>15521-(15521*0.172)</f>
        <v>12851.388000000001</v>
      </c>
      <c r="Q19" s="37" t="s">
        <v>77</v>
      </c>
      <c r="R19" s="48" t="s">
        <v>196</v>
      </c>
      <c r="S19" s="112" t="s">
        <v>216</v>
      </c>
      <c r="T19" s="147"/>
    </row>
    <row r="20" spans="1:20" s="75" customFormat="1" ht="158.4" x14ac:dyDescent="0.3">
      <c r="A20" s="136"/>
      <c r="B20" s="129"/>
      <c r="C20" s="131"/>
      <c r="D20" s="129"/>
      <c r="E20" s="131"/>
      <c r="F20" s="131"/>
      <c r="G20" s="131"/>
      <c r="H20" s="37" t="s">
        <v>29</v>
      </c>
      <c r="I20" s="37" t="s">
        <v>155</v>
      </c>
      <c r="J20" s="129"/>
      <c r="K20" s="129"/>
      <c r="L20" s="37" t="s">
        <v>24</v>
      </c>
      <c r="M20" s="93">
        <f>23316-(23316*0.172)</f>
        <v>19305.648000000001</v>
      </c>
      <c r="N20" s="47">
        <v>2021</v>
      </c>
      <c r="O20" s="37" t="s">
        <v>25</v>
      </c>
      <c r="P20" s="93">
        <f>P18*0.45</f>
        <v>13922.199000000001</v>
      </c>
      <c r="Q20" s="37" t="s">
        <v>77</v>
      </c>
      <c r="R20" s="39" t="s">
        <v>214</v>
      </c>
      <c r="S20" s="112" t="s">
        <v>216</v>
      </c>
      <c r="T20" s="147"/>
    </row>
    <row r="21" spans="1:20" s="75" customFormat="1" ht="172.8" x14ac:dyDescent="0.3">
      <c r="A21" s="136"/>
      <c r="B21" s="129"/>
      <c r="C21" s="131"/>
      <c r="D21" s="129"/>
      <c r="E21" s="131"/>
      <c r="F21" s="131"/>
      <c r="G21" s="131"/>
      <c r="H21" s="37" t="s">
        <v>30</v>
      </c>
      <c r="I21" s="37" t="s">
        <v>156</v>
      </c>
      <c r="J21" s="129"/>
      <c r="K21" s="129"/>
      <c r="L21" s="37" t="s">
        <v>24</v>
      </c>
      <c r="M21" s="93">
        <f>19355-(19355*0.172)</f>
        <v>16025.94</v>
      </c>
      <c r="N21" s="47">
        <v>2021</v>
      </c>
      <c r="O21" s="37" t="s">
        <v>25</v>
      </c>
      <c r="P21" s="93">
        <f>P18*0.55</f>
        <v>17016.021000000001</v>
      </c>
      <c r="Q21" s="37" t="s">
        <v>77</v>
      </c>
      <c r="R21" s="39" t="s">
        <v>197</v>
      </c>
      <c r="S21" s="112" t="s">
        <v>216</v>
      </c>
      <c r="T21" s="147"/>
    </row>
    <row r="22" spans="1:20" s="75" customFormat="1" ht="28.8" x14ac:dyDescent="0.3">
      <c r="A22" s="136"/>
      <c r="B22" s="129">
        <f>SUM(C22,E22)</f>
        <v>41980208</v>
      </c>
      <c r="C22" s="129">
        <v>39881197</v>
      </c>
      <c r="D22" s="129" t="s">
        <v>127</v>
      </c>
      <c r="E22" s="129">
        <f>ROUNDUP((C22/0.95*0.05),0)</f>
        <v>2099011</v>
      </c>
      <c r="F22" s="129">
        <f>SUM(C22,E22)</f>
        <v>41980208</v>
      </c>
      <c r="G22" s="129">
        <f>F22</f>
        <v>41980208</v>
      </c>
      <c r="H22" s="37" t="s">
        <v>21</v>
      </c>
      <c r="I22" s="37" t="s">
        <v>119</v>
      </c>
      <c r="J22" s="129" t="s">
        <v>34</v>
      </c>
      <c r="K22" s="129" t="s">
        <v>23</v>
      </c>
      <c r="L22" s="37" t="s">
        <v>24</v>
      </c>
      <c r="M22" s="37">
        <v>0</v>
      </c>
      <c r="N22" s="47" t="s">
        <v>25</v>
      </c>
      <c r="O22" s="37">
        <f>P22*0.3</f>
        <v>2802.2999999999997</v>
      </c>
      <c r="P22" s="37">
        <f>P23</f>
        <v>9341</v>
      </c>
      <c r="Q22" s="37" t="s">
        <v>77</v>
      </c>
      <c r="R22" s="39" t="s">
        <v>31</v>
      </c>
      <c r="S22" s="100"/>
      <c r="T22" s="147"/>
    </row>
    <row r="23" spans="1:20" s="75" customFormat="1" ht="57.6" x14ac:dyDescent="0.3">
      <c r="A23" s="136"/>
      <c r="B23" s="129"/>
      <c r="C23" s="129"/>
      <c r="D23" s="129"/>
      <c r="E23" s="129"/>
      <c r="F23" s="129"/>
      <c r="G23" s="129"/>
      <c r="H23" s="37" t="s">
        <v>27</v>
      </c>
      <c r="I23" s="37" t="s">
        <v>157</v>
      </c>
      <c r="J23" s="129"/>
      <c r="K23" s="129"/>
      <c r="L23" s="37" t="s">
        <v>24</v>
      </c>
      <c r="M23" s="37">
        <v>0</v>
      </c>
      <c r="N23" s="47" t="s">
        <v>25</v>
      </c>
      <c r="O23" s="37">
        <f>P23*0.3</f>
        <v>2802.2999999999997</v>
      </c>
      <c r="P23" s="37">
        <f>P24</f>
        <v>9341</v>
      </c>
      <c r="Q23" s="37" t="s">
        <v>77</v>
      </c>
      <c r="R23" s="39" t="s">
        <v>32</v>
      </c>
      <c r="S23" s="100"/>
      <c r="T23" s="147"/>
    </row>
    <row r="24" spans="1:20" s="75" customFormat="1" ht="345.6" x14ac:dyDescent="0.3">
      <c r="A24" s="136"/>
      <c r="B24" s="129"/>
      <c r="C24" s="129"/>
      <c r="D24" s="129"/>
      <c r="E24" s="129"/>
      <c r="F24" s="129"/>
      <c r="G24" s="129"/>
      <c r="H24" s="37" t="s">
        <v>33</v>
      </c>
      <c r="I24" s="37" t="s">
        <v>158</v>
      </c>
      <c r="J24" s="129"/>
      <c r="K24" s="129"/>
      <c r="L24" s="37" t="s">
        <v>24</v>
      </c>
      <c r="M24" s="37">
        <v>0</v>
      </c>
      <c r="N24" s="47" t="s">
        <v>25</v>
      </c>
      <c r="O24" s="37">
        <f>P24*0.3</f>
        <v>2802.2999999999997</v>
      </c>
      <c r="P24" s="37">
        <v>9341</v>
      </c>
      <c r="Q24" s="37" t="s">
        <v>77</v>
      </c>
      <c r="R24" s="39" t="s">
        <v>178</v>
      </c>
      <c r="S24" s="100"/>
      <c r="T24" s="147"/>
    </row>
    <row r="25" spans="1:20" s="75" customFormat="1" ht="144" x14ac:dyDescent="0.3">
      <c r="A25" s="136"/>
      <c r="B25" s="129"/>
      <c r="C25" s="129"/>
      <c r="D25" s="129"/>
      <c r="E25" s="129"/>
      <c r="F25" s="129"/>
      <c r="G25" s="129"/>
      <c r="H25" s="37" t="s">
        <v>28</v>
      </c>
      <c r="I25" s="37" t="s">
        <v>154</v>
      </c>
      <c r="J25" s="129"/>
      <c r="K25" s="129"/>
      <c r="L25" s="37" t="s">
        <v>24</v>
      </c>
      <c r="M25" s="37">
        <v>3945</v>
      </c>
      <c r="N25" s="47">
        <v>2021</v>
      </c>
      <c r="O25" s="37" t="s">
        <v>25</v>
      </c>
      <c r="P25" s="37">
        <v>3880</v>
      </c>
      <c r="Q25" s="37" t="s">
        <v>77</v>
      </c>
      <c r="R25" s="48" t="s">
        <v>198</v>
      </c>
      <c r="S25" s="100"/>
      <c r="T25" s="147"/>
    </row>
    <row r="26" spans="1:20" s="75" customFormat="1" ht="169.5" customHeight="1" x14ac:dyDescent="0.3">
      <c r="A26" s="136"/>
      <c r="B26" s="129"/>
      <c r="C26" s="129"/>
      <c r="D26" s="129"/>
      <c r="E26" s="129"/>
      <c r="F26" s="129"/>
      <c r="G26" s="129"/>
      <c r="H26" s="37" t="s">
        <v>29</v>
      </c>
      <c r="I26" s="37" t="s">
        <v>155</v>
      </c>
      <c r="J26" s="129"/>
      <c r="K26" s="129"/>
      <c r="L26" s="37" t="s">
        <v>24</v>
      </c>
      <c r="M26" s="37">
        <v>5829</v>
      </c>
      <c r="N26" s="47">
        <v>2021</v>
      </c>
      <c r="O26" s="37" t="s">
        <v>25</v>
      </c>
      <c r="P26" s="37">
        <f>ROUNDUP(P24*0.45,0)</f>
        <v>4204</v>
      </c>
      <c r="Q26" s="37" t="s">
        <v>77</v>
      </c>
      <c r="R26" s="39" t="s">
        <v>199</v>
      </c>
      <c r="S26" s="100"/>
      <c r="T26" s="147"/>
    </row>
    <row r="27" spans="1:20" s="75" customFormat="1" ht="173.4" thickBot="1" x14ac:dyDescent="0.35">
      <c r="A27" s="137"/>
      <c r="B27" s="138"/>
      <c r="C27" s="138"/>
      <c r="D27" s="138"/>
      <c r="E27" s="138"/>
      <c r="F27" s="138"/>
      <c r="G27" s="138"/>
      <c r="H27" s="40" t="s">
        <v>30</v>
      </c>
      <c r="I27" s="40" t="s">
        <v>156</v>
      </c>
      <c r="J27" s="138"/>
      <c r="K27" s="138"/>
      <c r="L27" s="40" t="s">
        <v>24</v>
      </c>
      <c r="M27" s="40">
        <v>4839</v>
      </c>
      <c r="N27" s="50">
        <v>2021</v>
      </c>
      <c r="O27" s="40" t="s">
        <v>25</v>
      </c>
      <c r="P27" s="40">
        <f>P24*0.55</f>
        <v>5137.55</v>
      </c>
      <c r="Q27" s="40" t="s">
        <v>77</v>
      </c>
      <c r="R27" s="101" t="s">
        <v>200</v>
      </c>
      <c r="S27" s="102"/>
      <c r="T27" s="147"/>
    </row>
    <row r="28" spans="1:20" s="75" customFormat="1" ht="129.6" x14ac:dyDescent="0.3">
      <c r="A28" s="135" t="s">
        <v>123</v>
      </c>
      <c r="B28" s="139">
        <f>SUM(C28,E28)</f>
        <v>2577680</v>
      </c>
      <c r="C28" s="139">
        <f>ROUND(1546607.7,0)</f>
        <v>1546608</v>
      </c>
      <c r="D28" s="139" t="s">
        <v>126</v>
      </c>
      <c r="E28" s="139">
        <f>ROUND((C28/0.6*0.4),0)</f>
        <v>1031072</v>
      </c>
      <c r="F28" s="139">
        <f>SUM(C28,E28)</f>
        <v>2577680</v>
      </c>
      <c r="G28" s="139">
        <f>F28</f>
        <v>2577680</v>
      </c>
      <c r="H28" s="30" t="s">
        <v>35</v>
      </c>
      <c r="I28" s="30" t="s">
        <v>120</v>
      </c>
      <c r="J28" s="139" t="s">
        <v>22</v>
      </c>
      <c r="K28" s="139" t="s">
        <v>23</v>
      </c>
      <c r="L28" s="30" t="s">
        <v>24</v>
      </c>
      <c r="M28" s="30">
        <v>0</v>
      </c>
      <c r="N28" s="30" t="s">
        <v>25</v>
      </c>
      <c r="O28" s="51">
        <f>P28*0.3</f>
        <v>163.19999999999999</v>
      </c>
      <c r="P28" s="30">
        <v>544</v>
      </c>
      <c r="Q28" s="30" t="s">
        <v>77</v>
      </c>
      <c r="R28" s="106" t="s">
        <v>184</v>
      </c>
      <c r="S28" s="104"/>
      <c r="T28" s="147"/>
    </row>
    <row r="29" spans="1:20" s="75" customFormat="1" ht="256.5" customHeight="1" x14ac:dyDescent="0.3">
      <c r="A29" s="136"/>
      <c r="B29" s="129"/>
      <c r="C29" s="129"/>
      <c r="D29" s="129"/>
      <c r="E29" s="129"/>
      <c r="F29" s="129"/>
      <c r="G29" s="129"/>
      <c r="H29" s="37" t="s">
        <v>29</v>
      </c>
      <c r="I29" s="37" t="s">
        <v>155</v>
      </c>
      <c r="J29" s="129"/>
      <c r="K29" s="129"/>
      <c r="L29" s="37" t="s">
        <v>24</v>
      </c>
      <c r="M29" s="37">
        <v>276</v>
      </c>
      <c r="N29" s="47">
        <v>2021</v>
      </c>
      <c r="O29" s="37" t="s">
        <v>25</v>
      </c>
      <c r="P29" s="37">
        <v>174</v>
      </c>
      <c r="Q29" s="37" t="s">
        <v>77</v>
      </c>
      <c r="R29" s="39" t="s">
        <v>201</v>
      </c>
      <c r="S29" s="100"/>
      <c r="T29" s="147"/>
    </row>
    <row r="30" spans="1:20" s="75" customFormat="1" ht="149.25" customHeight="1" x14ac:dyDescent="0.3">
      <c r="A30" s="136"/>
      <c r="B30" s="129"/>
      <c r="C30" s="129"/>
      <c r="D30" s="129"/>
      <c r="E30" s="129"/>
      <c r="F30" s="129"/>
      <c r="G30" s="129"/>
      <c r="H30" s="37" t="s">
        <v>36</v>
      </c>
      <c r="I30" s="37" t="s">
        <v>207</v>
      </c>
      <c r="J30" s="129"/>
      <c r="K30" s="129"/>
      <c r="L30" s="37" t="s">
        <v>85</v>
      </c>
      <c r="M30" s="37">
        <v>445</v>
      </c>
      <c r="N30" s="47">
        <v>2021</v>
      </c>
      <c r="O30" s="37" t="s">
        <v>25</v>
      </c>
      <c r="P30" s="37">
        <v>435</v>
      </c>
      <c r="Q30" s="37" t="s">
        <v>77</v>
      </c>
      <c r="R30" s="39" t="s">
        <v>202</v>
      </c>
      <c r="S30" s="100"/>
      <c r="T30" s="147"/>
    </row>
    <row r="31" spans="1:20" s="75" customFormat="1" ht="100.8" x14ac:dyDescent="0.3">
      <c r="A31" s="136"/>
      <c r="B31" s="129">
        <f>SUM(C31,E31)</f>
        <v>23038781</v>
      </c>
      <c r="C31" s="129">
        <f>ROUND(21886842.3,0)</f>
        <v>21886842</v>
      </c>
      <c r="D31" s="129"/>
      <c r="E31" s="129">
        <f>ROUND((C31/0.95*0.05),0)</f>
        <v>1151939</v>
      </c>
      <c r="F31" s="129">
        <f>SUM(C31,E31)</f>
        <v>23038781</v>
      </c>
      <c r="G31" s="138">
        <f>F31</f>
        <v>23038781</v>
      </c>
      <c r="H31" s="37" t="s">
        <v>35</v>
      </c>
      <c r="I31" s="37" t="s">
        <v>160</v>
      </c>
      <c r="J31" s="129" t="s">
        <v>34</v>
      </c>
      <c r="K31" s="129" t="s">
        <v>23</v>
      </c>
      <c r="L31" s="37" t="s">
        <v>24</v>
      </c>
      <c r="M31" s="37">
        <v>0</v>
      </c>
      <c r="N31" s="37" t="s">
        <v>25</v>
      </c>
      <c r="O31" s="37">
        <f>P31*0.3</f>
        <v>1357.5</v>
      </c>
      <c r="P31" s="37">
        <v>4525</v>
      </c>
      <c r="Q31" s="37" t="s">
        <v>77</v>
      </c>
      <c r="R31" s="39" t="s">
        <v>179</v>
      </c>
      <c r="S31" s="100"/>
      <c r="T31" s="147"/>
    </row>
    <row r="32" spans="1:20" s="75" customFormat="1" ht="216" x14ac:dyDescent="0.3">
      <c r="A32" s="136"/>
      <c r="B32" s="129"/>
      <c r="C32" s="129"/>
      <c r="D32" s="129"/>
      <c r="E32" s="129"/>
      <c r="F32" s="129"/>
      <c r="G32" s="141"/>
      <c r="H32" s="37" t="s">
        <v>29</v>
      </c>
      <c r="I32" s="37" t="s">
        <v>155</v>
      </c>
      <c r="J32" s="129"/>
      <c r="K32" s="129"/>
      <c r="L32" s="37" t="s">
        <v>24</v>
      </c>
      <c r="M32" s="37">
        <v>2293</v>
      </c>
      <c r="N32" s="47">
        <v>2021</v>
      </c>
      <c r="O32" s="37" t="s">
        <v>25</v>
      </c>
      <c r="P32" s="52">
        <v>1448</v>
      </c>
      <c r="Q32" s="37" t="s">
        <v>77</v>
      </c>
      <c r="R32" s="39" t="s">
        <v>203</v>
      </c>
      <c r="S32" s="100"/>
      <c r="T32" s="147"/>
    </row>
    <row r="33" spans="1:20" s="75" customFormat="1" ht="130.19999999999999" thickBot="1" x14ac:dyDescent="0.35">
      <c r="A33" s="137"/>
      <c r="B33" s="138"/>
      <c r="C33" s="138"/>
      <c r="D33" s="138"/>
      <c r="E33" s="138"/>
      <c r="F33" s="138"/>
      <c r="G33" s="142"/>
      <c r="H33" s="40" t="s">
        <v>37</v>
      </c>
      <c r="I33" s="37" t="s">
        <v>207</v>
      </c>
      <c r="J33" s="138"/>
      <c r="K33" s="138"/>
      <c r="L33" s="40" t="s">
        <v>85</v>
      </c>
      <c r="M33" s="40">
        <v>3705</v>
      </c>
      <c r="N33" s="50">
        <v>2021</v>
      </c>
      <c r="O33" s="40" t="s">
        <v>25</v>
      </c>
      <c r="P33" s="40">
        <f>P31*0.8</f>
        <v>3620</v>
      </c>
      <c r="Q33" s="40" t="s">
        <v>77</v>
      </c>
      <c r="R33" s="101" t="s">
        <v>204</v>
      </c>
      <c r="S33" s="102"/>
      <c r="T33" s="147"/>
    </row>
    <row r="34" spans="1:20" s="75" customFormat="1" ht="132" customHeight="1" x14ac:dyDescent="0.3">
      <c r="A34" s="135" t="s">
        <v>124</v>
      </c>
      <c r="B34" s="139">
        <f>SUM(C34,E34)</f>
        <v>583000</v>
      </c>
      <c r="C34" s="139">
        <f>ROUND(349800,0)</f>
        <v>349800</v>
      </c>
      <c r="D34" s="140" t="s">
        <v>128</v>
      </c>
      <c r="E34" s="139">
        <f>ROUND((C34/0.6*0.4),0)</f>
        <v>233200</v>
      </c>
      <c r="F34" s="139">
        <f>SUM(C34,E34)</f>
        <v>583000</v>
      </c>
      <c r="G34" s="139">
        <f>F34</f>
        <v>583000</v>
      </c>
      <c r="H34" s="30" t="s">
        <v>38</v>
      </c>
      <c r="I34" s="30" t="s">
        <v>161</v>
      </c>
      <c r="J34" s="139" t="s">
        <v>22</v>
      </c>
      <c r="K34" s="139" t="s">
        <v>23</v>
      </c>
      <c r="L34" s="30" t="s">
        <v>24</v>
      </c>
      <c r="M34" s="30">
        <v>0</v>
      </c>
      <c r="N34" s="30" t="s">
        <v>25</v>
      </c>
      <c r="O34" s="30">
        <f>P34*0.2</f>
        <v>177.20000000000002</v>
      </c>
      <c r="P34" s="30">
        <v>886</v>
      </c>
      <c r="Q34" s="30" t="s">
        <v>77</v>
      </c>
      <c r="R34" s="103" t="s">
        <v>180</v>
      </c>
      <c r="S34" s="104"/>
      <c r="T34" s="147"/>
    </row>
    <row r="35" spans="1:20" s="75" customFormat="1" ht="102.6" customHeight="1" x14ac:dyDescent="0.3">
      <c r="A35" s="136"/>
      <c r="B35" s="129"/>
      <c r="C35" s="129"/>
      <c r="D35" s="129"/>
      <c r="E35" s="129"/>
      <c r="F35" s="129"/>
      <c r="G35" s="129"/>
      <c r="H35" s="37" t="s">
        <v>37</v>
      </c>
      <c r="I35" s="37" t="s">
        <v>162</v>
      </c>
      <c r="J35" s="129"/>
      <c r="K35" s="129"/>
      <c r="L35" s="37" t="s">
        <v>47</v>
      </c>
      <c r="M35" s="52">
        <v>88.63</v>
      </c>
      <c r="N35" s="47">
        <v>2020</v>
      </c>
      <c r="O35" s="37" t="s">
        <v>25</v>
      </c>
      <c r="P35" s="37">
        <v>90</v>
      </c>
      <c r="Q35" s="37" t="s">
        <v>77</v>
      </c>
      <c r="R35" s="39" t="s">
        <v>150</v>
      </c>
      <c r="S35" s="100"/>
      <c r="T35" s="147"/>
    </row>
    <row r="36" spans="1:20" s="75" customFormat="1" ht="194.4" customHeight="1" x14ac:dyDescent="0.3">
      <c r="A36" s="136"/>
      <c r="B36" s="129">
        <f>SUM(C36,E36)</f>
        <v>3000211</v>
      </c>
      <c r="C36" s="129">
        <f>ROUND(2850200,0)</f>
        <v>2850200</v>
      </c>
      <c r="D36" s="129"/>
      <c r="E36" s="129">
        <f>ROUND((C36/0.95*0.05),0)</f>
        <v>150011</v>
      </c>
      <c r="F36" s="129">
        <f>SUM(C36,E36)</f>
        <v>3000211</v>
      </c>
      <c r="G36" s="129">
        <f>ROUND((B36*90/100),0)</f>
        <v>2700190</v>
      </c>
      <c r="H36" s="37" t="s">
        <v>38</v>
      </c>
      <c r="I36" s="37" t="s">
        <v>161</v>
      </c>
      <c r="J36" s="129" t="s">
        <v>34</v>
      </c>
      <c r="K36" s="129" t="s">
        <v>23</v>
      </c>
      <c r="L36" s="37" t="s">
        <v>24</v>
      </c>
      <c r="M36" s="37">
        <v>0</v>
      </c>
      <c r="N36" s="37" t="s">
        <v>25</v>
      </c>
      <c r="O36" s="37">
        <f>P36*0.2</f>
        <v>764</v>
      </c>
      <c r="P36" s="37">
        <v>3820</v>
      </c>
      <c r="Q36" s="37" t="s">
        <v>77</v>
      </c>
      <c r="R36" s="39" t="s">
        <v>181</v>
      </c>
      <c r="S36" s="100"/>
      <c r="T36" s="147"/>
    </row>
    <row r="37" spans="1:20" s="75" customFormat="1" ht="101.4" thickBot="1" x14ac:dyDescent="0.35">
      <c r="A37" s="137"/>
      <c r="B37" s="138"/>
      <c r="C37" s="138"/>
      <c r="D37" s="138"/>
      <c r="E37" s="138"/>
      <c r="F37" s="138"/>
      <c r="G37" s="138"/>
      <c r="H37" s="40" t="s">
        <v>37</v>
      </c>
      <c r="I37" s="40" t="s">
        <v>162</v>
      </c>
      <c r="J37" s="138"/>
      <c r="K37" s="138"/>
      <c r="L37" s="40" t="s">
        <v>47</v>
      </c>
      <c r="M37" s="53">
        <v>88.63</v>
      </c>
      <c r="N37" s="50">
        <v>2020</v>
      </c>
      <c r="O37" s="40" t="s">
        <v>25</v>
      </c>
      <c r="P37" s="40">
        <v>90</v>
      </c>
      <c r="Q37" s="40" t="s">
        <v>77</v>
      </c>
      <c r="R37" s="101" t="s">
        <v>151</v>
      </c>
      <c r="S37" s="102"/>
      <c r="T37" s="147"/>
    </row>
    <row r="38" spans="1:20" s="75" customFormat="1" ht="144" x14ac:dyDescent="0.3">
      <c r="A38" s="135" t="s">
        <v>143</v>
      </c>
      <c r="B38" s="139">
        <f>SUM(C38,E38)</f>
        <v>1536858</v>
      </c>
      <c r="C38" s="139">
        <f>ROUND(922115,0)</f>
        <v>922115</v>
      </c>
      <c r="D38" s="139" t="s">
        <v>129</v>
      </c>
      <c r="E38" s="139">
        <f>ROUND((C38/0.6*0.4),0)</f>
        <v>614743</v>
      </c>
      <c r="F38" s="139">
        <f>SUM(C38,E38)</f>
        <v>1536858</v>
      </c>
      <c r="G38" s="139">
        <f>F38</f>
        <v>1536858</v>
      </c>
      <c r="H38" s="30" t="s">
        <v>131</v>
      </c>
      <c r="I38" s="31" t="s">
        <v>163</v>
      </c>
      <c r="J38" s="139" t="s">
        <v>22</v>
      </c>
      <c r="K38" s="139" t="s">
        <v>23</v>
      </c>
      <c r="L38" s="31" t="s">
        <v>135</v>
      </c>
      <c r="M38" s="31">
        <v>0</v>
      </c>
      <c r="N38" s="31" t="s">
        <v>25</v>
      </c>
      <c r="O38" s="31">
        <f>P38*0.1</f>
        <v>7.4</v>
      </c>
      <c r="P38" s="31">
        <v>74</v>
      </c>
      <c r="Q38" s="30" t="s">
        <v>77</v>
      </c>
      <c r="R38" s="105" t="s">
        <v>182</v>
      </c>
      <c r="S38" s="104"/>
      <c r="T38" s="147"/>
    </row>
    <row r="39" spans="1:20" s="75" customFormat="1" ht="158.4" x14ac:dyDescent="0.3">
      <c r="A39" s="136"/>
      <c r="B39" s="129"/>
      <c r="C39" s="129"/>
      <c r="D39" s="129"/>
      <c r="E39" s="129"/>
      <c r="F39" s="129"/>
      <c r="G39" s="129"/>
      <c r="H39" s="37" t="s">
        <v>37</v>
      </c>
      <c r="I39" s="32" t="s">
        <v>164</v>
      </c>
      <c r="J39" s="129"/>
      <c r="K39" s="129"/>
      <c r="L39" s="32" t="s">
        <v>47</v>
      </c>
      <c r="M39" s="32">
        <v>98</v>
      </c>
      <c r="N39" s="54">
        <v>2021</v>
      </c>
      <c r="O39" s="55" t="s">
        <v>25</v>
      </c>
      <c r="P39" s="32">
        <v>80</v>
      </c>
      <c r="Q39" s="32" t="s">
        <v>78</v>
      </c>
      <c r="R39" s="39" t="s">
        <v>86</v>
      </c>
      <c r="S39" s="100"/>
      <c r="T39" s="147"/>
    </row>
    <row r="40" spans="1:20" s="75" customFormat="1" ht="144" x14ac:dyDescent="0.3">
      <c r="A40" s="136"/>
      <c r="B40" s="129">
        <f>SUM(C40,E40)</f>
        <v>7133774</v>
      </c>
      <c r="C40" s="129">
        <f>ROUND(6777085,0)</f>
        <v>6777085</v>
      </c>
      <c r="D40" s="129"/>
      <c r="E40" s="129">
        <f>ROUND((C40/0.95*0.05),0)</f>
        <v>356689</v>
      </c>
      <c r="F40" s="129">
        <f>SUM(C40,E40)</f>
        <v>7133774</v>
      </c>
      <c r="G40" s="129">
        <f>F40</f>
        <v>7133774</v>
      </c>
      <c r="H40" s="37" t="s">
        <v>131</v>
      </c>
      <c r="I40" s="32" t="s">
        <v>163</v>
      </c>
      <c r="J40" s="129" t="s">
        <v>34</v>
      </c>
      <c r="K40" s="129" t="s">
        <v>23</v>
      </c>
      <c r="L40" s="32" t="s">
        <v>135</v>
      </c>
      <c r="M40" s="32">
        <v>0</v>
      </c>
      <c r="N40" s="55" t="s">
        <v>25</v>
      </c>
      <c r="O40" s="55">
        <f>P40*0.1</f>
        <v>31.900000000000002</v>
      </c>
      <c r="P40" s="32">
        <v>319</v>
      </c>
      <c r="Q40" s="32" t="s">
        <v>77</v>
      </c>
      <c r="R40" s="56" t="s">
        <v>183</v>
      </c>
      <c r="S40" s="100"/>
      <c r="T40" s="147"/>
    </row>
    <row r="41" spans="1:20" s="75" customFormat="1" ht="159" thickBot="1" x14ac:dyDescent="0.35">
      <c r="A41" s="137"/>
      <c r="B41" s="138"/>
      <c r="C41" s="138"/>
      <c r="D41" s="138"/>
      <c r="E41" s="138"/>
      <c r="F41" s="138"/>
      <c r="G41" s="138"/>
      <c r="H41" s="40" t="s">
        <v>37</v>
      </c>
      <c r="I41" s="35" t="s">
        <v>165</v>
      </c>
      <c r="J41" s="138"/>
      <c r="K41" s="138"/>
      <c r="L41" s="35" t="s">
        <v>47</v>
      </c>
      <c r="M41" s="35">
        <v>98</v>
      </c>
      <c r="N41" s="57">
        <v>2021</v>
      </c>
      <c r="O41" s="58" t="s">
        <v>25</v>
      </c>
      <c r="P41" s="35">
        <v>80</v>
      </c>
      <c r="Q41" s="35" t="s">
        <v>115</v>
      </c>
      <c r="R41" s="101" t="s">
        <v>87</v>
      </c>
      <c r="S41" s="102"/>
      <c r="T41" s="147"/>
    </row>
    <row r="42" spans="1:20" s="75" customFormat="1" ht="115.2" x14ac:dyDescent="0.3">
      <c r="A42" s="135" t="s">
        <v>144</v>
      </c>
      <c r="B42" s="139">
        <f>SUM(C42,E42)</f>
        <v>291500</v>
      </c>
      <c r="C42" s="139">
        <f>ROUND(174900,0)</f>
        <v>174900</v>
      </c>
      <c r="D42" s="140" t="s">
        <v>128</v>
      </c>
      <c r="E42" s="139">
        <f>ROUND((C42/0.6*0.4),0)</f>
        <v>116600</v>
      </c>
      <c r="F42" s="139">
        <f>SUM(C42,E42)</f>
        <v>291500</v>
      </c>
      <c r="G42" s="139">
        <f>F42</f>
        <v>291500</v>
      </c>
      <c r="H42" s="30" t="s">
        <v>136</v>
      </c>
      <c r="I42" s="30" t="s">
        <v>166</v>
      </c>
      <c r="J42" s="139" t="s">
        <v>22</v>
      </c>
      <c r="K42" s="139" t="s">
        <v>23</v>
      </c>
      <c r="L42" s="31" t="s">
        <v>140</v>
      </c>
      <c r="M42" s="30">
        <v>0</v>
      </c>
      <c r="N42" s="30" t="s">
        <v>25</v>
      </c>
      <c r="O42" s="30">
        <f>P42*0.15</f>
        <v>16.8</v>
      </c>
      <c r="P42" s="30">
        <v>112</v>
      </c>
      <c r="Q42" s="30" t="s">
        <v>77</v>
      </c>
      <c r="R42" s="103" t="s">
        <v>173</v>
      </c>
      <c r="S42" s="104"/>
      <c r="T42" s="147"/>
    </row>
    <row r="43" spans="1:20" s="75" customFormat="1" ht="158.4" x14ac:dyDescent="0.3">
      <c r="A43" s="136"/>
      <c r="B43" s="129"/>
      <c r="C43" s="129"/>
      <c r="D43" s="129"/>
      <c r="E43" s="129"/>
      <c r="F43" s="129"/>
      <c r="G43" s="129"/>
      <c r="H43" s="37" t="s">
        <v>37</v>
      </c>
      <c r="I43" s="37" t="s">
        <v>170</v>
      </c>
      <c r="J43" s="129"/>
      <c r="K43" s="129"/>
      <c r="L43" s="32" t="s">
        <v>47</v>
      </c>
      <c r="M43" s="37">
        <v>0</v>
      </c>
      <c r="N43" s="47">
        <v>2021</v>
      </c>
      <c r="O43" s="37" t="s">
        <v>25</v>
      </c>
      <c r="P43" s="37">
        <v>30</v>
      </c>
      <c r="Q43" s="37" t="s">
        <v>79</v>
      </c>
      <c r="R43" s="39" t="s">
        <v>171</v>
      </c>
      <c r="S43" s="100"/>
      <c r="T43" s="147"/>
    </row>
    <row r="44" spans="1:20" s="75" customFormat="1" ht="129.6" x14ac:dyDescent="0.3">
      <c r="A44" s="136"/>
      <c r="B44" s="129">
        <f>SUM(C44,E44)</f>
        <v>1552737</v>
      </c>
      <c r="C44" s="129">
        <f>ROUND(1475100,0)</f>
        <v>1475100</v>
      </c>
      <c r="D44" s="129"/>
      <c r="E44" s="129">
        <f>ROUND((C44/0.95*0.05),0)</f>
        <v>77637</v>
      </c>
      <c r="F44" s="129">
        <f>SUM(C44,E44)</f>
        <v>1552737</v>
      </c>
      <c r="G44" s="129">
        <f>F44</f>
        <v>1552737</v>
      </c>
      <c r="H44" s="37" t="s">
        <v>136</v>
      </c>
      <c r="I44" s="37" t="s">
        <v>121</v>
      </c>
      <c r="J44" s="129" t="s">
        <v>34</v>
      </c>
      <c r="K44" s="129" t="s">
        <v>23</v>
      </c>
      <c r="L44" s="32" t="s">
        <v>140</v>
      </c>
      <c r="M44" s="37">
        <v>0</v>
      </c>
      <c r="N44" s="37" t="s">
        <v>25</v>
      </c>
      <c r="O44" s="37">
        <f>P44*0.15</f>
        <v>83.399999999999991</v>
      </c>
      <c r="P44" s="37">
        <v>556</v>
      </c>
      <c r="Q44" s="37" t="s">
        <v>77</v>
      </c>
      <c r="R44" s="39" t="s">
        <v>174</v>
      </c>
      <c r="S44" s="100"/>
      <c r="T44" s="147"/>
    </row>
    <row r="45" spans="1:20" s="75" customFormat="1" ht="159" thickBot="1" x14ac:dyDescent="0.35">
      <c r="A45" s="137"/>
      <c r="B45" s="138"/>
      <c r="C45" s="138"/>
      <c r="D45" s="138"/>
      <c r="E45" s="138"/>
      <c r="F45" s="138"/>
      <c r="G45" s="138"/>
      <c r="H45" s="40" t="s">
        <v>36</v>
      </c>
      <c r="I45" s="40" t="s">
        <v>167</v>
      </c>
      <c r="J45" s="138"/>
      <c r="K45" s="138"/>
      <c r="L45" s="35" t="s">
        <v>47</v>
      </c>
      <c r="M45" s="40">
        <v>0</v>
      </c>
      <c r="N45" s="50">
        <v>2021</v>
      </c>
      <c r="O45" s="40" t="s">
        <v>25</v>
      </c>
      <c r="P45" s="40">
        <v>30</v>
      </c>
      <c r="Q45" s="40" t="s">
        <v>79</v>
      </c>
      <c r="R45" s="101" t="s">
        <v>172</v>
      </c>
      <c r="S45" s="102"/>
      <c r="T45" s="147"/>
    </row>
    <row r="46" spans="1:20" s="75" customFormat="1" ht="216" x14ac:dyDescent="0.3">
      <c r="A46" s="135" t="s">
        <v>125</v>
      </c>
      <c r="B46" s="139">
        <f>SUM(C46,E46)</f>
        <v>816667</v>
      </c>
      <c r="C46" s="139">
        <f>ROUND(490000,0)</f>
        <v>490000</v>
      </c>
      <c r="D46" s="139" t="s">
        <v>130</v>
      </c>
      <c r="E46" s="139">
        <f>ROUND((C46/0.6*0.4),0)</f>
        <v>326667</v>
      </c>
      <c r="F46" s="139">
        <f>SUM(C46,E46)</f>
        <v>816667</v>
      </c>
      <c r="G46" s="139">
        <f>ROUND((B46*80/100),0)</f>
        <v>653334</v>
      </c>
      <c r="H46" s="30" t="s">
        <v>136</v>
      </c>
      <c r="I46" s="30" t="s">
        <v>168</v>
      </c>
      <c r="J46" s="139" t="s">
        <v>22</v>
      </c>
      <c r="K46" s="139" t="s">
        <v>23</v>
      </c>
      <c r="L46" s="30" t="s">
        <v>84</v>
      </c>
      <c r="M46" s="30">
        <v>0</v>
      </c>
      <c r="N46" s="30" t="s">
        <v>25</v>
      </c>
      <c r="O46" s="30">
        <f>P46*0.1</f>
        <v>201</v>
      </c>
      <c r="P46" s="30">
        <v>2010</v>
      </c>
      <c r="Q46" s="30" t="s">
        <v>77</v>
      </c>
      <c r="R46" s="103" t="s">
        <v>175</v>
      </c>
      <c r="S46" s="104"/>
      <c r="T46" s="147"/>
    </row>
    <row r="47" spans="1:20" s="75" customFormat="1" ht="144" x14ac:dyDescent="0.3">
      <c r="A47" s="136"/>
      <c r="B47" s="129"/>
      <c r="C47" s="129"/>
      <c r="D47" s="129"/>
      <c r="E47" s="129"/>
      <c r="F47" s="129"/>
      <c r="G47" s="129"/>
      <c r="H47" s="37" t="s">
        <v>36</v>
      </c>
      <c r="I47" s="37" t="s">
        <v>169</v>
      </c>
      <c r="J47" s="129"/>
      <c r="K47" s="129"/>
      <c r="L47" s="37" t="s">
        <v>47</v>
      </c>
      <c r="M47" s="52">
        <v>91.37</v>
      </c>
      <c r="N47" s="47">
        <v>2021</v>
      </c>
      <c r="O47" s="37" t="s">
        <v>25</v>
      </c>
      <c r="P47" s="37">
        <v>95</v>
      </c>
      <c r="Q47" s="37" t="s">
        <v>77</v>
      </c>
      <c r="R47" s="39" t="s">
        <v>205</v>
      </c>
      <c r="S47" s="100"/>
      <c r="T47" s="147"/>
    </row>
    <row r="48" spans="1:20" s="75" customFormat="1" ht="149.4" customHeight="1" x14ac:dyDescent="0.3">
      <c r="A48" s="136"/>
      <c r="B48" s="129">
        <f>SUM(C48,E48)</f>
        <v>1131842</v>
      </c>
      <c r="C48" s="129">
        <f>ROUND(1075250,0)</f>
        <v>1075250</v>
      </c>
      <c r="D48" s="129"/>
      <c r="E48" s="129">
        <f>ROUND((C48/0.95*0.05),0)</f>
        <v>56592</v>
      </c>
      <c r="F48" s="129">
        <f>SUM(C48,E48)</f>
        <v>1131842</v>
      </c>
      <c r="G48" s="129">
        <f>F48</f>
        <v>1131842</v>
      </c>
      <c r="H48" s="37" t="s">
        <v>137</v>
      </c>
      <c r="I48" s="37" t="s">
        <v>168</v>
      </c>
      <c r="J48" s="129" t="s">
        <v>34</v>
      </c>
      <c r="K48" s="129" t="s">
        <v>23</v>
      </c>
      <c r="L48" s="37" t="s">
        <v>84</v>
      </c>
      <c r="M48" s="37">
        <v>0</v>
      </c>
      <c r="N48" s="37" t="s">
        <v>25</v>
      </c>
      <c r="O48" s="37">
        <f>P48*0.1</f>
        <v>486.5</v>
      </c>
      <c r="P48" s="37">
        <v>4865</v>
      </c>
      <c r="Q48" s="37" t="s">
        <v>77</v>
      </c>
      <c r="R48" s="39" t="s">
        <v>176</v>
      </c>
      <c r="S48" s="100"/>
      <c r="T48" s="147"/>
    </row>
    <row r="49" spans="1:20" s="75" customFormat="1" ht="144.6" thickBot="1" x14ac:dyDescent="0.35">
      <c r="A49" s="146"/>
      <c r="B49" s="143"/>
      <c r="C49" s="143"/>
      <c r="D49" s="143"/>
      <c r="E49" s="143"/>
      <c r="F49" s="143"/>
      <c r="G49" s="143"/>
      <c r="H49" s="38" t="s">
        <v>36</v>
      </c>
      <c r="I49" s="38" t="s">
        <v>169</v>
      </c>
      <c r="J49" s="143"/>
      <c r="K49" s="143"/>
      <c r="L49" s="38" t="s">
        <v>47</v>
      </c>
      <c r="M49" s="76">
        <v>91.37</v>
      </c>
      <c r="N49" s="59">
        <v>2021</v>
      </c>
      <c r="O49" s="38" t="s">
        <v>25</v>
      </c>
      <c r="P49" s="38">
        <v>95</v>
      </c>
      <c r="Q49" s="38" t="s">
        <v>77</v>
      </c>
      <c r="R49" s="101" t="s">
        <v>206</v>
      </c>
      <c r="S49" s="102"/>
      <c r="T49" s="147"/>
    </row>
    <row r="50" spans="1:20" s="75" customFormat="1" x14ac:dyDescent="0.3">
      <c r="A50" s="60"/>
      <c r="B50" s="61" t="s">
        <v>22</v>
      </c>
      <c r="C50" s="60">
        <f>C6+C11+C28+C34+C38+C42+C46</f>
        <v>19843591</v>
      </c>
      <c r="D50" s="60"/>
      <c r="E50" s="60">
        <f>E6+E11+E28+E34+E38+E42+E46</f>
        <v>13229061</v>
      </c>
      <c r="F50" s="60">
        <f>F6+F11+F28+F34+F38+F42+F46</f>
        <v>33072652</v>
      </c>
      <c r="G50" s="60">
        <f>G6+G11+G28+G34+G38+G42+G46</f>
        <v>32909319</v>
      </c>
      <c r="H50" s="60"/>
      <c r="I50" s="60"/>
      <c r="J50" s="60"/>
      <c r="K50" s="60"/>
      <c r="L50" s="60"/>
      <c r="M50" s="61">
        <f>SUM(M6:M49)</f>
        <v>81032.588000000003</v>
      </c>
      <c r="N50" s="62"/>
      <c r="O50" s="60">
        <f>SUM(O6:O49)</f>
        <v>39148.300000000003</v>
      </c>
      <c r="P50" s="60">
        <f>SUM(P6:P49)</f>
        <v>195327.56599999999</v>
      </c>
      <c r="Q50" s="60"/>
      <c r="R50" s="63"/>
    </row>
    <row r="51" spans="1:20" x14ac:dyDescent="0.3">
      <c r="B51" s="70" t="s">
        <v>39</v>
      </c>
      <c r="C51" s="77">
        <f>C17+C22+C31+C36+C40+C44+C48</f>
        <v>206077460</v>
      </c>
      <c r="D51" s="77"/>
      <c r="E51" s="77">
        <f>E17+E22+E31+E36+E40+E44+E48</f>
        <v>10846183</v>
      </c>
      <c r="F51" s="77">
        <f>F17+F22+F31+F36+F40+F44+F48</f>
        <v>216923643</v>
      </c>
      <c r="G51" s="77">
        <f>G17+G22+G31+G36+G40+G44+G48</f>
        <v>216623622</v>
      </c>
    </row>
    <row r="53" spans="1:20" ht="15" thickBot="1" x14ac:dyDescent="0.35"/>
    <row r="54" spans="1:20" ht="29.4" thickBot="1" x14ac:dyDescent="0.35">
      <c r="A54" s="64" t="s">
        <v>40</v>
      </c>
      <c r="B54" s="65" t="s">
        <v>41</v>
      </c>
      <c r="C54" s="65" t="s">
        <v>42</v>
      </c>
      <c r="D54" s="65" t="s">
        <v>43</v>
      </c>
      <c r="E54" s="65" t="s">
        <v>6</v>
      </c>
      <c r="F54" s="66" t="s">
        <v>7</v>
      </c>
      <c r="G54" s="65" t="s">
        <v>44</v>
      </c>
      <c r="H54" s="66" t="s">
        <v>10</v>
      </c>
      <c r="I54" s="67" t="s">
        <v>11</v>
      </c>
    </row>
    <row r="55" spans="1:20" ht="50.1" customHeight="1" x14ac:dyDescent="0.3">
      <c r="A55" s="78" t="str">
        <f>H6</f>
        <v>EECO01</v>
      </c>
      <c r="B55" s="79" t="str">
        <f>I6</f>
        <v>Total number of participants (Bendras dalyvių skaičius)</v>
      </c>
      <c r="C55" s="80" t="str">
        <f>L6</f>
        <v>Number of persons</v>
      </c>
      <c r="D55" s="81">
        <v>0</v>
      </c>
      <c r="E55" s="81" t="s">
        <v>45</v>
      </c>
      <c r="F55" s="81" t="s">
        <v>23</v>
      </c>
      <c r="G55" s="81" t="s">
        <v>25</v>
      </c>
      <c r="H55" s="80">
        <f>O6+O11</f>
        <v>2287.5</v>
      </c>
      <c r="I55" s="94">
        <f>P6+P11</f>
        <v>6575.8</v>
      </c>
    </row>
    <row r="56" spans="1:20" ht="48.6" customHeight="1" x14ac:dyDescent="0.3">
      <c r="A56" s="68" t="str">
        <f>H17</f>
        <v>EECO01</v>
      </c>
      <c r="B56" s="37" t="str">
        <f>I17</f>
        <v>Total number of participants (Bendras dalyvių skaičius)</v>
      </c>
      <c r="C56" s="82" t="str">
        <f>L17</f>
        <v>Number of persons</v>
      </c>
      <c r="D56" s="83">
        <v>0</v>
      </c>
      <c r="E56" s="83" t="s">
        <v>46</v>
      </c>
      <c r="F56" s="83" t="s">
        <v>23</v>
      </c>
      <c r="G56" s="83" t="s">
        <v>25</v>
      </c>
      <c r="H56" s="82">
        <f>O17+O22</f>
        <v>14012.3</v>
      </c>
      <c r="I56" s="96">
        <f>P17+P22</f>
        <v>40279.22</v>
      </c>
    </row>
    <row r="57" spans="1:20" ht="57.6" x14ac:dyDescent="0.3">
      <c r="A57" s="68" t="str">
        <f>H7</f>
        <v>EECO02</v>
      </c>
      <c r="B57" s="37" t="str">
        <f>I7</f>
        <v>Unemployed, including long-term unemployed
(Bedarbiai, įskaitant ilgalaikius bedarbius)</v>
      </c>
      <c r="C57" s="82" t="str">
        <f>L7</f>
        <v>Number of persons</v>
      </c>
      <c r="D57" s="83">
        <v>0</v>
      </c>
      <c r="E57" s="83" t="s">
        <v>45</v>
      </c>
      <c r="F57" s="83" t="s">
        <v>23</v>
      </c>
      <c r="G57" s="83" t="s">
        <v>25</v>
      </c>
      <c r="H57" s="82">
        <f>O7+O12</f>
        <v>2287.5</v>
      </c>
      <c r="I57" s="96">
        <f>P7+P12</f>
        <v>6575.8</v>
      </c>
    </row>
    <row r="58" spans="1:20" ht="57.6" x14ac:dyDescent="0.3">
      <c r="A58" s="68" t="str">
        <f>H18</f>
        <v>EECO02</v>
      </c>
      <c r="B58" s="37" t="str">
        <f>I18</f>
        <v>Unemployed, including long-term unemployed 
(Bedarbiai, įskaitant ilgalaikius bedarbius)</v>
      </c>
      <c r="C58" s="82" t="str">
        <f>L18</f>
        <v>Number of persons</v>
      </c>
      <c r="D58" s="83">
        <v>0</v>
      </c>
      <c r="E58" s="83" t="s">
        <v>46</v>
      </c>
      <c r="F58" s="83" t="s">
        <v>23</v>
      </c>
      <c r="G58" s="83" t="s">
        <v>25</v>
      </c>
      <c r="H58" s="82">
        <f>O18+O23</f>
        <v>14012.3</v>
      </c>
      <c r="I58" s="96">
        <f>P18+P23</f>
        <v>40279.22</v>
      </c>
    </row>
    <row r="59" spans="1:20" ht="40.5" customHeight="1" x14ac:dyDescent="0.3">
      <c r="A59" s="68" t="str">
        <f>H13</f>
        <v>EECO07</v>
      </c>
      <c r="B59" s="37" t="str">
        <f>I13</f>
        <v>Young people aged 18-29 years
(18-29 metų jaunuoliai)</v>
      </c>
      <c r="C59" s="82" t="str">
        <f>L13</f>
        <v>Number of persons</v>
      </c>
      <c r="D59" s="83">
        <v>0</v>
      </c>
      <c r="E59" s="83" t="s">
        <v>45</v>
      </c>
      <c r="F59" s="83" t="s">
        <v>23</v>
      </c>
      <c r="G59" s="83" t="s">
        <v>25</v>
      </c>
      <c r="H59" s="82">
        <f>O13</f>
        <v>457.5</v>
      </c>
      <c r="I59" s="84">
        <f>P13</f>
        <v>1525</v>
      </c>
    </row>
    <row r="60" spans="1:20" ht="41.1" customHeight="1" x14ac:dyDescent="0.3">
      <c r="A60" s="68" t="str">
        <f>H24</f>
        <v>EECO07</v>
      </c>
      <c r="B60" s="37" t="str">
        <f>I13</f>
        <v>Young people aged 18-29 years
(18-29 metų jaunuoliai)</v>
      </c>
      <c r="C60" s="82" t="str">
        <f>L24</f>
        <v>Number of persons</v>
      </c>
      <c r="D60" s="83">
        <v>0</v>
      </c>
      <c r="E60" s="83" t="s">
        <v>46</v>
      </c>
      <c r="F60" s="83" t="s">
        <v>23</v>
      </c>
      <c r="G60" s="83" t="s">
        <v>25</v>
      </c>
      <c r="H60" s="82">
        <f>O24</f>
        <v>2802.2999999999997</v>
      </c>
      <c r="I60" s="84">
        <f>P24</f>
        <v>9341</v>
      </c>
    </row>
    <row r="61" spans="1:20" ht="57.6" x14ac:dyDescent="0.3">
      <c r="A61" s="68" t="str">
        <f>H34</f>
        <v>EECO08</v>
      </c>
      <c r="B61" s="37" t="str">
        <f>I34</f>
        <v>Number of participants 55 years of age and above 
(55 metų ir vyresnių dalyvių skaičius)</v>
      </c>
      <c r="C61" s="82" t="str">
        <f>L34</f>
        <v>Number of persons</v>
      </c>
      <c r="D61" s="83">
        <v>0</v>
      </c>
      <c r="E61" s="83" t="s">
        <v>45</v>
      </c>
      <c r="F61" s="83" t="s">
        <v>23</v>
      </c>
      <c r="G61" s="83" t="s">
        <v>25</v>
      </c>
      <c r="H61" s="82">
        <f>O34</f>
        <v>177.20000000000002</v>
      </c>
      <c r="I61" s="84">
        <f>P34</f>
        <v>886</v>
      </c>
    </row>
    <row r="62" spans="1:20" ht="57.6" x14ac:dyDescent="0.3">
      <c r="A62" s="68" t="str">
        <f>H36</f>
        <v>EECO08</v>
      </c>
      <c r="B62" s="37" t="str">
        <f>I36</f>
        <v>Number of participants 55 years of age and above 
(55 metų ir vyresnių dalyvių skaičius)</v>
      </c>
      <c r="C62" s="82" t="str">
        <f>L36</f>
        <v>Number of persons</v>
      </c>
      <c r="D62" s="83">
        <v>0</v>
      </c>
      <c r="E62" s="83" t="s">
        <v>46</v>
      </c>
      <c r="F62" s="83" t="s">
        <v>23</v>
      </c>
      <c r="G62" s="83" t="s">
        <v>25</v>
      </c>
      <c r="H62" s="82">
        <f>O36</f>
        <v>764</v>
      </c>
      <c r="I62" s="84">
        <f>P36</f>
        <v>3820</v>
      </c>
    </row>
    <row r="63" spans="1:20" ht="39" customHeight="1" x14ac:dyDescent="0.3">
      <c r="A63" s="68" t="str">
        <f>H28</f>
        <v>EECO12</v>
      </c>
      <c r="B63" s="37" t="str">
        <f>I28</f>
        <v>Participants with disabilities (Dalyviai, turintys negalią)</v>
      </c>
      <c r="C63" s="82" t="str">
        <f>L28</f>
        <v>Number of persons</v>
      </c>
      <c r="D63" s="83">
        <v>0</v>
      </c>
      <c r="E63" s="83" t="s">
        <v>45</v>
      </c>
      <c r="F63" s="83" t="s">
        <v>23</v>
      </c>
      <c r="G63" s="83" t="s">
        <v>25</v>
      </c>
      <c r="H63" s="85">
        <f>O28</f>
        <v>163.19999999999999</v>
      </c>
      <c r="I63" s="84">
        <f>P28</f>
        <v>544</v>
      </c>
    </row>
    <row r="64" spans="1:20" ht="48" customHeight="1" x14ac:dyDescent="0.3">
      <c r="A64" s="68" t="str">
        <f>H31</f>
        <v>EECO12</v>
      </c>
      <c r="B64" s="37" t="str">
        <f>I31</f>
        <v>Participants with disabilities
(Dalyviai, turintys negalią)</v>
      </c>
      <c r="C64" s="82" t="str">
        <f>L31</f>
        <v>Number of persons</v>
      </c>
      <c r="D64" s="83">
        <v>0</v>
      </c>
      <c r="E64" s="83" t="s">
        <v>46</v>
      </c>
      <c r="F64" s="83" t="s">
        <v>23</v>
      </c>
      <c r="G64" s="83" t="s">
        <v>25</v>
      </c>
      <c r="H64" s="82">
        <f>O31</f>
        <v>1357.5</v>
      </c>
      <c r="I64" s="84">
        <f>P31</f>
        <v>4525</v>
      </c>
    </row>
    <row r="65" spans="1:10" ht="144" x14ac:dyDescent="0.3">
      <c r="A65" s="68" t="str">
        <f>H38</f>
        <v>EECO19</v>
      </c>
      <c r="B65" s="32" t="str">
        <f>I38</f>
        <v xml:space="preserve">Number of supported micro, small and medium-sized enterprises (including 
cooperative enterprises, social enterprises)
(Paramą gavusių labai mažų, mažųjų ir vidutinių įmonių (įskaitant kooperatines įmones ir socialinės įmones) skaičius)
</v>
      </c>
      <c r="C65" s="86" t="str">
        <f>L38</f>
        <v xml:space="preserve">number of enterprises
</v>
      </c>
      <c r="D65" s="83">
        <v>0</v>
      </c>
      <c r="E65" s="83" t="s">
        <v>45</v>
      </c>
      <c r="F65" s="83" t="s">
        <v>23</v>
      </c>
      <c r="G65" s="83" t="s">
        <v>25</v>
      </c>
      <c r="H65" s="82">
        <f>O38</f>
        <v>7.4</v>
      </c>
      <c r="I65" s="84">
        <f>P38</f>
        <v>74</v>
      </c>
    </row>
    <row r="66" spans="1:10" ht="144" x14ac:dyDescent="0.3">
      <c r="A66" s="68" t="str">
        <f>H40</f>
        <v>EECO19</v>
      </c>
      <c r="B66" s="32" t="str">
        <f>I40</f>
        <v xml:space="preserve">Number of supported micro, small and medium-sized enterprises (including 
cooperative enterprises, social enterprises)
(Paramą gavusių labai mažų, mažųjų ir vidutinių įmonių (įskaitant kooperatines įmones ir socialinės įmones) skaičius)
</v>
      </c>
      <c r="C66" s="86" t="str">
        <f>L40</f>
        <v xml:space="preserve">number of enterprises
</v>
      </c>
      <c r="D66" s="83">
        <v>0</v>
      </c>
      <c r="E66" s="83" t="s">
        <v>46</v>
      </c>
      <c r="F66" s="83" t="s">
        <v>23</v>
      </c>
      <c r="G66" s="83" t="s">
        <v>25</v>
      </c>
      <c r="H66" s="82">
        <f>O40</f>
        <v>31.900000000000002</v>
      </c>
      <c r="I66" s="84">
        <f>P40</f>
        <v>319</v>
      </c>
    </row>
    <row r="67" spans="1:10" ht="149.25" customHeight="1" x14ac:dyDescent="0.3">
      <c r="A67" s="68" t="str">
        <f>H42</f>
        <v>Specific  output</v>
      </c>
      <c r="B67" s="37" t="str">
        <f>I42</f>
        <v>Organisations and enterprises that participated in the activities aimed at development of social dialogue
(Organizacijos ir įmonės, dalyvavusios veiklose, skirtose vystyti socialinį dialogą)</v>
      </c>
      <c r="C67" s="37" t="str">
        <f>L42</f>
        <v>number</v>
      </c>
      <c r="D67" s="83">
        <v>0</v>
      </c>
      <c r="E67" s="83" t="s">
        <v>45</v>
      </c>
      <c r="F67" s="83" t="s">
        <v>23</v>
      </c>
      <c r="G67" s="83" t="s">
        <v>25</v>
      </c>
      <c r="H67" s="82">
        <f>O42</f>
        <v>16.8</v>
      </c>
      <c r="I67" s="84">
        <f>P42</f>
        <v>112</v>
      </c>
    </row>
    <row r="68" spans="1:10" ht="100.8" x14ac:dyDescent="0.3">
      <c r="A68" s="68" t="str">
        <f>H44</f>
        <v>Specific  output</v>
      </c>
      <c r="B68" s="37" t="str">
        <f>I44</f>
        <v>Organisations and enterprises that participated in the activities aimed at development of social dialogue (Organizacijos ir įmonės, dalyvavusios veiklose, skirtose vystyti socialinį dialogą)</v>
      </c>
      <c r="C68" s="37" t="str">
        <f>L44</f>
        <v>number</v>
      </c>
      <c r="D68" s="83">
        <v>0</v>
      </c>
      <c r="E68" s="83" t="s">
        <v>46</v>
      </c>
      <c r="F68" s="83" t="s">
        <v>23</v>
      </c>
      <c r="G68" s="83" t="s">
        <v>25</v>
      </c>
      <c r="H68" s="82">
        <f>O44</f>
        <v>83.399999999999991</v>
      </c>
      <c r="I68" s="84">
        <f>P44</f>
        <v>556</v>
      </c>
    </row>
    <row r="69" spans="1:10" ht="115.2" x14ac:dyDescent="0.3">
      <c r="A69" s="68" t="str">
        <f>H46</f>
        <v>Specific  output</v>
      </c>
      <c r="B69" s="37" t="str">
        <f>I46</f>
        <v>Persons who participated in the activities aimed at increasing risk assessment and monitoring (control) competences 
(Asmenys, dalyvavę veiklose skirtose didinti rizikos vertinimo ir priežiūros (kontrolės) kompetencijas)</v>
      </c>
      <c r="C69" s="82" t="str">
        <f>L46</f>
        <v>persons</v>
      </c>
      <c r="D69" s="83">
        <v>0</v>
      </c>
      <c r="E69" s="83" t="s">
        <v>45</v>
      </c>
      <c r="F69" s="83" t="s">
        <v>23</v>
      </c>
      <c r="G69" s="83" t="s">
        <v>25</v>
      </c>
      <c r="H69" s="82">
        <f>O46</f>
        <v>201</v>
      </c>
      <c r="I69" s="84">
        <f>P46</f>
        <v>2010</v>
      </c>
    </row>
    <row r="70" spans="1:10" ht="115.2" x14ac:dyDescent="0.3">
      <c r="A70" s="68" t="str">
        <f>H48</f>
        <v>Specific output</v>
      </c>
      <c r="B70" s="37" t="str">
        <f>I48</f>
        <v>Persons who participated in the activities aimed at increasing risk assessment and monitoring (control) competences 
(Asmenys, dalyvavę veiklose skirtose didinti rizikos vertinimo ir priežiūros (kontrolės) kompetencijas)</v>
      </c>
      <c r="C70" s="82" t="str">
        <f>L48</f>
        <v>persons</v>
      </c>
      <c r="D70" s="83">
        <v>0</v>
      </c>
      <c r="E70" s="83" t="s">
        <v>46</v>
      </c>
      <c r="F70" s="83" t="s">
        <v>23</v>
      </c>
      <c r="G70" s="83" t="s">
        <v>25</v>
      </c>
      <c r="H70" s="82">
        <f>O48</f>
        <v>486.5</v>
      </c>
      <c r="I70" s="84">
        <f>P48</f>
        <v>4865</v>
      </c>
    </row>
    <row r="71" spans="1:10" ht="72" x14ac:dyDescent="0.3">
      <c r="A71" s="68" t="str">
        <f>H8</f>
        <v>EECR03</v>
      </c>
      <c r="B71" s="37" t="str">
        <f>I8</f>
        <v xml:space="preserve"> Participants gaining a qualification upon leaving 
(Dalyviai, pasibaigus jų dalyvavimui įgyjantys kvalifikaciją)</v>
      </c>
      <c r="C71" s="82" t="str">
        <f>L8</f>
        <v>Number of persons</v>
      </c>
      <c r="D71" s="95">
        <f>M8+M14</f>
        <v>3239.14</v>
      </c>
      <c r="E71" s="83" t="s">
        <v>45</v>
      </c>
      <c r="F71" s="83" t="s">
        <v>23</v>
      </c>
      <c r="G71" s="83">
        <f>N8</f>
        <v>2021</v>
      </c>
      <c r="H71" s="82" t="str">
        <f>O8</f>
        <v>n/a</v>
      </c>
      <c r="I71" s="96">
        <f>P8+P14</f>
        <v>3186.5680000000002</v>
      </c>
    </row>
    <row r="72" spans="1:10" ht="72" x14ac:dyDescent="0.3">
      <c r="A72" s="68" t="str">
        <f>H14</f>
        <v>EECR03</v>
      </c>
      <c r="B72" s="37" t="str">
        <f>I19</f>
        <v xml:space="preserve"> Participants gaining a qualification upon leaving 
(Dalyviai, pasibaigus jų dalyvavimui įgyjantys kvalifikaciją)</v>
      </c>
      <c r="C72" s="82" t="str">
        <f>L19</f>
        <v>Number of persons</v>
      </c>
      <c r="D72" s="95">
        <f>M19+M25</f>
        <v>17010.012000000002</v>
      </c>
      <c r="E72" s="83" t="s">
        <v>46</v>
      </c>
      <c r="F72" s="83" t="s">
        <v>23</v>
      </c>
      <c r="G72" s="83">
        <f>N19</f>
        <v>2021</v>
      </c>
      <c r="H72" s="82" t="str">
        <f>O19</f>
        <v>n/a</v>
      </c>
      <c r="I72" s="96">
        <f>P19+P25</f>
        <v>16731.387999999999</v>
      </c>
    </row>
    <row r="73" spans="1:10" ht="86.4" x14ac:dyDescent="0.3">
      <c r="A73" s="68" t="str">
        <f>H9</f>
        <v>EECR04</v>
      </c>
      <c r="B73" s="37" t="str">
        <f>I15</f>
        <v>Participants in employment, including self-employment, upon leaving 
(Dalyviai, pasibaigus jų dalyvavimui dirbantys, įskaitant savarankišką darbą)</v>
      </c>
      <c r="C73" s="82" t="str">
        <f>L9</f>
        <v>Number of persons</v>
      </c>
      <c r="D73" s="95">
        <f>M9+M15+M29</f>
        <v>4378.3680000000004</v>
      </c>
      <c r="E73" s="83" t="s">
        <v>45</v>
      </c>
      <c r="F73" s="83" t="s">
        <v>23</v>
      </c>
      <c r="G73" s="83">
        <f>N9</f>
        <v>2021</v>
      </c>
      <c r="H73" s="82" t="str">
        <f>O9</f>
        <v>n/a</v>
      </c>
      <c r="I73" s="96">
        <f>P9+P15+P29</f>
        <v>3133.11</v>
      </c>
    </row>
    <row r="74" spans="1:10" ht="86.4" x14ac:dyDescent="0.3">
      <c r="A74" s="68" t="str">
        <f>H20</f>
        <v>EECR04</v>
      </c>
      <c r="B74" s="37" t="str">
        <f>I26</f>
        <v>Participants in employment, including self-employment, upon leaving 
(Dalyviai, pasibaigus jų dalyvavimui dirbantys, įskaitant savarankišką darbą)</v>
      </c>
      <c r="C74" s="82" t="str">
        <f>L20</f>
        <v>Number of persons</v>
      </c>
      <c r="D74" s="95">
        <f>M20+M26+M32</f>
        <v>27427.648000000001</v>
      </c>
      <c r="E74" s="83" t="s">
        <v>46</v>
      </c>
      <c r="F74" s="83" t="s">
        <v>23</v>
      </c>
      <c r="G74" s="83">
        <f>N20</f>
        <v>2021</v>
      </c>
      <c r="H74" s="82" t="str">
        <f>O20</f>
        <v>n/a</v>
      </c>
      <c r="I74" s="96">
        <f>P20+P26+P32</f>
        <v>19574.199000000001</v>
      </c>
      <c r="J74" s="99"/>
    </row>
    <row r="75" spans="1:10" ht="100.8" x14ac:dyDescent="0.3">
      <c r="A75" s="68" t="str">
        <f>H10</f>
        <v>EECR05</v>
      </c>
      <c r="B75" s="37" t="str">
        <f>I10</f>
        <v>Participants in employment, including self-employment, six months after leaving 
(Dalyviai, kurie per šešis mėnesius nuo dalyvavimo pabaigos pradėjo dirbti, įskaitant savarankišką darbą)</v>
      </c>
      <c r="C75" s="82" t="str">
        <f>L10</f>
        <v>Number of persons</v>
      </c>
      <c r="D75" s="95">
        <f>M10+M16</f>
        <v>3406.48</v>
      </c>
      <c r="E75" s="83" t="s">
        <v>45</v>
      </c>
      <c r="F75" s="83" t="s">
        <v>23</v>
      </c>
      <c r="G75" s="83">
        <f>N10</f>
        <v>2021</v>
      </c>
      <c r="H75" s="82" t="str">
        <f>O10</f>
        <v>n/a</v>
      </c>
      <c r="I75" s="96">
        <f>P10+P16</f>
        <v>3616.6900000000005</v>
      </c>
    </row>
    <row r="76" spans="1:10" ht="100.8" x14ac:dyDescent="0.3">
      <c r="A76" s="68" t="str">
        <f>H21</f>
        <v>EECR05</v>
      </c>
      <c r="B76" s="37" t="str">
        <f>I27</f>
        <v>Participants in employment, including self-employment, six months after leaving 
(Dalyviai, kurie per šešis mėnesius nuo dalyvavimo pabaigos pradėjo dirbti, įskaitant savarankišką darbą)</v>
      </c>
      <c r="C76" s="82" t="str">
        <f>L27</f>
        <v>Number of persons</v>
      </c>
      <c r="D76" s="95">
        <f>M21+M27</f>
        <v>20864.940000000002</v>
      </c>
      <c r="E76" s="83" t="s">
        <v>46</v>
      </c>
      <c r="F76" s="83" t="s">
        <v>23</v>
      </c>
      <c r="G76" s="83">
        <f>N21</f>
        <v>2021</v>
      </c>
      <c r="H76" s="82" t="str">
        <f>O21</f>
        <v>n/a</v>
      </c>
      <c r="I76" s="96">
        <f>P21+P27</f>
        <v>22153.571</v>
      </c>
    </row>
    <row r="77" spans="1:10" ht="86.4" x14ac:dyDescent="0.3">
      <c r="A77" s="68" t="str">
        <f>H30</f>
        <v>Specific  result</v>
      </c>
      <c r="B77" s="37" t="str">
        <f>I30</f>
        <v>Participants with disabilities who have completed labour market integration programmes 
(Dalyviai, turintys negalią, kurie baigė integracijos į darbo rinką programas)</v>
      </c>
      <c r="C77" s="82" t="str">
        <f>L30</f>
        <v>Persons</v>
      </c>
      <c r="D77" s="82">
        <f>M30</f>
        <v>445</v>
      </c>
      <c r="E77" s="83" t="s">
        <v>45</v>
      </c>
      <c r="F77" s="83" t="s">
        <v>23</v>
      </c>
      <c r="G77" s="83">
        <f>N30</f>
        <v>2021</v>
      </c>
      <c r="H77" s="82" t="str">
        <f>O30</f>
        <v>n/a</v>
      </c>
      <c r="I77" s="84">
        <f>P30</f>
        <v>435</v>
      </c>
    </row>
    <row r="78" spans="1:10" ht="86.4" x14ac:dyDescent="0.3">
      <c r="A78" s="68" t="str">
        <f>H33</f>
        <v>Specific result</v>
      </c>
      <c r="B78" s="37" t="str">
        <f>I33</f>
        <v>Participants with disabilities who have completed labour market integration programmes 
(Dalyviai, turintys negalią, kurie baigė integracijos į darbo rinką programas)</v>
      </c>
      <c r="C78" s="82" t="str">
        <f>L33</f>
        <v>Persons</v>
      </c>
      <c r="D78" s="82">
        <f>M33</f>
        <v>3705</v>
      </c>
      <c r="E78" s="83" t="s">
        <v>46</v>
      </c>
      <c r="F78" s="83" t="s">
        <v>23</v>
      </c>
      <c r="G78" s="83">
        <f>N33</f>
        <v>2021</v>
      </c>
      <c r="H78" s="82" t="str">
        <f>O33</f>
        <v>n/a</v>
      </c>
      <c r="I78" s="84">
        <f>P33</f>
        <v>3620</v>
      </c>
    </row>
    <row r="79" spans="1:10" ht="100.8" x14ac:dyDescent="0.3">
      <c r="A79" s="68" t="str">
        <f>H35</f>
        <v>Specific result</v>
      </c>
      <c r="B79" s="37" t="str">
        <f>I35</f>
        <v>Percentage of persons aged 55 years and above who have acquired competences after leaving 
(55 metų ir vyresnių asmenų, kurie po dalyvavimo veiklose įgijo kompetencijas, dalis)</v>
      </c>
      <c r="C79" s="82" t="str">
        <f>L35</f>
        <v>percentage</v>
      </c>
      <c r="D79" s="87">
        <f>M35</f>
        <v>88.63</v>
      </c>
      <c r="E79" s="83" t="s">
        <v>45</v>
      </c>
      <c r="F79" s="83" t="s">
        <v>23</v>
      </c>
      <c r="G79" s="83">
        <v>2020</v>
      </c>
      <c r="H79" s="83" t="s">
        <v>25</v>
      </c>
      <c r="I79" s="84">
        <f>P35</f>
        <v>90</v>
      </c>
    </row>
    <row r="80" spans="1:10" ht="100.8" x14ac:dyDescent="0.3">
      <c r="A80" s="68" t="str">
        <f>H37</f>
        <v>Specific result</v>
      </c>
      <c r="B80" s="37" t="str">
        <f>I37</f>
        <v>Percentage of persons aged 55 years and above who have acquired competences after leaving 
(55 metų ir vyresnių asmenų, kurie po dalyvavimo veiklose įgijo kompetencijas, dalis)</v>
      </c>
      <c r="C80" s="82" t="str">
        <f>L37</f>
        <v>percentage</v>
      </c>
      <c r="D80" s="87">
        <f>M37</f>
        <v>88.63</v>
      </c>
      <c r="E80" s="83" t="s">
        <v>46</v>
      </c>
      <c r="F80" s="83" t="s">
        <v>23</v>
      </c>
      <c r="G80" s="83">
        <v>2020</v>
      </c>
      <c r="H80" s="83" t="s">
        <v>25</v>
      </c>
      <c r="I80" s="84">
        <f>P37</f>
        <v>90</v>
      </c>
    </row>
    <row r="81" spans="1:10" ht="127.5" customHeight="1" x14ac:dyDescent="0.3">
      <c r="A81" s="68" t="str">
        <f>H39</f>
        <v>Specific result</v>
      </c>
      <c r="B81" s="32" t="str">
        <f>I39</f>
        <v>Percentage of successfully operating supported micro, small and medium sized enterprises (including 
cooperative enterprises, social enterprises)
(Sėkmingai veikiančių paramą gavusių labai mažų, mažųjų ir vidutinių įmonių (įskaitant kooperatines 
įmones ir socialinės įmones) dalis</v>
      </c>
      <c r="C81" s="82" t="str">
        <f>L39</f>
        <v>percentage</v>
      </c>
      <c r="D81" s="82">
        <f>M39</f>
        <v>98</v>
      </c>
      <c r="E81" s="83" t="s">
        <v>45</v>
      </c>
      <c r="F81" s="83" t="s">
        <v>23</v>
      </c>
      <c r="G81" s="83">
        <v>2021</v>
      </c>
      <c r="H81" s="83" t="s">
        <v>25</v>
      </c>
      <c r="I81" s="84">
        <f>P39</f>
        <v>80</v>
      </c>
    </row>
    <row r="82" spans="1:10" ht="140.25" customHeight="1" x14ac:dyDescent="0.3">
      <c r="A82" s="68" t="str">
        <f>H41</f>
        <v>Specific result</v>
      </c>
      <c r="B82" s="32" t="str">
        <f>I41</f>
        <v>Percentage of successfully operating supported micro, small and medium sized enterprises (including 
cooperative enterprises, social enterprises) 
(Sėkmingai veikiančių paramą gavusių labai mažų, mažųjų ir vidutinių įmonių (įskaitant kooperatines 
įmones ir socialinės įmones) dalis</v>
      </c>
      <c r="C82" s="82" t="str">
        <f>L41</f>
        <v>percentage</v>
      </c>
      <c r="D82" s="82">
        <f>M41</f>
        <v>98</v>
      </c>
      <c r="E82" s="83" t="s">
        <v>46</v>
      </c>
      <c r="F82" s="83" t="s">
        <v>23</v>
      </c>
      <c r="G82" s="83">
        <v>2021</v>
      </c>
      <c r="H82" s="83" t="s">
        <v>25</v>
      </c>
      <c r="I82" s="84">
        <f>P41</f>
        <v>80</v>
      </c>
    </row>
    <row r="83" spans="1:10" ht="187.2" x14ac:dyDescent="0.3">
      <c r="A83" s="68" t="str">
        <f>H43</f>
        <v>Specific result</v>
      </c>
      <c r="B83" s="37" t="str">
        <f>I43</f>
        <v>Percentage of organisations and enterprises in which a positive change has occurred within 6 months from participation in the activities aimed at development of social dialogue 
(Organizacijų ir įmonių, kuriose per šešis mėnesius po dalyvavimo veiklose, skirtose socialiniam dialogui vystyti,  pabaigos įvyko teigiamas pokytis, dalis)</v>
      </c>
      <c r="C83" s="82" t="str">
        <f>L43</f>
        <v>percentage</v>
      </c>
      <c r="D83" s="82">
        <f>M43</f>
        <v>0</v>
      </c>
      <c r="E83" s="83" t="s">
        <v>45</v>
      </c>
      <c r="F83" s="83" t="s">
        <v>23</v>
      </c>
      <c r="G83" s="83">
        <v>2021</v>
      </c>
      <c r="H83" s="83" t="s">
        <v>25</v>
      </c>
      <c r="I83" s="84">
        <f>P43</f>
        <v>30</v>
      </c>
    </row>
    <row r="84" spans="1:10" ht="187.2" x14ac:dyDescent="0.3">
      <c r="A84" s="68" t="str">
        <f>H45</f>
        <v>Specific  result</v>
      </c>
      <c r="B84" s="37" t="str">
        <f>I45</f>
        <v>Percentage of organisations and enterprises in which a positive  change has occurred within 6 months from participation in the activities aimed at development of social dialogue 
(Organizacijų ir įmonių, kuriose per šešis mėnesius po dalyvavimo veiklose, skirtose socialiniam dialogui vystyti,  pabaigos įvyko teigiamas pokytis, dalis)</v>
      </c>
      <c r="C84" s="82" t="str">
        <f>L45</f>
        <v>percentage</v>
      </c>
      <c r="D84" s="82">
        <f>M45</f>
        <v>0</v>
      </c>
      <c r="E84" s="83" t="s">
        <v>46</v>
      </c>
      <c r="F84" s="83" t="s">
        <v>23</v>
      </c>
      <c r="G84" s="83">
        <v>2021</v>
      </c>
      <c r="H84" s="83" t="s">
        <v>25</v>
      </c>
      <c r="I84" s="84">
        <f>P45</f>
        <v>30</v>
      </c>
    </row>
    <row r="85" spans="1:10" ht="144" x14ac:dyDescent="0.3">
      <c r="A85" s="68" t="str">
        <f>H47</f>
        <v>Specific  result</v>
      </c>
      <c r="B85" s="37" t="str">
        <f>I47</f>
        <v>Percentage of persons who acquired or improved their occupational risk assessment and monitoring (control) competences after leaving
(Asmenų, kurie po dalyvavimo veiklose įgijo arba patobulino profesinės rizikos vertinimo ir priežiūros (kontrolės) kompetencijas, dalis)</v>
      </c>
      <c r="C85" s="82" t="str">
        <f>L47</f>
        <v>percentage</v>
      </c>
      <c r="D85" s="82">
        <f>M47</f>
        <v>91.37</v>
      </c>
      <c r="E85" s="83" t="s">
        <v>45</v>
      </c>
      <c r="F85" s="83" t="s">
        <v>23</v>
      </c>
      <c r="G85" s="83">
        <v>2021</v>
      </c>
      <c r="H85" s="83" t="s">
        <v>25</v>
      </c>
      <c r="I85" s="84">
        <f>P47</f>
        <v>95</v>
      </c>
    </row>
    <row r="86" spans="1:10" ht="144.6" thickBot="1" x14ac:dyDescent="0.35">
      <c r="A86" s="69" t="str">
        <f>H49</f>
        <v>Specific  result</v>
      </c>
      <c r="B86" s="38" t="str">
        <f>I49</f>
        <v>Percentage of persons who acquired or improved their occupational risk assessment and monitoring (control) competences after leaving
(Asmenų, kurie po dalyvavimo veiklose įgijo arba patobulino profesinės rizikos vertinimo ir priežiūros (kontrolės) kompetencijas, dalis)</v>
      </c>
      <c r="C86" s="88" t="str">
        <f>L49</f>
        <v>percentage</v>
      </c>
      <c r="D86" s="89">
        <f>M49</f>
        <v>91.37</v>
      </c>
      <c r="E86" s="90" t="s">
        <v>46</v>
      </c>
      <c r="F86" s="90" t="s">
        <v>23</v>
      </c>
      <c r="G86" s="90">
        <v>2021</v>
      </c>
      <c r="H86" s="90" t="s">
        <v>25</v>
      </c>
      <c r="I86" s="91">
        <f>P49</f>
        <v>95</v>
      </c>
    </row>
    <row r="87" spans="1:10" x14ac:dyDescent="0.3">
      <c r="D87" s="70">
        <f>SUM(D55:D86)</f>
        <v>81032.588000000018</v>
      </c>
      <c r="H87" s="77">
        <f>SUM(H55:H86)</f>
        <v>39148.300000000003</v>
      </c>
      <c r="I87" s="77">
        <f>SUM(I55:I86)</f>
        <v>195327.56599999999</v>
      </c>
      <c r="J87" s="97" t="b">
        <f>I87=P50</f>
        <v>1</v>
      </c>
    </row>
    <row r="88" spans="1:10" x14ac:dyDescent="0.3">
      <c r="D88" s="70" t="b">
        <f>D87=M50</f>
        <v>1</v>
      </c>
      <c r="H88" s="70" t="b">
        <f>H87=O50</f>
        <v>1</v>
      </c>
    </row>
    <row r="90" spans="1:10" x14ac:dyDescent="0.3">
      <c r="D90" s="98"/>
      <c r="E90" s="98"/>
      <c r="F90" s="98"/>
      <c r="G90" s="98"/>
      <c r="H90" s="98"/>
      <c r="I90" s="98"/>
    </row>
  </sheetData>
  <mergeCells count="131">
    <mergeCell ref="T4:T5"/>
    <mergeCell ref="A42:A45"/>
    <mergeCell ref="B42:B43"/>
    <mergeCell ref="C42:C43"/>
    <mergeCell ref="D42:D45"/>
    <mergeCell ref="E42:E43"/>
    <mergeCell ref="F42:F43"/>
    <mergeCell ref="G46:G47"/>
    <mergeCell ref="J46:J47"/>
    <mergeCell ref="K46:K47"/>
    <mergeCell ref="A46:A49"/>
    <mergeCell ref="B46:B47"/>
    <mergeCell ref="C46:C47"/>
    <mergeCell ref="D46:D49"/>
    <mergeCell ref="E46:E47"/>
    <mergeCell ref="F46:F47"/>
    <mergeCell ref="B44:B45"/>
    <mergeCell ref="C44:C45"/>
    <mergeCell ref="E44:E45"/>
    <mergeCell ref="F44:F45"/>
    <mergeCell ref="G44:G45"/>
    <mergeCell ref="J44:J45"/>
    <mergeCell ref="K44:K45"/>
    <mergeCell ref="B48:B49"/>
    <mergeCell ref="C48:C49"/>
    <mergeCell ref="S4:S5"/>
    <mergeCell ref="K38:K39"/>
    <mergeCell ref="B40:B41"/>
    <mergeCell ref="C40:C41"/>
    <mergeCell ref="E40:E41"/>
    <mergeCell ref="F40:F41"/>
    <mergeCell ref="G40:G41"/>
    <mergeCell ref="J40:J41"/>
    <mergeCell ref="K28:K30"/>
    <mergeCell ref="K31:K33"/>
    <mergeCell ref="F28:F30"/>
    <mergeCell ref="F17:F21"/>
    <mergeCell ref="G17:G21"/>
    <mergeCell ref="J17:J21"/>
    <mergeCell ref="K17:K21"/>
    <mergeCell ref="F22:F27"/>
    <mergeCell ref="G22:G27"/>
    <mergeCell ref="J22:J27"/>
    <mergeCell ref="K22:K27"/>
    <mergeCell ref="G6:G10"/>
    <mergeCell ref="J6:J10"/>
    <mergeCell ref="K6:K10"/>
    <mergeCell ref="F11:F16"/>
    <mergeCell ref="G11:G16"/>
    <mergeCell ref="E48:E49"/>
    <mergeCell ref="F48:F49"/>
    <mergeCell ref="G48:G49"/>
    <mergeCell ref="J48:J49"/>
    <mergeCell ref="K48:K49"/>
    <mergeCell ref="K34:K35"/>
    <mergeCell ref="B36:B37"/>
    <mergeCell ref="C36:C37"/>
    <mergeCell ref="E36:E37"/>
    <mergeCell ref="F36:F37"/>
    <mergeCell ref="G36:G37"/>
    <mergeCell ref="J36:J37"/>
    <mergeCell ref="K36:K37"/>
    <mergeCell ref="K40:K41"/>
    <mergeCell ref="B38:B39"/>
    <mergeCell ref="C38:C39"/>
    <mergeCell ref="D38:D41"/>
    <mergeCell ref="E38:E39"/>
    <mergeCell ref="F38:F39"/>
    <mergeCell ref="G42:G43"/>
    <mergeCell ref="J42:J43"/>
    <mergeCell ref="K42:K43"/>
    <mergeCell ref="A34:A37"/>
    <mergeCell ref="B34:B35"/>
    <mergeCell ref="C34:C35"/>
    <mergeCell ref="D34:D37"/>
    <mergeCell ref="E34:E35"/>
    <mergeCell ref="F34:F35"/>
    <mergeCell ref="G38:G39"/>
    <mergeCell ref="J38:J39"/>
    <mergeCell ref="G28:G30"/>
    <mergeCell ref="J28:J30"/>
    <mergeCell ref="G34:G35"/>
    <mergeCell ref="J34:J35"/>
    <mergeCell ref="A38:A41"/>
    <mergeCell ref="B31:B33"/>
    <mergeCell ref="C31:C33"/>
    <mergeCell ref="E31:E33"/>
    <mergeCell ref="F31:F33"/>
    <mergeCell ref="G31:G33"/>
    <mergeCell ref="J31:J33"/>
    <mergeCell ref="A28:A33"/>
    <mergeCell ref="B28:B30"/>
    <mergeCell ref="C28:C30"/>
    <mergeCell ref="D28:D33"/>
    <mergeCell ref="E28:E30"/>
    <mergeCell ref="A6:A27"/>
    <mergeCell ref="B22:B27"/>
    <mergeCell ref="C22:C27"/>
    <mergeCell ref="D22:D27"/>
    <mergeCell ref="E22:E27"/>
    <mergeCell ref="B17:B21"/>
    <mergeCell ref="C17:C21"/>
    <mergeCell ref="D17:D21"/>
    <mergeCell ref="E17:E21"/>
    <mergeCell ref="B11:B16"/>
    <mergeCell ref="C11:C16"/>
    <mergeCell ref="D11:D16"/>
    <mergeCell ref="E11:E16"/>
    <mergeCell ref="B6:B10"/>
    <mergeCell ref="C6:C10"/>
    <mergeCell ref="D6:D10"/>
    <mergeCell ref="E6:E10"/>
    <mergeCell ref="J11:J16"/>
    <mergeCell ref="F6:F10"/>
    <mergeCell ref="K11:K16"/>
    <mergeCell ref="L4:L5"/>
    <mergeCell ref="M4:N4"/>
    <mergeCell ref="O4:O5"/>
    <mergeCell ref="P4:P5"/>
    <mergeCell ref="Q4:Q5"/>
    <mergeCell ref="R4:R5"/>
    <mergeCell ref="A1:I1"/>
    <mergeCell ref="A2:M2"/>
    <mergeCell ref="A4:A5"/>
    <mergeCell ref="B4:B5"/>
    <mergeCell ref="C4:C5"/>
    <mergeCell ref="D4:F4"/>
    <mergeCell ref="G4:G5"/>
    <mergeCell ref="H4:I4"/>
    <mergeCell ref="J4:J5"/>
    <mergeCell ref="K4:K5"/>
  </mergeCells>
  <phoneticPr fontId="2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Q20"/>
  <sheetViews>
    <sheetView zoomScale="80" zoomScaleNormal="80" workbookViewId="0">
      <selection activeCell="C12" sqref="C12"/>
    </sheetView>
  </sheetViews>
  <sheetFormatPr defaultColWidth="9.109375" defaultRowHeight="13.8" x14ac:dyDescent="0.3"/>
  <cols>
    <col min="1" max="1" width="9.109375" style="10"/>
    <col min="2" max="2" width="34.88671875" style="9" bestFit="1" customWidth="1"/>
    <col min="3" max="3" width="90.109375" style="9" customWidth="1"/>
    <col min="4" max="4" width="36.88671875" style="10" customWidth="1"/>
    <col min="5" max="16384" width="9.109375" style="9"/>
  </cols>
  <sheetData>
    <row r="1" spans="1:4" x14ac:dyDescent="0.3">
      <c r="A1" s="11" t="s">
        <v>48</v>
      </c>
      <c r="B1" s="11" t="s">
        <v>49</v>
      </c>
      <c r="C1" s="11" t="s">
        <v>50</v>
      </c>
      <c r="D1" s="9"/>
    </row>
    <row r="2" spans="1:4" ht="14.4" x14ac:dyDescent="0.3">
      <c r="A2" s="12">
        <v>0</v>
      </c>
      <c r="B2" s="13" t="s">
        <v>7</v>
      </c>
      <c r="C2" s="5" t="s">
        <v>23</v>
      </c>
      <c r="D2" s="9"/>
    </row>
    <row r="3" spans="1:4" x14ac:dyDescent="0.3">
      <c r="A3" s="12">
        <v>1</v>
      </c>
      <c r="B3" s="13" t="s">
        <v>40</v>
      </c>
      <c r="C3" s="13" t="s">
        <v>51</v>
      </c>
      <c r="D3" s="9"/>
    </row>
    <row r="4" spans="1:4" x14ac:dyDescent="0.3">
      <c r="A4" s="12">
        <f>A3+1</f>
        <v>2</v>
      </c>
      <c r="B4" s="13" t="s">
        <v>41</v>
      </c>
      <c r="C4" s="41" t="s">
        <v>145</v>
      </c>
      <c r="D4" s="9"/>
    </row>
    <row r="5" spans="1:4" x14ac:dyDescent="0.3">
      <c r="A5" s="12">
        <f t="shared" ref="A5:A20" si="0">A4+1</f>
        <v>3</v>
      </c>
      <c r="B5" s="13" t="s">
        <v>52</v>
      </c>
      <c r="C5" s="14" t="s">
        <v>89</v>
      </c>
      <c r="D5" s="9"/>
    </row>
    <row r="6" spans="1:4" x14ac:dyDescent="0.3">
      <c r="A6" s="12">
        <f t="shared" si="0"/>
        <v>4</v>
      </c>
      <c r="B6" s="13" t="s">
        <v>53</v>
      </c>
      <c r="C6" s="14" t="s">
        <v>88</v>
      </c>
      <c r="D6" s="9"/>
    </row>
    <row r="7" spans="1:4" x14ac:dyDescent="0.3">
      <c r="A7" s="12">
        <f t="shared" si="0"/>
        <v>5</v>
      </c>
      <c r="B7" s="13" t="s">
        <v>9</v>
      </c>
      <c r="C7" s="15">
        <v>0</v>
      </c>
      <c r="D7" s="9"/>
    </row>
    <row r="8" spans="1:4" ht="27" customHeight="1" x14ac:dyDescent="0.3">
      <c r="A8" s="12">
        <f t="shared" si="0"/>
        <v>6</v>
      </c>
      <c r="B8" s="13" t="s">
        <v>54</v>
      </c>
      <c r="C8" s="14" t="s">
        <v>138</v>
      </c>
      <c r="D8" s="9"/>
    </row>
    <row r="9" spans="1:4" ht="30" customHeight="1" x14ac:dyDescent="0.3">
      <c r="A9" s="12">
        <f t="shared" si="0"/>
        <v>7</v>
      </c>
      <c r="B9" s="13" t="s">
        <v>11</v>
      </c>
      <c r="C9" s="14" t="s">
        <v>185</v>
      </c>
      <c r="D9" s="9"/>
    </row>
    <row r="10" spans="1:4" x14ac:dyDescent="0.3">
      <c r="A10" s="12">
        <f t="shared" si="0"/>
        <v>8</v>
      </c>
      <c r="B10" s="13" t="s">
        <v>55</v>
      </c>
      <c r="C10" s="14" t="s">
        <v>90</v>
      </c>
      <c r="D10" s="9"/>
    </row>
    <row r="11" spans="1:4" ht="27.6" x14ac:dyDescent="0.3">
      <c r="A11" s="12">
        <f t="shared" si="0"/>
        <v>9</v>
      </c>
      <c r="B11" s="13" t="s">
        <v>56</v>
      </c>
      <c r="C11" s="14" t="s">
        <v>91</v>
      </c>
      <c r="D11" s="9"/>
    </row>
    <row r="12" spans="1:4" ht="184.5" customHeight="1" x14ac:dyDescent="0.3">
      <c r="A12" s="12">
        <f t="shared" si="0"/>
        <v>10</v>
      </c>
      <c r="B12" s="13" t="s">
        <v>57</v>
      </c>
      <c r="C12" s="27" t="s">
        <v>152</v>
      </c>
      <c r="D12" s="9"/>
    </row>
    <row r="13" spans="1:4" x14ac:dyDescent="0.3">
      <c r="A13" s="12">
        <f t="shared" si="0"/>
        <v>11</v>
      </c>
      <c r="B13" s="13" t="s">
        <v>58</v>
      </c>
      <c r="C13" s="14" t="s">
        <v>77</v>
      </c>
      <c r="D13" s="9"/>
    </row>
    <row r="14" spans="1:4" ht="27.6" x14ac:dyDescent="0.3">
      <c r="A14" s="12">
        <f t="shared" si="0"/>
        <v>12</v>
      </c>
      <c r="B14" s="13" t="s">
        <v>59</v>
      </c>
      <c r="C14" s="14" t="s">
        <v>92</v>
      </c>
      <c r="D14" s="9"/>
    </row>
    <row r="15" spans="1:4" x14ac:dyDescent="0.3">
      <c r="A15" s="12">
        <f t="shared" si="0"/>
        <v>13</v>
      </c>
      <c r="B15" s="13" t="s">
        <v>60</v>
      </c>
      <c r="C15" s="14" t="s">
        <v>93</v>
      </c>
      <c r="D15" s="9"/>
    </row>
    <row r="16" spans="1:4" x14ac:dyDescent="0.3">
      <c r="A16" s="12">
        <f t="shared" si="0"/>
        <v>14</v>
      </c>
      <c r="B16" s="13" t="s">
        <v>61</v>
      </c>
      <c r="C16" s="14" t="s">
        <v>73</v>
      </c>
      <c r="D16" s="9"/>
    </row>
    <row r="17" spans="1:17" x14ac:dyDescent="0.3">
      <c r="A17" s="12">
        <f t="shared" si="0"/>
        <v>15</v>
      </c>
      <c r="B17" s="13" t="s">
        <v>62</v>
      </c>
      <c r="C17" s="14" t="s">
        <v>63</v>
      </c>
      <c r="D17" s="9"/>
    </row>
    <row r="18" spans="1:17" x14ac:dyDescent="0.3">
      <c r="A18" s="12">
        <f t="shared" si="0"/>
        <v>16</v>
      </c>
      <c r="B18" s="13" t="s">
        <v>64</v>
      </c>
      <c r="C18" s="14" t="s">
        <v>69</v>
      </c>
    </row>
    <row r="19" spans="1:17" x14ac:dyDescent="0.3">
      <c r="A19" s="12">
        <f>A18+1</f>
        <v>17</v>
      </c>
      <c r="B19" s="13" t="s">
        <v>65</v>
      </c>
      <c r="C19" s="14" t="s">
        <v>94</v>
      </c>
      <c r="M19" s="16"/>
      <c r="N19" s="16"/>
      <c r="O19" s="16"/>
      <c r="P19" s="16"/>
      <c r="Q19" s="16"/>
    </row>
    <row r="20" spans="1:17" x14ac:dyDescent="0.3">
      <c r="A20" s="12">
        <f t="shared" si="0"/>
        <v>18</v>
      </c>
      <c r="B20" s="13" t="s">
        <v>66</v>
      </c>
      <c r="C20" s="14" t="s">
        <v>67</v>
      </c>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D20"/>
  <sheetViews>
    <sheetView zoomScale="75" zoomScaleNormal="75" workbookViewId="0">
      <selection activeCell="C8" sqref="C8"/>
    </sheetView>
  </sheetViews>
  <sheetFormatPr defaultColWidth="9.109375" defaultRowHeight="14.4" x14ac:dyDescent="0.3"/>
  <cols>
    <col min="1" max="1" width="9.109375" style="17"/>
    <col min="2" max="2" width="37" style="18" bestFit="1" customWidth="1"/>
    <col min="3" max="3" width="87.44140625" style="19" customWidth="1"/>
    <col min="4" max="4" width="36.88671875" style="2" customWidth="1"/>
    <col min="5" max="16384" width="9.109375" style="1"/>
  </cols>
  <sheetData>
    <row r="1" spans="1:4" x14ac:dyDescent="0.3">
      <c r="A1" s="3" t="s">
        <v>48</v>
      </c>
      <c r="B1" s="3" t="s">
        <v>49</v>
      </c>
      <c r="C1" s="3" t="s">
        <v>50</v>
      </c>
      <c r="D1" s="1"/>
    </row>
    <row r="2" spans="1:4" x14ac:dyDescent="0.3">
      <c r="A2" s="4">
        <v>0</v>
      </c>
      <c r="B2" s="5" t="s">
        <v>7</v>
      </c>
      <c r="C2" s="5" t="s">
        <v>23</v>
      </c>
      <c r="D2" s="1"/>
    </row>
    <row r="3" spans="1:4" x14ac:dyDescent="0.3">
      <c r="A3" s="4">
        <v>1</v>
      </c>
      <c r="B3" s="5" t="s">
        <v>40</v>
      </c>
      <c r="C3" s="5" t="s">
        <v>51</v>
      </c>
      <c r="D3" s="1"/>
    </row>
    <row r="4" spans="1:4" x14ac:dyDescent="0.3">
      <c r="A4" s="4">
        <f>A3+1</f>
        <v>2</v>
      </c>
      <c r="B4" s="5" t="s">
        <v>41</v>
      </c>
      <c r="C4" s="6" t="s">
        <v>80</v>
      </c>
      <c r="D4" s="1"/>
    </row>
    <row r="5" spans="1:4" x14ac:dyDescent="0.3">
      <c r="A5" s="4">
        <f t="shared" ref="A5:A20" si="0">A4+1</f>
        <v>3</v>
      </c>
      <c r="B5" s="5" t="s">
        <v>52</v>
      </c>
      <c r="C5" s="7" t="s">
        <v>95</v>
      </c>
      <c r="D5" s="1"/>
    </row>
    <row r="6" spans="1:4" x14ac:dyDescent="0.3">
      <c r="A6" s="4">
        <f t="shared" si="0"/>
        <v>4</v>
      </c>
      <c r="B6" s="5" t="s">
        <v>53</v>
      </c>
      <c r="C6" s="7" t="s">
        <v>88</v>
      </c>
      <c r="D6" s="1"/>
    </row>
    <row r="7" spans="1:4" x14ac:dyDescent="0.3">
      <c r="A7" s="4">
        <f t="shared" si="0"/>
        <v>5</v>
      </c>
      <c r="B7" s="5" t="s">
        <v>9</v>
      </c>
      <c r="C7" s="8">
        <v>0</v>
      </c>
      <c r="D7" s="1"/>
    </row>
    <row r="8" spans="1:4" ht="28.8" x14ac:dyDescent="0.3">
      <c r="A8" s="4">
        <f t="shared" si="0"/>
        <v>6</v>
      </c>
      <c r="B8" s="5" t="s">
        <v>54</v>
      </c>
      <c r="C8" s="7" t="s">
        <v>138</v>
      </c>
      <c r="D8" s="1"/>
    </row>
    <row r="9" spans="1:4" ht="28.5" customHeight="1" x14ac:dyDescent="0.3">
      <c r="A9" s="4">
        <f t="shared" si="0"/>
        <v>7</v>
      </c>
      <c r="B9" s="5" t="s">
        <v>11</v>
      </c>
      <c r="C9" s="7" t="s">
        <v>68</v>
      </c>
      <c r="D9" s="1"/>
    </row>
    <row r="10" spans="1:4" x14ac:dyDescent="0.3">
      <c r="A10" s="4">
        <f t="shared" si="0"/>
        <v>8</v>
      </c>
      <c r="B10" s="5" t="s">
        <v>55</v>
      </c>
      <c r="C10" s="7" t="s">
        <v>90</v>
      </c>
      <c r="D10" s="1"/>
    </row>
    <row r="11" spans="1:4" ht="28.8" x14ac:dyDescent="0.3">
      <c r="A11" s="4">
        <f t="shared" si="0"/>
        <v>9</v>
      </c>
      <c r="B11" s="5" t="s">
        <v>56</v>
      </c>
      <c r="C11" s="7" t="s">
        <v>96</v>
      </c>
      <c r="D11" s="1"/>
    </row>
    <row r="12" spans="1:4" ht="115.2" x14ac:dyDescent="0.3">
      <c r="A12" s="4">
        <f t="shared" si="0"/>
        <v>10</v>
      </c>
      <c r="B12" s="5" t="s">
        <v>57</v>
      </c>
      <c r="C12" s="28" t="s">
        <v>186</v>
      </c>
      <c r="D12" s="1"/>
    </row>
    <row r="13" spans="1:4" x14ac:dyDescent="0.3">
      <c r="A13" s="4">
        <f t="shared" si="0"/>
        <v>11</v>
      </c>
      <c r="B13" s="5" t="s">
        <v>58</v>
      </c>
      <c r="C13" s="7" t="s">
        <v>77</v>
      </c>
      <c r="D13" s="1"/>
    </row>
    <row r="14" spans="1:4" ht="43.2" x14ac:dyDescent="0.3">
      <c r="A14" s="4">
        <f t="shared" si="0"/>
        <v>12</v>
      </c>
      <c r="B14" s="5" t="s">
        <v>59</v>
      </c>
      <c r="C14" s="7" t="s">
        <v>97</v>
      </c>
      <c r="D14" s="1"/>
    </row>
    <row r="15" spans="1:4" ht="43.2" x14ac:dyDescent="0.3">
      <c r="A15" s="4">
        <f t="shared" si="0"/>
        <v>13</v>
      </c>
      <c r="B15" s="5" t="s">
        <v>60</v>
      </c>
      <c r="C15" s="7" t="s">
        <v>98</v>
      </c>
      <c r="D15" s="1"/>
    </row>
    <row r="16" spans="1:4" ht="28.8" x14ac:dyDescent="0.3">
      <c r="A16" s="4">
        <f t="shared" si="0"/>
        <v>14</v>
      </c>
      <c r="B16" s="5" t="s">
        <v>61</v>
      </c>
      <c r="C16" s="7" t="s">
        <v>73</v>
      </c>
      <c r="D16" s="1"/>
    </row>
    <row r="17" spans="1:4" x14ac:dyDescent="0.3">
      <c r="A17" s="4">
        <f t="shared" si="0"/>
        <v>15</v>
      </c>
      <c r="B17" s="5" t="s">
        <v>62</v>
      </c>
      <c r="C17" s="7" t="s">
        <v>63</v>
      </c>
      <c r="D17" s="1"/>
    </row>
    <row r="18" spans="1:4" x14ac:dyDescent="0.3">
      <c r="A18" s="4">
        <f t="shared" si="0"/>
        <v>16</v>
      </c>
      <c r="B18" s="5" t="s">
        <v>64</v>
      </c>
      <c r="C18" s="7" t="s">
        <v>69</v>
      </c>
      <c r="D18" s="1"/>
    </row>
    <row r="19" spans="1:4" ht="21" customHeight="1" x14ac:dyDescent="0.3">
      <c r="A19" s="4">
        <f>A18+1</f>
        <v>17</v>
      </c>
      <c r="B19" s="5" t="s">
        <v>65</v>
      </c>
      <c r="C19" s="7" t="s">
        <v>99</v>
      </c>
      <c r="D19" s="1"/>
    </row>
    <row r="20" spans="1:4" x14ac:dyDescent="0.3">
      <c r="A20" s="4">
        <f t="shared" si="0"/>
        <v>18</v>
      </c>
      <c r="B20" s="5" t="s">
        <v>66</v>
      </c>
      <c r="C20" s="7" t="s">
        <v>67</v>
      </c>
      <c r="D20" s="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D20"/>
  <sheetViews>
    <sheetView zoomScale="75" zoomScaleNormal="75" workbookViewId="0">
      <selection activeCell="C12" sqref="C12"/>
    </sheetView>
  </sheetViews>
  <sheetFormatPr defaultColWidth="9.109375" defaultRowHeight="13.8" x14ac:dyDescent="0.3"/>
  <cols>
    <col min="1" max="1" width="9.109375" style="22"/>
    <col min="2" max="2" width="37" style="23" bestFit="1" customWidth="1"/>
    <col min="3" max="3" width="101.33203125" style="24" customWidth="1"/>
    <col min="4" max="4" width="36.88671875" style="10" customWidth="1"/>
    <col min="5" max="16384" width="9.109375" style="9"/>
  </cols>
  <sheetData>
    <row r="1" spans="1:4" x14ac:dyDescent="0.3">
      <c r="A1" s="11" t="s">
        <v>48</v>
      </c>
      <c r="B1" s="11" t="s">
        <v>49</v>
      </c>
      <c r="C1" s="11" t="s">
        <v>50</v>
      </c>
      <c r="D1" s="9"/>
    </row>
    <row r="2" spans="1:4" x14ac:dyDescent="0.3">
      <c r="A2" s="12">
        <v>0</v>
      </c>
      <c r="B2" s="13" t="s">
        <v>7</v>
      </c>
      <c r="C2" s="13" t="s">
        <v>23</v>
      </c>
      <c r="D2" s="9"/>
    </row>
    <row r="3" spans="1:4" x14ac:dyDescent="0.3">
      <c r="A3" s="12">
        <v>1</v>
      </c>
      <c r="B3" s="13" t="s">
        <v>40</v>
      </c>
      <c r="C3" s="13" t="s">
        <v>51</v>
      </c>
      <c r="D3" s="9"/>
    </row>
    <row r="4" spans="1:4" ht="27.6" x14ac:dyDescent="0.3">
      <c r="A4" s="12">
        <f>A3+1</f>
        <v>2</v>
      </c>
      <c r="B4" s="13" t="s">
        <v>41</v>
      </c>
      <c r="C4" s="42" t="s">
        <v>187</v>
      </c>
      <c r="D4" s="9"/>
    </row>
    <row r="5" spans="1:4" x14ac:dyDescent="0.3">
      <c r="A5" s="12">
        <f t="shared" ref="A5:A20" si="0">A4+1</f>
        <v>3</v>
      </c>
      <c r="B5" s="13" t="s">
        <v>52</v>
      </c>
      <c r="C5" s="27" t="s">
        <v>95</v>
      </c>
      <c r="D5" s="9"/>
    </row>
    <row r="6" spans="1:4" x14ac:dyDescent="0.3">
      <c r="A6" s="12">
        <f t="shared" si="0"/>
        <v>4</v>
      </c>
      <c r="B6" s="13" t="s">
        <v>53</v>
      </c>
      <c r="C6" s="27" t="s">
        <v>88</v>
      </c>
      <c r="D6" s="9"/>
    </row>
    <row r="7" spans="1:4" x14ac:dyDescent="0.3">
      <c r="A7" s="12">
        <f t="shared" si="0"/>
        <v>5</v>
      </c>
      <c r="B7" s="13" t="s">
        <v>9</v>
      </c>
      <c r="C7" s="44">
        <v>98</v>
      </c>
      <c r="D7" s="9"/>
    </row>
    <row r="8" spans="1:4" ht="27.6" x14ac:dyDescent="0.3">
      <c r="A8" s="12">
        <f t="shared" si="0"/>
        <v>6</v>
      </c>
      <c r="B8" s="13" t="s">
        <v>54</v>
      </c>
      <c r="C8" s="27" t="s">
        <v>138</v>
      </c>
      <c r="D8" s="9"/>
    </row>
    <row r="9" spans="1:4" ht="28.5" customHeight="1" x14ac:dyDescent="0.3">
      <c r="A9" s="12">
        <f t="shared" si="0"/>
        <v>7</v>
      </c>
      <c r="B9" s="13" t="s">
        <v>11</v>
      </c>
      <c r="C9" s="27" t="s">
        <v>71</v>
      </c>
      <c r="D9" s="9"/>
    </row>
    <row r="10" spans="1:4" x14ac:dyDescent="0.3">
      <c r="A10" s="12">
        <f t="shared" si="0"/>
        <v>8</v>
      </c>
      <c r="B10" s="13" t="s">
        <v>55</v>
      </c>
      <c r="C10" s="27" t="s">
        <v>90</v>
      </c>
      <c r="D10" s="9"/>
    </row>
    <row r="11" spans="1:4" ht="27.6" x14ac:dyDescent="0.3">
      <c r="A11" s="12">
        <f t="shared" si="0"/>
        <v>9</v>
      </c>
      <c r="B11" s="13" t="s">
        <v>56</v>
      </c>
      <c r="C11" s="27" t="s">
        <v>96</v>
      </c>
      <c r="D11" s="9"/>
    </row>
    <row r="12" spans="1:4" ht="193.2" x14ac:dyDescent="0.3">
      <c r="A12" s="12">
        <f t="shared" si="0"/>
        <v>10</v>
      </c>
      <c r="B12" s="13" t="s">
        <v>57</v>
      </c>
      <c r="C12" s="34" t="s">
        <v>188</v>
      </c>
      <c r="D12" s="9"/>
    </row>
    <row r="13" spans="1:4" ht="27.6" x14ac:dyDescent="0.3">
      <c r="A13" s="12">
        <f t="shared" si="0"/>
        <v>11</v>
      </c>
      <c r="B13" s="13" t="s">
        <v>58</v>
      </c>
      <c r="C13" s="14" t="s">
        <v>115</v>
      </c>
      <c r="D13" s="9"/>
    </row>
    <row r="14" spans="1:4" ht="69" x14ac:dyDescent="0.3">
      <c r="A14" s="12">
        <f t="shared" si="0"/>
        <v>12</v>
      </c>
      <c r="B14" s="13" t="s">
        <v>59</v>
      </c>
      <c r="C14" s="33" t="s">
        <v>189</v>
      </c>
      <c r="D14" s="9"/>
    </row>
    <row r="15" spans="1:4" ht="55.2" x14ac:dyDescent="0.3">
      <c r="A15" s="12">
        <f t="shared" si="0"/>
        <v>13</v>
      </c>
      <c r="B15" s="13" t="s">
        <v>60</v>
      </c>
      <c r="C15" s="33" t="s">
        <v>132</v>
      </c>
      <c r="D15" s="9"/>
    </row>
    <row r="16" spans="1:4" x14ac:dyDescent="0.3">
      <c r="A16" s="12">
        <f t="shared" si="0"/>
        <v>14</v>
      </c>
      <c r="B16" s="13" t="s">
        <v>61</v>
      </c>
      <c r="C16" s="33" t="s">
        <v>73</v>
      </c>
      <c r="D16" s="9"/>
    </row>
    <row r="17" spans="1:4" x14ac:dyDescent="0.3">
      <c r="A17" s="12">
        <f t="shared" si="0"/>
        <v>15</v>
      </c>
      <c r="B17" s="13" t="s">
        <v>62</v>
      </c>
      <c r="C17" s="33" t="s">
        <v>63</v>
      </c>
      <c r="D17" s="9"/>
    </row>
    <row r="18" spans="1:4" x14ac:dyDescent="0.3">
      <c r="A18" s="12">
        <f t="shared" si="0"/>
        <v>16</v>
      </c>
      <c r="B18" s="13" t="s">
        <v>64</v>
      </c>
      <c r="C18" s="33" t="s">
        <v>69</v>
      </c>
      <c r="D18" s="9"/>
    </row>
    <row r="19" spans="1:4" ht="27.6" x14ac:dyDescent="0.3">
      <c r="A19" s="12">
        <f>A18+1</f>
        <v>17</v>
      </c>
      <c r="B19" s="13" t="s">
        <v>65</v>
      </c>
      <c r="C19" s="33" t="s">
        <v>133</v>
      </c>
      <c r="D19" s="9"/>
    </row>
    <row r="20" spans="1:4" x14ac:dyDescent="0.3">
      <c r="A20" s="12">
        <f t="shared" si="0"/>
        <v>18</v>
      </c>
      <c r="B20" s="13" t="s">
        <v>66</v>
      </c>
      <c r="C20" s="14" t="s">
        <v>67</v>
      </c>
      <c r="D20" s="9"/>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Q20"/>
  <sheetViews>
    <sheetView topLeftCell="B1" zoomScale="75" zoomScaleNormal="75" workbookViewId="0">
      <selection activeCell="C14" sqref="C14"/>
    </sheetView>
  </sheetViews>
  <sheetFormatPr defaultColWidth="9.109375" defaultRowHeight="13.8" x14ac:dyDescent="0.3"/>
  <cols>
    <col min="1" max="1" width="9.109375" style="10"/>
    <col min="2" max="2" width="34.88671875" style="9" bestFit="1" customWidth="1"/>
    <col min="3" max="3" width="90.109375" style="9" customWidth="1"/>
    <col min="4" max="4" width="36.88671875" style="10" customWidth="1"/>
    <col min="5" max="16384" width="9.109375" style="9"/>
  </cols>
  <sheetData>
    <row r="1" spans="1:4" x14ac:dyDescent="0.3">
      <c r="A1" s="11" t="s">
        <v>48</v>
      </c>
      <c r="B1" s="11" t="s">
        <v>49</v>
      </c>
      <c r="C1" s="11" t="s">
        <v>50</v>
      </c>
      <c r="D1" s="9"/>
    </row>
    <row r="2" spans="1:4" x14ac:dyDescent="0.3">
      <c r="A2" s="12">
        <v>0</v>
      </c>
      <c r="B2" s="13" t="s">
        <v>7</v>
      </c>
      <c r="C2" s="13" t="s">
        <v>23</v>
      </c>
      <c r="D2" s="9"/>
    </row>
    <row r="3" spans="1:4" x14ac:dyDescent="0.3">
      <c r="A3" s="12">
        <v>1</v>
      </c>
      <c r="B3" s="13" t="s">
        <v>40</v>
      </c>
      <c r="C3" s="13" t="s">
        <v>70</v>
      </c>
      <c r="D3" s="9"/>
    </row>
    <row r="4" spans="1:4" x14ac:dyDescent="0.3">
      <c r="A4" s="12">
        <f>A3+1</f>
        <v>2</v>
      </c>
      <c r="B4" s="13" t="s">
        <v>41</v>
      </c>
      <c r="C4" s="25" t="s">
        <v>81</v>
      </c>
      <c r="D4" s="26"/>
    </row>
    <row r="5" spans="1:4" x14ac:dyDescent="0.3">
      <c r="A5" s="12">
        <f t="shared" ref="A5:A20" si="0">A4+1</f>
        <v>3</v>
      </c>
      <c r="B5" s="13" t="s">
        <v>52</v>
      </c>
      <c r="C5" s="36" t="s">
        <v>140</v>
      </c>
      <c r="D5" s="9"/>
    </row>
    <row r="6" spans="1:4" x14ac:dyDescent="0.3">
      <c r="A6" s="12">
        <f t="shared" si="0"/>
        <v>4</v>
      </c>
      <c r="B6" s="13" t="s">
        <v>53</v>
      </c>
      <c r="C6" s="13" t="s">
        <v>100</v>
      </c>
      <c r="D6" s="9"/>
    </row>
    <row r="7" spans="1:4" x14ac:dyDescent="0.3">
      <c r="A7" s="12">
        <f t="shared" si="0"/>
        <v>5</v>
      </c>
      <c r="B7" s="13" t="s">
        <v>9</v>
      </c>
      <c r="C7" s="15">
        <v>0</v>
      </c>
      <c r="D7" s="9"/>
    </row>
    <row r="8" spans="1:4" ht="27" customHeight="1" x14ac:dyDescent="0.3">
      <c r="A8" s="12">
        <f t="shared" si="0"/>
        <v>6</v>
      </c>
      <c r="B8" s="13" t="s">
        <v>54</v>
      </c>
      <c r="C8" s="14" t="s">
        <v>148</v>
      </c>
      <c r="D8" s="9"/>
    </row>
    <row r="9" spans="1:4" ht="30" customHeight="1" x14ac:dyDescent="0.3">
      <c r="A9" s="12">
        <f t="shared" si="0"/>
        <v>7</v>
      </c>
      <c r="B9" s="13" t="s">
        <v>11</v>
      </c>
      <c r="C9" s="14" t="s">
        <v>146</v>
      </c>
      <c r="D9" s="9"/>
    </row>
    <row r="10" spans="1:4" x14ac:dyDescent="0.3">
      <c r="A10" s="12">
        <f t="shared" si="0"/>
        <v>8</v>
      </c>
      <c r="B10" s="13" t="s">
        <v>55</v>
      </c>
      <c r="C10" s="14" t="s">
        <v>90</v>
      </c>
      <c r="D10" s="9"/>
    </row>
    <row r="11" spans="1:4" ht="33" customHeight="1" x14ac:dyDescent="0.3">
      <c r="A11" s="12">
        <f t="shared" si="0"/>
        <v>9</v>
      </c>
      <c r="B11" s="13" t="s">
        <v>56</v>
      </c>
      <c r="C11" s="14" t="s">
        <v>96</v>
      </c>
      <c r="D11" s="9"/>
    </row>
    <row r="12" spans="1:4" ht="114.9" customHeight="1" x14ac:dyDescent="0.3">
      <c r="A12" s="12">
        <f t="shared" si="0"/>
        <v>10</v>
      </c>
      <c r="B12" s="13" t="s">
        <v>57</v>
      </c>
      <c r="C12" s="27" t="s">
        <v>101</v>
      </c>
      <c r="D12" s="9"/>
    </row>
    <row r="13" spans="1:4" x14ac:dyDescent="0.3">
      <c r="A13" s="12">
        <f t="shared" si="0"/>
        <v>11</v>
      </c>
      <c r="B13" s="13" t="s">
        <v>58</v>
      </c>
      <c r="C13" s="14" t="s">
        <v>77</v>
      </c>
      <c r="D13" s="9"/>
    </row>
    <row r="14" spans="1:4" ht="41.4" x14ac:dyDescent="0.3">
      <c r="A14" s="12">
        <f t="shared" si="0"/>
        <v>12</v>
      </c>
      <c r="B14" s="13" t="s">
        <v>59</v>
      </c>
      <c r="C14" s="14" t="s">
        <v>102</v>
      </c>
      <c r="D14" s="9"/>
    </row>
    <row r="15" spans="1:4" ht="55.2" x14ac:dyDescent="0.3">
      <c r="A15" s="12">
        <f t="shared" si="0"/>
        <v>13</v>
      </c>
      <c r="B15" s="13" t="s">
        <v>60</v>
      </c>
      <c r="C15" s="14" t="s">
        <v>103</v>
      </c>
      <c r="D15" s="9"/>
    </row>
    <row r="16" spans="1:4" x14ac:dyDescent="0.3">
      <c r="A16" s="12">
        <f t="shared" si="0"/>
        <v>14</v>
      </c>
      <c r="B16" s="13" t="s">
        <v>61</v>
      </c>
      <c r="C16" s="14" t="s">
        <v>73</v>
      </c>
      <c r="D16" s="9"/>
    </row>
    <row r="17" spans="1:17" x14ac:dyDescent="0.3">
      <c r="A17" s="12">
        <f t="shared" si="0"/>
        <v>15</v>
      </c>
      <c r="B17" s="13" t="s">
        <v>62</v>
      </c>
      <c r="C17" s="14" t="s">
        <v>63</v>
      </c>
      <c r="D17" s="9"/>
    </row>
    <row r="18" spans="1:17" x14ac:dyDescent="0.3">
      <c r="A18" s="12">
        <f t="shared" si="0"/>
        <v>16</v>
      </c>
      <c r="B18" s="13" t="s">
        <v>64</v>
      </c>
      <c r="C18" s="14" t="s">
        <v>116</v>
      </c>
    </row>
    <row r="19" spans="1:17" ht="27.6" x14ac:dyDescent="0.3">
      <c r="A19" s="12">
        <f>A18+1</f>
        <v>17</v>
      </c>
      <c r="B19" s="13" t="s">
        <v>65</v>
      </c>
      <c r="C19" s="14" t="s">
        <v>104</v>
      </c>
      <c r="M19" s="16"/>
      <c r="N19" s="16"/>
      <c r="O19" s="16"/>
      <c r="P19" s="16"/>
      <c r="Q19" s="16"/>
    </row>
    <row r="20" spans="1:17" x14ac:dyDescent="0.3">
      <c r="A20" s="12">
        <f t="shared" si="0"/>
        <v>18</v>
      </c>
      <c r="B20" s="13" t="s">
        <v>66</v>
      </c>
      <c r="C20" s="14" t="s">
        <v>67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20"/>
  <sheetViews>
    <sheetView zoomScale="75" zoomScaleNormal="75" workbookViewId="0">
      <selection activeCell="B27" sqref="B27"/>
    </sheetView>
  </sheetViews>
  <sheetFormatPr defaultColWidth="9.109375" defaultRowHeight="13.8" x14ac:dyDescent="0.3"/>
  <cols>
    <col min="1" max="1" width="9.109375" style="22"/>
    <col min="2" max="2" width="37" style="23" bestFit="1" customWidth="1"/>
    <col min="3" max="3" width="95.5546875" style="24" customWidth="1"/>
    <col min="4" max="4" width="36.88671875" style="10" customWidth="1"/>
    <col min="5" max="16384" width="9.109375" style="9"/>
  </cols>
  <sheetData>
    <row r="1" spans="1:4" x14ac:dyDescent="0.3">
      <c r="A1" s="11" t="s">
        <v>48</v>
      </c>
      <c r="B1" s="11" t="s">
        <v>49</v>
      </c>
      <c r="C1" s="11" t="s">
        <v>50</v>
      </c>
      <c r="D1" s="9"/>
    </row>
    <row r="2" spans="1:4" x14ac:dyDescent="0.3">
      <c r="A2" s="12">
        <v>0</v>
      </c>
      <c r="B2" s="13" t="s">
        <v>7</v>
      </c>
      <c r="C2" s="13" t="s">
        <v>23</v>
      </c>
      <c r="D2" s="9"/>
    </row>
    <row r="3" spans="1:4" x14ac:dyDescent="0.3">
      <c r="A3" s="12">
        <v>1</v>
      </c>
      <c r="B3" s="13" t="s">
        <v>40</v>
      </c>
      <c r="C3" s="13" t="s">
        <v>51</v>
      </c>
      <c r="D3" s="9"/>
    </row>
    <row r="4" spans="1:4" ht="27.6" x14ac:dyDescent="0.3">
      <c r="A4" s="12">
        <f>A3+1</f>
        <v>2</v>
      </c>
      <c r="B4" s="13" t="s">
        <v>41</v>
      </c>
      <c r="C4" s="25" t="s">
        <v>134</v>
      </c>
      <c r="D4" s="26"/>
    </row>
    <row r="5" spans="1:4" x14ac:dyDescent="0.3">
      <c r="A5" s="12">
        <f t="shared" ref="A5:A20" si="0">A4+1</f>
        <v>3</v>
      </c>
      <c r="B5" s="13" t="s">
        <v>52</v>
      </c>
      <c r="C5" s="13" t="s">
        <v>95</v>
      </c>
      <c r="D5" s="9"/>
    </row>
    <row r="6" spans="1:4" x14ac:dyDescent="0.3">
      <c r="A6" s="12">
        <f t="shared" si="0"/>
        <v>4</v>
      </c>
      <c r="B6" s="13" t="s">
        <v>53</v>
      </c>
      <c r="C6" s="13" t="s">
        <v>88</v>
      </c>
      <c r="D6" s="9"/>
    </row>
    <row r="7" spans="1:4" x14ac:dyDescent="0.3">
      <c r="A7" s="12">
        <f t="shared" si="0"/>
        <v>5</v>
      </c>
      <c r="B7" s="13" t="s">
        <v>9</v>
      </c>
      <c r="C7" s="21">
        <v>0</v>
      </c>
      <c r="D7" s="9"/>
    </row>
    <row r="8" spans="1:4" ht="27.6" x14ac:dyDescent="0.3">
      <c r="A8" s="12">
        <f t="shared" si="0"/>
        <v>6</v>
      </c>
      <c r="B8" s="13" t="s">
        <v>54</v>
      </c>
      <c r="C8" s="13" t="s">
        <v>138</v>
      </c>
      <c r="D8" s="9"/>
    </row>
    <row r="9" spans="1:4" ht="28.5" customHeight="1" x14ac:dyDescent="0.3">
      <c r="A9" s="12">
        <f t="shared" si="0"/>
        <v>7</v>
      </c>
      <c r="B9" s="13" t="s">
        <v>11</v>
      </c>
      <c r="C9" s="13" t="s">
        <v>72</v>
      </c>
      <c r="D9" s="9"/>
    </row>
    <row r="10" spans="1:4" x14ac:dyDescent="0.3">
      <c r="A10" s="12">
        <f t="shared" si="0"/>
        <v>8</v>
      </c>
      <c r="B10" s="13" t="s">
        <v>55</v>
      </c>
      <c r="C10" s="13" t="s">
        <v>90</v>
      </c>
      <c r="D10" s="9"/>
    </row>
    <row r="11" spans="1:4" ht="27.6" x14ac:dyDescent="0.3">
      <c r="A11" s="12">
        <f t="shared" si="0"/>
        <v>9</v>
      </c>
      <c r="B11" s="13" t="s">
        <v>56</v>
      </c>
      <c r="C11" s="13" t="s">
        <v>96</v>
      </c>
      <c r="D11" s="9"/>
    </row>
    <row r="12" spans="1:4" ht="165.6" x14ac:dyDescent="0.3">
      <c r="A12" s="12">
        <f t="shared" si="0"/>
        <v>10</v>
      </c>
      <c r="B12" s="13" t="s">
        <v>57</v>
      </c>
      <c r="C12" s="29" t="s">
        <v>190</v>
      </c>
      <c r="D12" s="9"/>
    </row>
    <row r="13" spans="1:4" x14ac:dyDescent="0.3">
      <c r="A13" s="12">
        <f t="shared" si="0"/>
        <v>11</v>
      </c>
      <c r="B13" s="13" t="s">
        <v>58</v>
      </c>
      <c r="C13" s="13" t="s">
        <v>77</v>
      </c>
      <c r="D13" s="9"/>
    </row>
    <row r="14" spans="1:4" ht="41.4" x14ac:dyDescent="0.3">
      <c r="A14" s="12">
        <f t="shared" si="0"/>
        <v>12</v>
      </c>
      <c r="B14" s="13" t="s">
        <v>59</v>
      </c>
      <c r="C14" s="13" t="s">
        <v>105</v>
      </c>
      <c r="D14" s="9"/>
    </row>
    <row r="15" spans="1:4" ht="69" x14ac:dyDescent="0.3">
      <c r="A15" s="12">
        <f t="shared" si="0"/>
        <v>13</v>
      </c>
      <c r="B15" s="13" t="s">
        <v>60</v>
      </c>
      <c r="C15" s="13" t="s">
        <v>106</v>
      </c>
      <c r="D15" s="9"/>
    </row>
    <row r="16" spans="1:4" x14ac:dyDescent="0.3">
      <c r="A16" s="12">
        <f t="shared" si="0"/>
        <v>14</v>
      </c>
      <c r="B16" s="13" t="s">
        <v>61</v>
      </c>
      <c r="C16" s="14" t="s">
        <v>73</v>
      </c>
      <c r="D16" s="9"/>
    </row>
    <row r="17" spans="1:4" x14ac:dyDescent="0.3">
      <c r="A17" s="12">
        <f t="shared" si="0"/>
        <v>15</v>
      </c>
      <c r="B17" s="13" t="s">
        <v>62</v>
      </c>
      <c r="C17" s="13" t="s">
        <v>63</v>
      </c>
      <c r="D17" s="9"/>
    </row>
    <row r="18" spans="1:4" x14ac:dyDescent="0.3">
      <c r="A18" s="12">
        <f t="shared" si="0"/>
        <v>16</v>
      </c>
      <c r="B18" s="13" t="s">
        <v>64</v>
      </c>
      <c r="C18" s="13" t="s">
        <v>69</v>
      </c>
      <c r="D18" s="9"/>
    </row>
    <row r="19" spans="1:4" ht="27.6" x14ac:dyDescent="0.3">
      <c r="A19" s="12">
        <f>A18+1</f>
        <v>17</v>
      </c>
      <c r="B19" s="13" t="s">
        <v>65</v>
      </c>
      <c r="C19" s="13" t="s">
        <v>107</v>
      </c>
      <c r="D19" s="9"/>
    </row>
    <row r="20" spans="1:4" x14ac:dyDescent="0.3">
      <c r="A20" s="12">
        <f t="shared" si="0"/>
        <v>18</v>
      </c>
      <c r="B20" s="13" t="s">
        <v>66</v>
      </c>
      <c r="C20" s="13" t="s">
        <v>67</v>
      </c>
      <c r="D20" s="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Q20"/>
  <sheetViews>
    <sheetView topLeftCell="B4" zoomScale="75" zoomScaleNormal="75" workbookViewId="0">
      <selection activeCell="C12" sqref="C12"/>
    </sheetView>
  </sheetViews>
  <sheetFormatPr defaultColWidth="9.109375" defaultRowHeight="13.8" x14ac:dyDescent="0.3"/>
  <cols>
    <col min="1" max="1" width="9.109375" style="10"/>
    <col min="2" max="2" width="34.88671875" style="9" bestFit="1" customWidth="1"/>
    <col min="3" max="3" width="90.109375" style="9" customWidth="1"/>
    <col min="4" max="4" width="36.88671875" style="10" customWidth="1"/>
    <col min="5" max="16384" width="9.109375" style="9"/>
  </cols>
  <sheetData>
    <row r="1" spans="1:4" x14ac:dyDescent="0.3">
      <c r="A1" s="11" t="s">
        <v>48</v>
      </c>
      <c r="B1" s="11" t="s">
        <v>49</v>
      </c>
      <c r="C1" s="11" t="s">
        <v>50</v>
      </c>
      <c r="D1" s="9"/>
    </row>
    <row r="2" spans="1:4" x14ac:dyDescent="0.3">
      <c r="A2" s="12">
        <v>0</v>
      </c>
      <c r="B2" s="13" t="s">
        <v>7</v>
      </c>
      <c r="C2" s="13" t="s">
        <v>23</v>
      </c>
      <c r="D2" s="9"/>
    </row>
    <row r="3" spans="1:4" x14ac:dyDescent="0.3">
      <c r="A3" s="12">
        <v>1</v>
      </c>
      <c r="B3" s="13" t="s">
        <v>40</v>
      </c>
      <c r="C3" s="13" t="s">
        <v>70</v>
      </c>
      <c r="D3" s="9"/>
    </row>
    <row r="4" spans="1:4" ht="27.6" x14ac:dyDescent="0.3">
      <c r="A4" s="12">
        <f>A3+1</f>
        <v>2</v>
      </c>
      <c r="B4" s="13" t="s">
        <v>41</v>
      </c>
      <c r="C4" s="20" t="s">
        <v>82</v>
      </c>
      <c r="D4" s="9"/>
    </row>
    <row r="5" spans="1:4" x14ac:dyDescent="0.3">
      <c r="A5" s="12">
        <f t="shared" ref="A5:A20" si="0">A4+1</f>
        <v>3</v>
      </c>
      <c r="B5" s="13" t="s">
        <v>52</v>
      </c>
      <c r="C5" s="36" t="s">
        <v>140</v>
      </c>
      <c r="D5" s="9"/>
    </row>
    <row r="6" spans="1:4" x14ac:dyDescent="0.3">
      <c r="A6" s="12">
        <f t="shared" si="0"/>
        <v>4</v>
      </c>
      <c r="B6" s="13" t="s">
        <v>53</v>
      </c>
      <c r="C6" s="13" t="s">
        <v>100</v>
      </c>
      <c r="D6" s="9"/>
    </row>
    <row r="7" spans="1:4" x14ac:dyDescent="0.3">
      <c r="A7" s="12">
        <f t="shared" si="0"/>
        <v>5</v>
      </c>
      <c r="B7" s="13" t="s">
        <v>9</v>
      </c>
      <c r="C7" s="15">
        <v>0</v>
      </c>
      <c r="D7" s="9"/>
    </row>
    <row r="8" spans="1:4" ht="27" customHeight="1" x14ac:dyDescent="0.3">
      <c r="A8" s="12">
        <f t="shared" si="0"/>
        <v>6</v>
      </c>
      <c r="B8" s="13" t="s">
        <v>54</v>
      </c>
      <c r="C8" s="14" t="s">
        <v>149</v>
      </c>
      <c r="D8" s="9"/>
    </row>
    <row r="9" spans="1:4" ht="30" customHeight="1" x14ac:dyDescent="0.3">
      <c r="A9" s="12">
        <f t="shared" si="0"/>
        <v>7</v>
      </c>
      <c r="B9" s="13" t="s">
        <v>11</v>
      </c>
      <c r="C9" s="14" t="s">
        <v>147</v>
      </c>
      <c r="D9" s="9"/>
    </row>
    <row r="10" spans="1:4" x14ac:dyDescent="0.3">
      <c r="A10" s="12">
        <f t="shared" si="0"/>
        <v>8</v>
      </c>
      <c r="B10" s="13" t="s">
        <v>55</v>
      </c>
      <c r="C10" s="14" t="s">
        <v>90</v>
      </c>
      <c r="D10" s="9"/>
    </row>
    <row r="11" spans="1:4" ht="33" customHeight="1" x14ac:dyDescent="0.3">
      <c r="A11" s="12">
        <f t="shared" si="0"/>
        <v>9</v>
      </c>
      <c r="B11" s="13" t="s">
        <v>56</v>
      </c>
      <c r="C11" s="14" t="s">
        <v>96</v>
      </c>
      <c r="D11" s="9"/>
    </row>
    <row r="12" spans="1:4" ht="153.75" customHeight="1" x14ac:dyDescent="0.3">
      <c r="A12" s="12">
        <f t="shared" si="0"/>
        <v>10</v>
      </c>
      <c r="B12" s="13" t="s">
        <v>57</v>
      </c>
      <c r="C12" s="27" t="s">
        <v>108</v>
      </c>
      <c r="D12" s="9"/>
    </row>
    <row r="13" spans="1:4" x14ac:dyDescent="0.3">
      <c r="A13" s="12">
        <f t="shared" si="0"/>
        <v>11</v>
      </c>
      <c r="B13" s="13" t="s">
        <v>58</v>
      </c>
      <c r="C13" s="14" t="s">
        <v>109</v>
      </c>
      <c r="D13" s="9"/>
    </row>
    <row r="14" spans="1:4" ht="41.4" x14ac:dyDescent="0.3">
      <c r="A14" s="12">
        <f t="shared" si="0"/>
        <v>12</v>
      </c>
      <c r="B14" s="13" t="s">
        <v>59</v>
      </c>
      <c r="C14" s="14" t="s">
        <v>118</v>
      </c>
      <c r="D14" s="9"/>
    </row>
    <row r="15" spans="1:4" ht="41.4" x14ac:dyDescent="0.3">
      <c r="A15" s="12">
        <f t="shared" si="0"/>
        <v>13</v>
      </c>
      <c r="B15" s="13" t="s">
        <v>60</v>
      </c>
      <c r="C15" s="14" t="s">
        <v>117</v>
      </c>
      <c r="D15" s="9"/>
    </row>
    <row r="16" spans="1:4" x14ac:dyDescent="0.3">
      <c r="A16" s="12">
        <f t="shared" si="0"/>
        <v>14</v>
      </c>
      <c r="B16" s="13" t="s">
        <v>61</v>
      </c>
      <c r="C16" s="14" t="s">
        <v>73</v>
      </c>
      <c r="D16" s="9"/>
    </row>
    <row r="17" spans="1:17" x14ac:dyDescent="0.3">
      <c r="A17" s="12">
        <f t="shared" si="0"/>
        <v>15</v>
      </c>
      <c r="B17" s="13" t="s">
        <v>62</v>
      </c>
      <c r="C17" s="14" t="s">
        <v>63</v>
      </c>
      <c r="D17" s="9"/>
    </row>
    <row r="18" spans="1:17" x14ac:dyDescent="0.3">
      <c r="A18" s="12">
        <f t="shared" si="0"/>
        <v>16</v>
      </c>
      <c r="B18" s="13" t="s">
        <v>64</v>
      </c>
      <c r="C18" s="14" t="s">
        <v>116</v>
      </c>
    </row>
    <row r="19" spans="1:17" ht="27.6" x14ac:dyDescent="0.3">
      <c r="A19" s="12">
        <f>A18+1</f>
        <v>17</v>
      </c>
      <c r="B19" s="13" t="s">
        <v>65</v>
      </c>
      <c r="C19" s="14" t="s">
        <v>110</v>
      </c>
      <c r="M19" s="16"/>
      <c r="N19" s="16"/>
      <c r="O19" s="16"/>
      <c r="P19" s="16"/>
      <c r="Q19" s="16"/>
    </row>
    <row r="20" spans="1:17" x14ac:dyDescent="0.3">
      <c r="A20" s="12">
        <f t="shared" si="0"/>
        <v>18</v>
      </c>
      <c r="B20" s="13" t="s">
        <v>66</v>
      </c>
      <c r="C20" s="14" t="s">
        <v>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20"/>
  <sheetViews>
    <sheetView topLeftCell="B1" zoomScale="75" zoomScaleNormal="75" workbookViewId="0">
      <selection activeCell="C12" sqref="C12"/>
    </sheetView>
  </sheetViews>
  <sheetFormatPr defaultColWidth="9.109375" defaultRowHeight="13.8" x14ac:dyDescent="0.3"/>
  <cols>
    <col min="1" max="1" width="9.109375" style="22"/>
    <col min="2" max="2" width="37" style="23" bestFit="1" customWidth="1"/>
    <col min="3" max="3" width="86.44140625" style="24" customWidth="1"/>
    <col min="4" max="4" width="36.88671875" style="10" customWidth="1"/>
    <col min="5" max="16384" width="9.109375" style="9"/>
  </cols>
  <sheetData>
    <row r="1" spans="1:4" x14ac:dyDescent="0.3">
      <c r="A1" s="11" t="s">
        <v>48</v>
      </c>
      <c r="B1" s="11" t="s">
        <v>49</v>
      </c>
      <c r="C1" s="11" t="s">
        <v>50</v>
      </c>
      <c r="D1" s="9"/>
    </row>
    <row r="2" spans="1:4" x14ac:dyDescent="0.3">
      <c r="A2" s="12">
        <v>0</v>
      </c>
      <c r="B2" s="13" t="s">
        <v>7</v>
      </c>
      <c r="C2" s="13" t="s">
        <v>23</v>
      </c>
      <c r="D2" s="9"/>
    </row>
    <row r="3" spans="1:4" x14ac:dyDescent="0.3">
      <c r="A3" s="12">
        <v>1</v>
      </c>
      <c r="B3" s="13" t="s">
        <v>40</v>
      </c>
      <c r="C3" s="13" t="s">
        <v>51</v>
      </c>
      <c r="D3" s="9"/>
    </row>
    <row r="4" spans="1:4" ht="27.6" x14ac:dyDescent="0.3">
      <c r="A4" s="12">
        <f>A3+1</f>
        <v>2</v>
      </c>
      <c r="B4" s="13" t="s">
        <v>41</v>
      </c>
      <c r="C4" s="20" t="s">
        <v>83</v>
      </c>
      <c r="D4" s="9"/>
    </row>
    <row r="5" spans="1:4" x14ac:dyDescent="0.3">
      <c r="A5" s="12">
        <f t="shared" ref="A5:A20" si="0">A4+1</f>
        <v>3</v>
      </c>
      <c r="B5" s="13" t="s">
        <v>52</v>
      </c>
      <c r="C5" s="13" t="s">
        <v>75</v>
      </c>
      <c r="D5" s="9"/>
    </row>
    <row r="6" spans="1:4" x14ac:dyDescent="0.3">
      <c r="A6" s="12">
        <f t="shared" si="0"/>
        <v>4</v>
      </c>
      <c r="B6" s="13" t="s">
        <v>53</v>
      </c>
      <c r="C6" s="13" t="s">
        <v>76</v>
      </c>
      <c r="D6" s="9"/>
    </row>
    <row r="7" spans="1:4" x14ac:dyDescent="0.3">
      <c r="A7" s="12">
        <f t="shared" si="0"/>
        <v>5</v>
      </c>
      <c r="B7" s="13" t="s">
        <v>9</v>
      </c>
      <c r="C7" s="43" t="s">
        <v>191</v>
      </c>
      <c r="D7" s="9"/>
    </row>
    <row r="8" spans="1:4" ht="27.6" x14ac:dyDescent="0.3">
      <c r="A8" s="12">
        <f t="shared" si="0"/>
        <v>6</v>
      </c>
      <c r="B8" s="13" t="s">
        <v>54</v>
      </c>
      <c r="C8" s="13" t="s">
        <v>139</v>
      </c>
      <c r="D8" s="9"/>
    </row>
    <row r="9" spans="1:4" ht="28.5" customHeight="1" x14ac:dyDescent="0.3">
      <c r="A9" s="12">
        <f t="shared" si="0"/>
        <v>7</v>
      </c>
      <c r="B9" s="13" t="s">
        <v>11</v>
      </c>
      <c r="C9" s="13" t="s">
        <v>74</v>
      </c>
      <c r="D9" s="9"/>
    </row>
    <row r="10" spans="1:4" x14ac:dyDescent="0.3">
      <c r="A10" s="12">
        <f t="shared" si="0"/>
        <v>8</v>
      </c>
      <c r="B10" s="13" t="s">
        <v>55</v>
      </c>
      <c r="C10" s="13" t="s">
        <v>90</v>
      </c>
      <c r="D10" s="9"/>
    </row>
    <row r="11" spans="1:4" ht="27.6" x14ac:dyDescent="0.3">
      <c r="A11" s="12">
        <f t="shared" si="0"/>
        <v>9</v>
      </c>
      <c r="B11" s="13" t="s">
        <v>56</v>
      </c>
      <c r="C11" s="13" t="s">
        <v>96</v>
      </c>
      <c r="D11" s="9"/>
    </row>
    <row r="12" spans="1:4" ht="146.25" customHeight="1" x14ac:dyDescent="0.3">
      <c r="A12" s="12">
        <f t="shared" si="0"/>
        <v>10</v>
      </c>
      <c r="B12" s="13" t="s">
        <v>57</v>
      </c>
      <c r="C12" s="29" t="s">
        <v>111</v>
      </c>
      <c r="D12" s="9"/>
    </row>
    <row r="13" spans="1:4" x14ac:dyDescent="0.3">
      <c r="A13" s="12">
        <f t="shared" si="0"/>
        <v>11</v>
      </c>
      <c r="B13" s="13" t="s">
        <v>58</v>
      </c>
      <c r="C13" s="13" t="s">
        <v>77</v>
      </c>
      <c r="D13" s="9"/>
    </row>
    <row r="14" spans="1:4" ht="41.4" x14ac:dyDescent="0.3">
      <c r="A14" s="12">
        <f t="shared" si="0"/>
        <v>12</v>
      </c>
      <c r="B14" s="13" t="s">
        <v>59</v>
      </c>
      <c r="C14" s="13" t="s">
        <v>112</v>
      </c>
      <c r="D14" s="9"/>
    </row>
    <row r="15" spans="1:4" ht="55.2" x14ac:dyDescent="0.3">
      <c r="A15" s="12">
        <f t="shared" si="0"/>
        <v>13</v>
      </c>
      <c r="B15" s="13" t="s">
        <v>60</v>
      </c>
      <c r="C15" s="13" t="s">
        <v>113</v>
      </c>
      <c r="D15" s="9"/>
    </row>
    <row r="16" spans="1:4" x14ac:dyDescent="0.3">
      <c r="A16" s="12">
        <f t="shared" si="0"/>
        <v>14</v>
      </c>
      <c r="B16" s="13" t="s">
        <v>61</v>
      </c>
      <c r="C16" s="14" t="s">
        <v>73</v>
      </c>
      <c r="D16" s="9"/>
    </row>
    <row r="17" spans="1:4" x14ac:dyDescent="0.3">
      <c r="A17" s="12">
        <f t="shared" si="0"/>
        <v>15</v>
      </c>
      <c r="B17" s="13" t="s">
        <v>62</v>
      </c>
      <c r="C17" s="13" t="s">
        <v>63</v>
      </c>
      <c r="D17" s="9"/>
    </row>
    <row r="18" spans="1:4" x14ac:dyDescent="0.3">
      <c r="A18" s="12">
        <f t="shared" si="0"/>
        <v>16</v>
      </c>
      <c r="B18" s="13" t="s">
        <v>64</v>
      </c>
      <c r="C18" s="13" t="s">
        <v>69</v>
      </c>
      <c r="D18" s="9"/>
    </row>
    <row r="19" spans="1:4" ht="27.6" x14ac:dyDescent="0.3">
      <c r="A19" s="12">
        <f>A18+1</f>
        <v>17</v>
      </c>
      <c r="B19" s="13" t="s">
        <v>65</v>
      </c>
      <c r="C19" s="13" t="s">
        <v>114</v>
      </c>
      <c r="D19" s="9"/>
    </row>
    <row r="20" spans="1:4" x14ac:dyDescent="0.3">
      <c r="A20" s="12">
        <f t="shared" si="0"/>
        <v>18</v>
      </c>
      <c r="B20" s="13" t="s">
        <v>66</v>
      </c>
      <c r="C20" s="13" t="s">
        <v>67</v>
      </c>
      <c r="D20" s="9"/>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defaultRowHeight="14.4" x14ac:dyDescent="0.3"/>
  <sheetData/>
  <pageMargins left="0.7" right="0.7" top="0.75" bottom="0.75" header="0.3" footer="0.3"/>
</worksheet>
</file>

<file path=docMetadata/LabelInfo.xml><?xml version="1.0" encoding="utf-8"?>
<clbl:labelList xmlns:clbl="http://schemas.microsoft.com/office/2020/mipLabelMetadata">
  <clbl:label id="{6062c8a2-d353-46c2-92d8-0dd75d1f4b63}" enabled="0" method="" siteId="{6062c8a2-d353-46c2-92d8-0dd75d1f4b6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4.1.</vt:lpstr>
      <vt:lpstr>F Special result 4.1.2 (1)</vt:lpstr>
      <vt:lpstr>F Special result 4.1.3 (1)</vt:lpstr>
      <vt:lpstr>F Special result 4.1.4 (1)</vt:lpstr>
      <vt:lpstr>F Special output 4.1.5 (1)</vt:lpstr>
      <vt:lpstr>Special result 4.1.5 (1)</vt:lpstr>
      <vt:lpstr>F Special output 4.1.6 (1)</vt:lpstr>
      <vt:lpstr>Special result 4.1.6 (1)</vt:lpstr>
      <vt:lpstr>Lapas1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Vytenė Pivoraitė</dc:creator>
  <cp:lastModifiedBy>Jūranda Savukynienė</cp:lastModifiedBy>
  <cp:revision/>
  <dcterms:created xsi:type="dcterms:W3CDTF">2019-08-26T08:32:57Z</dcterms:created>
  <dcterms:modified xsi:type="dcterms:W3CDTF">2025-10-08T09:55:04Z</dcterms:modified>
</cp:coreProperties>
</file>