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FD377439-94AD-4A77-BC39-1C370EF85EB9}" xr6:coauthVersionLast="47" xr6:coauthVersionMax="47" xr10:uidLastSave="{00000000-0000-0000-0000-000000000000}"/>
  <bookViews>
    <workbookView xWindow="-120" yWindow="-120" windowWidth="29040" windowHeight="15720" firstSheet="4" activeTab="4" xr2:uid="{00000000-000D-0000-FFFF-FFFF00000000}"/>
  </bookViews>
  <sheets>
    <sheet name="Intervencijų lėšos (2)" sheetId="17" state="hidden" r:id="rId1"/>
    <sheet name="2PO 2.2" sheetId="6" state="hidden" r:id="rId2"/>
    <sheet name="2PO 2.8" sheetId="12" state="hidden" r:id="rId3"/>
    <sheet name="3PO 3.1" sheetId="13" state="hidden" r:id="rId4"/>
    <sheet name="14.1" sheetId="14" r:id="rId5"/>
    <sheet name="5PO" sheetId="18" state="hidden" r:id="rId6"/>
    <sheet name="Specific result 14.1" sheetId="32" r:id="rId7"/>
  </sheets>
  <externalReferences>
    <externalReference r:id="rId8"/>
  </externalReferences>
  <definedNames>
    <definedName name="_xlnm._FilterDatabase" localSheetId="4" hidden="1">'14.1'!$A$5:$Q$22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4" l="1"/>
  <c r="G34" i="14"/>
  <c r="G33" i="14"/>
  <c r="A38" i="14"/>
  <c r="E12" i="14"/>
  <c r="B38" i="14"/>
  <c r="C20" i="14"/>
  <c r="C21" i="14"/>
  <c r="P20" i="14"/>
  <c r="I37" i="14"/>
  <c r="I36" i="14"/>
  <c r="I35" i="14"/>
  <c r="F35" i="14"/>
  <c r="D35" i="14"/>
  <c r="C35" i="14"/>
  <c r="I34" i="14"/>
  <c r="D34" i="14"/>
  <c r="I33" i="14"/>
  <c r="D33" i="14"/>
  <c r="I38" i="14"/>
  <c r="H35" i="14" l="1"/>
  <c r="I31" i="14"/>
  <c r="E18" i="14" l="1"/>
  <c r="E14" i="14"/>
  <c r="E10" i="14"/>
  <c r="E8" i="14"/>
  <c r="E6" i="14"/>
  <c r="B36" i="14"/>
  <c r="E16" i="14"/>
  <c r="M21" i="14"/>
  <c r="F12" i="14" l="1"/>
  <c r="C37" i="14"/>
  <c r="B37" i="14"/>
  <c r="A37" i="14"/>
  <c r="C36" i="14"/>
  <c r="A36" i="14"/>
  <c r="F34" i="14"/>
  <c r="F33" i="14"/>
  <c r="C34" i="14"/>
  <c r="C33" i="14"/>
  <c r="B34" i="14"/>
  <c r="B33" i="14"/>
  <c r="A34" i="14"/>
  <c r="A33" i="14"/>
  <c r="I32" i="14"/>
  <c r="I39" i="14" s="1"/>
  <c r="C32" i="14"/>
  <c r="C31" i="14"/>
  <c r="B32" i="14"/>
  <c r="B31" i="14"/>
  <c r="A32" i="14"/>
  <c r="A31" i="14"/>
  <c r="C28" i="14"/>
  <c r="C27" i="14"/>
  <c r="C26" i="14"/>
  <c r="C25" i="14"/>
  <c r="C24" i="14"/>
  <c r="F16" i="14"/>
  <c r="G16" i="14" s="1"/>
  <c r="F18" i="14"/>
  <c r="G18" i="14" s="1"/>
  <c r="F8" i="14"/>
  <c r="G8" i="14" s="1"/>
  <c r="F6" i="14"/>
  <c r="G6" i="14" s="1"/>
  <c r="E20" i="14" l="1"/>
  <c r="E21" i="14" l="1"/>
  <c r="E22" i="14" s="1"/>
  <c r="D32" i="14" l="1"/>
  <c r="D31" i="14"/>
  <c r="H32" i="14"/>
  <c r="D39" i="14" l="1"/>
  <c r="G12" i="14"/>
  <c r="M20" i="14"/>
  <c r="H18" i="18" l="1"/>
  <c r="C18" i="18"/>
  <c r="I17" i="18"/>
  <c r="F17" i="18"/>
  <c r="E17" i="18"/>
  <c r="D17" i="18"/>
  <c r="C12" i="18"/>
  <c r="P10" i="18"/>
  <c r="I18" i="18" s="1"/>
  <c r="M10" i="18"/>
  <c r="D18" i="18" s="1"/>
  <c r="O9" i="18"/>
  <c r="H17" i="18" s="1"/>
  <c r="E9" i="18"/>
  <c r="F9" i="18" s="1"/>
  <c r="G9" i="18" s="1"/>
  <c r="C7" i="18"/>
  <c r="C13" i="18"/>
  <c r="P12" i="12"/>
  <c r="P11" i="12"/>
  <c r="E7" i="18" l="1"/>
  <c r="F7" i="18" s="1"/>
  <c r="G7" i="18" s="1"/>
  <c r="C11" i="18"/>
  <c r="B9" i="18"/>
  <c r="M44" i="6" l="1"/>
  <c r="M42" i="6"/>
  <c r="P42" i="6"/>
  <c r="P44" i="6"/>
  <c r="J3" i="17"/>
  <c r="P11" i="13" l="1"/>
  <c r="P10" i="13"/>
  <c r="P27" i="13"/>
  <c r="P29" i="13" s="1"/>
  <c r="P26" i="13"/>
  <c r="P28" i="13" s="1"/>
  <c r="P19" i="13"/>
  <c r="P18" i="13"/>
  <c r="E26" i="13"/>
  <c r="E18" i="13"/>
  <c r="E10" i="13"/>
  <c r="I55" i="13" l="1"/>
  <c r="I54" i="13"/>
  <c r="I87" i="6"/>
  <c r="D86" i="6"/>
  <c r="I86" i="6"/>
  <c r="C43" i="6" l="1"/>
  <c r="C41" i="6"/>
  <c r="C7" i="12" l="1"/>
  <c r="C15" i="12" s="1"/>
  <c r="C47" i="6" l="1"/>
  <c r="C45" i="6"/>
  <c r="C67" i="6" s="1"/>
  <c r="J32" i="17"/>
  <c r="J31" i="17"/>
  <c r="J30" i="17"/>
  <c r="I5" i="17"/>
  <c r="P5" i="17" s="1"/>
  <c r="J19" i="17"/>
  <c r="I3" i="17"/>
  <c r="P4" i="17" s="1"/>
  <c r="I4" i="17"/>
  <c r="I7" i="17"/>
  <c r="I9" i="17"/>
  <c r="I13" i="17"/>
  <c r="I15" i="17"/>
  <c r="I17" i="17"/>
  <c r="J17" i="17" s="1"/>
  <c r="I18" i="17"/>
  <c r="J18" i="17" s="1"/>
  <c r="S18" i="17"/>
  <c r="I19" i="17"/>
  <c r="S19" i="17"/>
  <c r="T19" i="17"/>
  <c r="I24" i="17"/>
  <c r="J24" i="17" s="1"/>
  <c r="I25" i="17"/>
  <c r="N25" i="17"/>
  <c r="N27" i="17"/>
  <c r="H30" i="17"/>
  <c r="H31" i="17"/>
  <c r="H32" i="17"/>
  <c r="H33" i="17"/>
  <c r="H38" i="17"/>
  <c r="H47" i="17" s="1"/>
  <c r="H39" i="17"/>
  <c r="H40" i="17"/>
  <c r="H42" i="17"/>
  <c r="H43" i="17"/>
  <c r="H44" i="17"/>
  <c r="H45" i="17"/>
  <c r="K30" i="17" l="1"/>
  <c r="P20" i="17"/>
  <c r="H50" i="17"/>
  <c r="I30" i="17"/>
  <c r="H49" i="17"/>
  <c r="I33" i="17"/>
  <c r="H48" i="17"/>
  <c r="J33" i="17"/>
  <c r="K32" i="17" s="1"/>
  <c r="K34" i="17" s="1"/>
  <c r="I31" i="17"/>
  <c r="N18" i="17"/>
  <c r="I32" i="17"/>
  <c r="P21" i="17"/>
  <c r="I34" i="17" l="1"/>
  <c r="J34" i="17"/>
  <c r="P7" i="12" l="1"/>
  <c r="C33" i="13" l="1"/>
  <c r="C32" i="13"/>
  <c r="I21" i="12"/>
  <c r="C34" i="13" l="1"/>
  <c r="H25" i="12"/>
  <c r="M7" i="12" l="1"/>
  <c r="O10" i="12" l="1"/>
  <c r="I57" i="13"/>
  <c r="O27" i="13"/>
  <c r="O26" i="13"/>
  <c r="P25" i="13"/>
  <c r="P24" i="13"/>
  <c r="O23" i="13"/>
  <c r="O22" i="13"/>
  <c r="P21" i="13"/>
  <c r="P20" i="13"/>
  <c r="O19" i="13"/>
  <c r="O18" i="13"/>
  <c r="P17" i="13" l="1"/>
  <c r="P16" i="13"/>
  <c r="O14" i="13"/>
  <c r="O15" i="13"/>
  <c r="P13" i="13"/>
  <c r="I61" i="13" s="1"/>
  <c r="P12" i="13"/>
  <c r="I59" i="13" s="1"/>
  <c r="O11" i="13"/>
  <c r="H57" i="13" s="1"/>
  <c r="O10" i="13"/>
  <c r="H55" i="13" s="1"/>
  <c r="O7" i="13" l="1"/>
  <c r="O6" i="13"/>
  <c r="H54" i="13" s="1"/>
  <c r="P8" i="13" l="1"/>
  <c r="P9" i="13"/>
  <c r="I60" i="13" s="1"/>
  <c r="F13" i="6" l="1"/>
  <c r="I91" i="6"/>
  <c r="I90" i="6"/>
  <c r="D87" i="6"/>
  <c r="H90" i="6"/>
  <c r="E47" i="6" l="1"/>
  <c r="F47" i="6" s="1"/>
  <c r="G47" i="6" s="1"/>
  <c r="B47" i="6" l="1"/>
  <c r="E43" i="6"/>
  <c r="D61" i="13" l="1"/>
  <c r="D60" i="13"/>
  <c r="D59" i="13"/>
  <c r="I58" i="13"/>
  <c r="D58" i="13"/>
  <c r="D57" i="13"/>
  <c r="I56" i="13"/>
  <c r="H56" i="13"/>
  <c r="D56" i="13"/>
  <c r="D55" i="13"/>
  <c r="D54" i="13"/>
  <c r="I25" i="12"/>
  <c r="D25" i="12"/>
  <c r="I24" i="12"/>
  <c r="H24" i="12"/>
  <c r="D24" i="12"/>
  <c r="D21" i="12"/>
  <c r="H91" i="6"/>
  <c r="E10" i="12" l="1"/>
  <c r="F10" i="14" l="1"/>
  <c r="F20" i="14" s="1"/>
  <c r="F44" i="13"/>
  <c r="F42" i="13"/>
  <c r="F26" i="13"/>
  <c r="E22" i="13"/>
  <c r="F22" i="13" s="1"/>
  <c r="G22" i="13" s="1"/>
  <c r="F18" i="13"/>
  <c r="G18" i="13" s="1"/>
  <c r="F10" i="13"/>
  <c r="E6" i="13"/>
  <c r="F6" i="13" s="1"/>
  <c r="G6" i="13" s="1"/>
  <c r="C30" i="13"/>
  <c r="C68" i="6"/>
  <c r="C17" i="12"/>
  <c r="G10" i="14" l="1"/>
  <c r="G20" i="14" s="1"/>
  <c r="B6" i="13"/>
  <c r="G10" i="13"/>
  <c r="B10" i="13"/>
  <c r="D42" i="13"/>
  <c r="G42" i="13" s="1"/>
  <c r="D44" i="13"/>
  <c r="F14" i="14"/>
  <c r="F21" i="14" s="1"/>
  <c r="G26" i="13"/>
  <c r="B26" i="13"/>
  <c r="E14" i="13"/>
  <c r="F14" i="13" s="1"/>
  <c r="B22" i="13"/>
  <c r="B18" i="13"/>
  <c r="G14" i="14" l="1"/>
  <c r="G14" i="13"/>
  <c r="B14" i="13"/>
  <c r="G21" i="14" l="1"/>
  <c r="G22" i="14" s="1"/>
  <c r="B6" i="14"/>
  <c r="E7" i="12"/>
  <c r="F7" i="12" s="1"/>
  <c r="G7" i="12" s="1"/>
  <c r="P9" i="12" s="1"/>
  <c r="C13" i="12"/>
  <c r="F10" i="12"/>
  <c r="G10" i="12" s="1"/>
  <c r="J39" i="14" l="1"/>
  <c r="H31" i="14"/>
  <c r="H39" i="14" s="1"/>
  <c r="O20" i="14"/>
  <c r="P8" i="12"/>
  <c r="B7" i="12"/>
  <c r="B10" i="12"/>
  <c r="E13" i="12"/>
  <c r="F13" i="12" s="1"/>
  <c r="G13" i="12" s="1"/>
  <c r="E45" i="6"/>
  <c r="E41" i="6"/>
  <c r="F35" i="6"/>
  <c r="O8" i="12" l="1"/>
  <c r="H22" i="12" s="1"/>
  <c r="I22" i="12"/>
  <c r="O9" i="12"/>
  <c r="H23" i="12" s="1"/>
  <c r="I23" i="12"/>
  <c r="F45" i="6"/>
  <c r="F41" i="6"/>
  <c r="F43" i="6"/>
  <c r="G43" i="6" l="1"/>
  <c r="P43" i="6" s="1"/>
  <c r="B43" i="6"/>
  <c r="G41" i="6"/>
  <c r="P41" i="6" s="1"/>
  <c r="B41" i="6"/>
  <c r="G45" i="6"/>
  <c r="B45" i="6"/>
  <c r="O43" i="6" l="1"/>
  <c r="H89" i="6" s="1"/>
  <c r="I89" i="6"/>
  <c r="I88" i="6"/>
  <c r="O41" i="6"/>
  <c r="H88" i="6" s="1"/>
  <c r="C50" i="13"/>
  <c r="C48" i="13"/>
  <c r="C45" i="13"/>
  <c r="C42" i="13"/>
  <c r="F65" i="6" l="1"/>
  <c r="F61" i="6"/>
  <c r="F57" i="6"/>
  <c r="F53" i="6"/>
  <c r="F49" i="6"/>
  <c r="F31" i="6"/>
  <c r="F27" i="6"/>
  <c r="F23" i="6"/>
  <c r="F18" i="6"/>
  <c r="E48" i="13" l="1"/>
  <c r="F22" i="14" l="1"/>
  <c r="C2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3" authorId="0" shapeId="0" xr:uid="{00000000-0006-0000-0000-000001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shapeId="0" xr:uid="{00000000-0006-0000-0000-000002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shapeId="0" xr:uid="{00000000-0006-0000-00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shapeId="0" xr:uid="{00000000-0006-0000-0000-000004000000}">
      <text>
        <r>
          <rPr>
            <b/>
            <sz val="9"/>
            <color indexed="81"/>
            <rFont val="Tahoma"/>
            <family val="2"/>
            <charset val="186"/>
          </rPr>
          <t>Autorius:</t>
        </r>
        <r>
          <rPr>
            <sz val="9"/>
            <color indexed="81"/>
            <rFont val="Tahoma"/>
            <family val="2"/>
            <charset val="186"/>
          </rPr>
          <t xml:space="preserve">
Iškeliama į 5PO - 2020-12-10</t>
        </r>
      </text>
    </comment>
    <comment ref="I9" authorId="0" shapeId="0" xr:uid="{00000000-0006-0000-0000-000005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shapeId="0" xr:uid="{00000000-0006-0000-0000-000006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shapeId="0" xr:uid="{00000000-0006-0000-0000-000007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shapeId="0" xr:uid="{00000000-0006-0000-0000-000008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13" authorId="0" shapeId="0" xr:uid="{00000000-0006-0000-0100-000001000000}">
      <text>
        <r>
          <rPr>
            <b/>
            <sz val="9"/>
            <color indexed="81"/>
            <rFont val="Tahoma"/>
            <family val="2"/>
            <charset val="186"/>
          </rPr>
          <t>Autorius:</t>
        </r>
        <r>
          <rPr>
            <sz val="9"/>
            <color indexed="81"/>
            <rFont val="Tahoma"/>
            <family val="2"/>
            <charset val="186"/>
          </rPr>
          <t xml:space="preserve">
išskirkit kiekvienam intervencijos kodui</t>
        </r>
      </text>
    </comment>
    <comment ref="C23" authorId="0" shapeId="0" xr:uid="{00000000-0006-0000-0100-000002000000}">
      <text>
        <r>
          <rPr>
            <b/>
            <sz val="9"/>
            <color indexed="81"/>
            <rFont val="Tahoma"/>
            <family val="2"/>
            <charset val="186"/>
          </rPr>
          <t>Autorius:</t>
        </r>
        <r>
          <rPr>
            <sz val="9"/>
            <color indexed="81"/>
            <rFont val="Tahoma"/>
            <family val="2"/>
            <charset val="186"/>
          </rPr>
          <t xml:space="preserve">
išskirkit kiekvienam intervencijos kodui</t>
        </r>
      </text>
    </comment>
    <comment ref="D23" authorId="0" shapeId="0" xr:uid="{00000000-0006-0000-0100-000003000000}">
      <text>
        <r>
          <rPr>
            <b/>
            <sz val="9"/>
            <color indexed="81"/>
            <rFont val="Tahoma"/>
            <family val="2"/>
            <charset val="186"/>
          </rPr>
          <t>Autorius:</t>
        </r>
        <r>
          <rPr>
            <sz val="9"/>
            <color indexed="81"/>
            <rFont val="Tahoma"/>
            <family val="2"/>
            <charset val="186"/>
          </rPr>
          <t xml:space="preserve">
EK siūlo tik 2.1 uždaviniui</t>
        </r>
      </text>
    </comment>
    <comment ref="C35" authorId="0" shapeId="0" xr:uid="{00000000-0006-0000-0100-000004000000}">
      <text>
        <r>
          <rPr>
            <b/>
            <sz val="9"/>
            <color indexed="81"/>
            <rFont val="Tahoma"/>
            <family val="2"/>
            <charset val="186"/>
          </rPr>
          <t>Autorius:</t>
        </r>
        <r>
          <rPr>
            <sz val="9"/>
            <color indexed="81"/>
            <rFont val="Tahoma"/>
            <family val="2"/>
            <charset val="186"/>
          </rPr>
          <t xml:space="preserve">
išskirkit kiekvienam intervencijos kodui</t>
        </r>
      </text>
    </comment>
    <comment ref="D41" authorId="0" shapeId="0" xr:uid="{00000000-0006-0000-0100-000005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t>
        </r>
      </text>
    </comment>
    <comment ref="N41" authorId="0" shapeId="0" xr:uid="{00000000-0006-0000-0100-000006000000}">
      <text>
        <r>
          <rPr>
            <b/>
            <sz val="9"/>
            <color indexed="81"/>
            <rFont val="Tahoma"/>
            <family val="2"/>
            <charset val="186"/>
          </rPr>
          <t>Autorius:</t>
        </r>
        <r>
          <rPr>
            <sz val="9"/>
            <color indexed="81"/>
            <rFont val="Tahoma"/>
            <family val="2"/>
            <charset val="186"/>
          </rPr>
          <t xml:space="preserve">
n/a produkto rodikliams</t>
        </r>
      </text>
    </comment>
    <comment ref="I42" authorId="0" shapeId="0" xr:uid="{00000000-0006-0000-0100-000007000000}">
      <text>
        <r>
          <rPr>
            <b/>
            <sz val="9"/>
            <color indexed="81"/>
            <rFont val="Tahoma"/>
            <family val="2"/>
            <charset val="186"/>
          </rPr>
          <t>Autorius:</t>
        </r>
        <r>
          <rPr>
            <sz val="9"/>
            <color indexed="81"/>
            <rFont val="Tahoma"/>
            <family val="2"/>
            <charset val="186"/>
          </rPr>
          <t xml:space="preserve">
angliskai</t>
        </r>
      </text>
    </comment>
    <comment ref="J43" authorId="0" shapeId="0" xr:uid="{00000000-0006-0000-0100-000008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I44" authorId="0" shapeId="0" xr:uid="{00000000-0006-0000-0100-000009000000}">
      <text>
        <r>
          <rPr>
            <b/>
            <sz val="9"/>
            <color indexed="81"/>
            <rFont val="Tahoma"/>
            <family val="2"/>
            <charset val="186"/>
          </rPr>
          <t>Autorius:</t>
        </r>
        <r>
          <rPr>
            <sz val="9"/>
            <color indexed="81"/>
            <rFont val="Tahoma"/>
            <family val="2"/>
            <charset val="186"/>
          </rPr>
          <t xml:space="preserve">
angliskai</t>
        </r>
      </text>
    </comment>
    <comment ref="D45" authorId="0" shapeId="0" xr:uid="{00000000-0006-0000-0100-00000A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
</t>
        </r>
      </text>
    </comment>
    <comment ref="I45" authorId="0" shapeId="0" xr:uid="{00000000-0006-0000-0100-00000B000000}">
      <text>
        <r>
          <rPr>
            <b/>
            <sz val="9"/>
            <color indexed="81"/>
            <rFont val="Tahoma"/>
            <family val="2"/>
            <charset val="186"/>
          </rPr>
          <t>Autorius:</t>
        </r>
        <r>
          <rPr>
            <sz val="9"/>
            <color indexed="81"/>
            <rFont val="Tahoma"/>
            <family val="2"/>
            <charset val="186"/>
          </rPr>
          <t xml:space="preserve">
angliskai</t>
        </r>
      </text>
    </comment>
    <comment ref="K45" authorId="0" shapeId="0" xr:uid="{00000000-0006-0000-0100-00000C000000}">
      <text>
        <r>
          <rPr>
            <b/>
            <sz val="9"/>
            <color indexed="81"/>
            <rFont val="Tahoma"/>
            <family val="2"/>
            <charset val="186"/>
          </rPr>
          <t>Autorius:</t>
        </r>
        <r>
          <rPr>
            <sz val="9"/>
            <color indexed="81"/>
            <rFont val="Tahoma"/>
            <family val="2"/>
            <charset val="186"/>
          </rPr>
          <t xml:space="preserve">
Ar tikrai ERPFL? Nes ten, kur yra intervenciju lesos yra SaF
</t>
        </r>
        <r>
          <rPr>
            <b/>
            <sz val="9"/>
            <color indexed="81"/>
            <rFont val="Tahoma"/>
            <family val="2"/>
            <charset val="186"/>
          </rPr>
          <t xml:space="preserve">Vaida Kazlauskienė: </t>
        </r>
        <r>
          <rPr>
            <sz val="9"/>
            <color indexed="81"/>
            <rFont val="Tahoma"/>
            <family val="2"/>
            <charset val="186"/>
          </rPr>
          <t>patikslinta.</t>
        </r>
      </text>
    </comment>
    <comment ref="H46" authorId="0" shapeId="0" xr:uid="{00000000-0006-0000-0100-00000D000000}">
      <text>
        <r>
          <rPr>
            <b/>
            <sz val="9"/>
            <color indexed="81"/>
            <rFont val="Tahoma"/>
            <family val="2"/>
            <charset val="186"/>
          </rPr>
          <t>Autorius:</t>
        </r>
        <r>
          <rPr>
            <sz val="9"/>
            <color indexed="81"/>
            <rFont val="Tahoma"/>
            <family val="2"/>
            <charset val="186"/>
          </rPr>
          <t xml:space="preserve">
produkto?</t>
        </r>
      </text>
    </comment>
    <comment ref="I47" authorId="0" shapeId="0" xr:uid="{00000000-0006-0000-0100-00000E000000}">
      <text>
        <r>
          <rPr>
            <b/>
            <sz val="9"/>
            <color indexed="81"/>
            <rFont val="Tahoma"/>
            <family val="2"/>
            <charset val="186"/>
          </rPr>
          <t>Autorius:</t>
        </r>
        <r>
          <rPr>
            <sz val="9"/>
            <color indexed="81"/>
            <rFont val="Tahoma"/>
            <family val="2"/>
            <charset val="186"/>
          </rPr>
          <t xml:space="preserve">
angliskai</t>
        </r>
      </text>
    </comment>
    <comment ref="J47" authorId="0" shapeId="0" xr:uid="{00000000-0006-0000-0100-00000F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H48" authorId="0" shapeId="0" xr:uid="{00000000-0006-0000-0100-000010000000}">
      <text>
        <r>
          <rPr>
            <b/>
            <sz val="9"/>
            <color indexed="81"/>
            <rFont val="Tahoma"/>
            <family val="2"/>
            <charset val="186"/>
          </rPr>
          <t>Autorius:</t>
        </r>
        <r>
          <rPr>
            <sz val="9"/>
            <color indexed="81"/>
            <rFont val="Tahoma"/>
            <family val="2"/>
            <charset val="186"/>
          </rPr>
          <t xml:space="preserve">
produkto?</t>
        </r>
      </text>
    </comment>
    <comment ref="C49" authorId="0" shapeId="0" xr:uid="{00000000-0006-0000-0100-000011000000}">
      <text>
        <r>
          <rPr>
            <b/>
            <sz val="9"/>
            <color indexed="81"/>
            <rFont val="Tahoma"/>
            <family val="2"/>
            <charset val="186"/>
          </rPr>
          <t>Autorius:</t>
        </r>
        <r>
          <rPr>
            <sz val="9"/>
            <color indexed="81"/>
            <rFont val="Tahoma"/>
            <family val="2"/>
            <charset val="186"/>
          </rPr>
          <t xml:space="preserve">
išskirkit kiekvienam intervencijos kodui</t>
        </r>
      </text>
    </comment>
    <comment ref="D61" authorId="0" shapeId="0" xr:uid="{00000000-0006-0000-0100-000012000000}">
      <text>
        <r>
          <rPr>
            <b/>
            <sz val="9"/>
            <color indexed="81"/>
            <rFont val="Tahoma"/>
            <family val="2"/>
            <charset val="186"/>
          </rPr>
          <t>Autorius:</t>
        </r>
        <r>
          <rPr>
            <sz val="9"/>
            <color indexed="81"/>
            <rFont val="Tahoma"/>
            <family val="2"/>
            <charset val="186"/>
          </rPr>
          <t xml:space="preserve">
EK siūlo naudoti 2.1 uzdavinyje</t>
        </r>
      </text>
    </comment>
    <comment ref="D65" authorId="0" shapeId="0" xr:uid="{00000000-0006-0000-0100-000013000000}">
      <text>
        <r>
          <rPr>
            <b/>
            <sz val="9"/>
            <color indexed="81"/>
            <rFont val="Tahoma"/>
            <family val="2"/>
            <charset val="186"/>
          </rPr>
          <t>Autorius:</t>
        </r>
        <r>
          <rPr>
            <sz val="9"/>
            <color indexed="81"/>
            <rFont val="Tahoma"/>
            <family val="2"/>
            <charset val="186"/>
          </rPr>
          <t xml:space="preserve">
EK siūlo nadoti 2.3 uždavinyje</t>
        </r>
      </text>
    </comment>
    <comment ref="H65" authorId="0" shapeId="0" xr:uid="{00000000-0006-0000-0100-000014000000}">
      <text>
        <r>
          <rPr>
            <b/>
            <sz val="9"/>
            <color indexed="81"/>
            <rFont val="Tahoma"/>
            <family val="2"/>
            <charset val="186"/>
          </rPr>
          <t>Autorius:</t>
        </r>
        <r>
          <rPr>
            <sz val="9"/>
            <color indexed="81"/>
            <rFont val="Tahoma"/>
            <family val="2"/>
            <charset val="186"/>
          </rPr>
          <t xml:space="preserve">
kuris produkto, kuris rezultato?</t>
        </r>
      </text>
    </comment>
    <comment ref="C67" authorId="0" shapeId="0" xr:uid="{00000000-0006-0000-0100-000015000000}">
      <text>
        <r>
          <rPr>
            <b/>
            <sz val="9"/>
            <color indexed="81"/>
            <rFont val="Tahoma"/>
            <family val="2"/>
            <charset val="186"/>
          </rPr>
          <t>Autorius:</t>
        </r>
        <r>
          <rPr>
            <sz val="9"/>
            <color indexed="81"/>
            <rFont val="Tahoma"/>
            <family val="2"/>
            <charset val="186"/>
          </rPr>
          <t xml:space="preserve">
SM</t>
        </r>
      </text>
    </comment>
    <comment ref="C68" authorId="0" shapeId="0" xr:uid="{00000000-0006-0000-0100-000016000000}">
      <text>
        <r>
          <rPr>
            <b/>
            <sz val="9"/>
            <color indexed="81"/>
            <rFont val="Tahoma"/>
            <family val="2"/>
            <charset val="186"/>
          </rPr>
          <t>Autorius:</t>
        </r>
        <r>
          <rPr>
            <sz val="9"/>
            <color indexed="81"/>
            <rFont val="Tahoma"/>
            <family val="2"/>
            <charset val="186"/>
          </rPr>
          <t xml:space="preserve">
Visa Lietuva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2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200-000002000000}">
      <text>
        <r>
          <rPr>
            <b/>
            <sz val="9"/>
            <color indexed="81"/>
            <rFont val="Tahoma"/>
            <family val="2"/>
            <charset val="186"/>
          </rPr>
          <t>Autorius:</t>
        </r>
        <r>
          <rPr>
            <sz val="9"/>
            <color indexed="81"/>
            <rFont val="Tahoma"/>
            <family val="2"/>
            <charset val="186"/>
          </rPr>
          <t xml:space="preserve">
ES+LT</t>
        </r>
      </text>
    </comment>
    <comment ref="E7" authorId="0" shapeId="0" xr:uid="{00000000-0006-0000-0200-000003000000}">
      <text>
        <r>
          <rPr>
            <b/>
            <sz val="9"/>
            <color indexed="81"/>
            <rFont val="Tahoma"/>
            <family val="2"/>
            <charset val="186"/>
          </rPr>
          <t>Autorius:</t>
        </r>
        <r>
          <rPr>
            <sz val="9"/>
            <color indexed="81"/>
            <rFont val="Tahoma"/>
            <family val="2"/>
            <charset val="186"/>
          </rPr>
          <t xml:space="preserve">
Jus paskaiciavote 70, as randu, kad 85 proc.</t>
        </r>
      </text>
    </comment>
    <comment ref="I7" authorId="0" shapeId="0" xr:uid="{00000000-0006-0000-0200-000004000000}">
      <text>
        <r>
          <rPr>
            <b/>
            <sz val="9"/>
            <color indexed="81"/>
            <rFont val="Tahoma"/>
            <family val="2"/>
            <charset val="186"/>
          </rPr>
          <t>Autorius:</t>
        </r>
        <r>
          <rPr>
            <sz val="9"/>
            <color indexed="81"/>
            <rFont val="Tahoma"/>
            <family val="2"/>
            <charset val="186"/>
          </rPr>
          <t xml:space="preserve">
angliskai</t>
        </r>
      </text>
    </comment>
    <comment ref="L7" authorId="0" shapeId="0" xr:uid="{00000000-0006-0000-0200-000005000000}">
      <text>
        <r>
          <rPr>
            <b/>
            <sz val="9"/>
            <color indexed="81"/>
            <rFont val="Tahoma"/>
            <family val="2"/>
            <charset val="186"/>
          </rPr>
          <t>Autorius:</t>
        </r>
        <r>
          <rPr>
            <sz val="9"/>
            <color indexed="81"/>
            <rFont val="Tahoma"/>
            <family val="2"/>
            <charset val="186"/>
          </rPr>
          <t xml:space="preserve">
angliskai</t>
        </r>
      </text>
    </comment>
    <comment ref="O7" authorId="0" shapeId="0" xr:uid="{00000000-0006-0000-0200-000006000000}">
      <text>
        <r>
          <rPr>
            <b/>
            <sz val="9"/>
            <color indexed="81"/>
            <rFont val="Tahoma"/>
            <family val="2"/>
            <charset val="186"/>
          </rPr>
          <t>Autorius:</t>
        </r>
        <r>
          <rPr>
            <sz val="9"/>
            <color indexed="81"/>
            <rFont val="Tahoma"/>
            <family val="2"/>
            <charset val="186"/>
          </rPr>
          <t xml:space="preserve">
n/a rezultato rodikliui</t>
        </r>
      </text>
    </comment>
    <comment ref="H8" authorId="0" shapeId="0" xr:uid="{00000000-0006-0000-0200-000007000000}">
      <text>
        <r>
          <rPr>
            <b/>
            <sz val="9"/>
            <color indexed="81"/>
            <rFont val="Tahoma"/>
            <family val="2"/>
            <charset val="186"/>
          </rPr>
          <t>Autorius:</t>
        </r>
        <r>
          <rPr>
            <sz val="9"/>
            <color indexed="81"/>
            <rFont val="Tahoma"/>
            <family val="2"/>
            <charset val="186"/>
          </rPr>
          <t xml:space="preserve">
produkto?</t>
        </r>
      </text>
    </comment>
    <comment ref="N8" authorId="0" shapeId="0" xr:uid="{00000000-0006-0000-0200-000008000000}">
      <text>
        <r>
          <rPr>
            <b/>
            <sz val="9"/>
            <color indexed="81"/>
            <rFont val="Tahoma"/>
            <family val="2"/>
            <charset val="186"/>
          </rPr>
          <t>Autorius:</t>
        </r>
        <r>
          <rPr>
            <sz val="9"/>
            <color indexed="81"/>
            <rFont val="Tahoma"/>
            <family val="2"/>
            <charset val="186"/>
          </rPr>
          <t xml:space="preserve">
n/a produkto rodikliui</t>
        </r>
      </text>
    </comment>
    <comment ref="H9" authorId="0" shapeId="0" xr:uid="{00000000-0006-0000-0200-000009000000}">
      <text>
        <r>
          <rPr>
            <b/>
            <sz val="9"/>
            <color indexed="81"/>
            <rFont val="Tahoma"/>
            <family val="2"/>
            <charset val="186"/>
          </rPr>
          <t>Autorius:</t>
        </r>
        <r>
          <rPr>
            <sz val="9"/>
            <color indexed="81"/>
            <rFont val="Tahoma"/>
            <family val="2"/>
            <charset val="186"/>
          </rPr>
          <t xml:space="preserve">
produkto?</t>
        </r>
      </text>
    </comment>
    <comment ref="N9" authorId="0" shapeId="0" xr:uid="{00000000-0006-0000-0200-00000A000000}">
      <text>
        <r>
          <rPr>
            <b/>
            <sz val="9"/>
            <color indexed="81"/>
            <rFont val="Tahoma"/>
            <family val="2"/>
            <charset val="186"/>
          </rPr>
          <t>Autorius:</t>
        </r>
        <r>
          <rPr>
            <sz val="9"/>
            <color indexed="81"/>
            <rFont val="Tahoma"/>
            <family val="2"/>
            <charset val="186"/>
          </rPr>
          <t xml:space="preserve">
n/a produkto rodikliui</t>
        </r>
      </text>
    </comment>
    <comment ref="E10" authorId="0" shapeId="0" xr:uid="{00000000-0006-0000-0200-00000B000000}">
      <text>
        <r>
          <rPr>
            <b/>
            <sz val="9"/>
            <color indexed="81"/>
            <rFont val="Tahoma"/>
            <family val="2"/>
            <charset val="186"/>
          </rPr>
          <t>Autorius:</t>
        </r>
        <r>
          <rPr>
            <sz val="9"/>
            <color indexed="81"/>
            <rFont val="Tahoma"/>
            <family val="2"/>
            <charset val="186"/>
          </rPr>
          <t xml:space="preserve">
Jus paskaiciavote 70, as randu, kad 85 proc.</t>
        </r>
      </text>
    </comment>
    <comment ref="I10" authorId="0" shapeId="0" xr:uid="{00000000-0006-0000-0200-00000C000000}">
      <text>
        <r>
          <rPr>
            <b/>
            <sz val="9"/>
            <color indexed="81"/>
            <rFont val="Tahoma"/>
            <family val="2"/>
            <charset val="186"/>
          </rPr>
          <t>Autorius:</t>
        </r>
        <r>
          <rPr>
            <sz val="9"/>
            <color indexed="81"/>
            <rFont val="Tahoma"/>
            <family val="2"/>
            <charset val="186"/>
          </rPr>
          <t xml:space="preserve">
angliskai</t>
        </r>
      </text>
    </comment>
    <comment ref="L10" authorId="0" shapeId="0" xr:uid="{00000000-0006-0000-0200-00000D000000}">
      <text>
        <r>
          <rPr>
            <b/>
            <sz val="9"/>
            <color indexed="81"/>
            <rFont val="Tahoma"/>
            <family val="2"/>
            <charset val="186"/>
          </rPr>
          <t>Autorius:</t>
        </r>
        <r>
          <rPr>
            <sz val="9"/>
            <color indexed="81"/>
            <rFont val="Tahoma"/>
            <family val="2"/>
            <charset val="186"/>
          </rPr>
          <t xml:space="preserve">
a ngliskai</t>
        </r>
      </text>
    </comment>
    <comment ref="N10" authorId="0" shapeId="0" xr:uid="{00000000-0006-0000-0200-00000E000000}">
      <text>
        <r>
          <rPr>
            <b/>
            <sz val="9"/>
            <color indexed="81"/>
            <rFont val="Tahoma"/>
            <family val="2"/>
            <charset val="186"/>
          </rPr>
          <t>Autorius:</t>
        </r>
        <r>
          <rPr>
            <sz val="9"/>
            <color indexed="81"/>
            <rFont val="Tahoma"/>
            <family val="2"/>
            <charset val="186"/>
          </rPr>
          <t xml:space="preserve">
n/a produkto rodikliams</t>
        </r>
      </text>
    </comment>
    <comment ref="I11" authorId="0" shapeId="0" xr:uid="{00000000-0006-0000-0200-00000F000000}">
      <text>
        <r>
          <rPr>
            <b/>
            <sz val="9"/>
            <color indexed="81"/>
            <rFont val="Tahoma"/>
            <family val="2"/>
            <charset val="186"/>
          </rPr>
          <t>Autorius:</t>
        </r>
        <r>
          <rPr>
            <sz val="9"/>
            <color indexed="81"/>
            <rFont val="Tahoma"/>
            <family val="2"/>
            <charset val="186"/>
          </rPr>
          <t xml:space="preserve">
angliskai</t>
        </r>
      </text>
    </comment>
    <comment ref="L11" authorId="0" shapeId="0" xr:uid="{00000000-0006-0000-0200-000010000000}">
      <text>
        <r>
          <rPr>
            <b/>
            <sz val="9"/>
            <color indexed="81"/>
            <rFont val="Tahoma"/>
            <family val="2"/>
            <charset val="186"/>
          </rPr>
          <t>Autorius:</t>
        </r>
        <r>
          <rPr>
            <sz val="9"/>
            <color indexed="81"/>
            <rFont val="Tahoma"/>
            <family val="2"/>
            <charset val="186"/>
          </rPr>
          <t xml:space="preserve">
angliskai</t>
        </r>
      </text>
    </comment>
    <comment ref="I12" authorId="0" shapeId="0" xr:uid="{00000000-0006-0000-0200-000011000000}">
      <text>
        <r>
          <rPr>
            <b/>
            <sz val="9"/>
            <color indexed="81"/>
            <rFont val="Tahoma"/>
            <family val="2"/>
            <charset val="186"/>
          </rPr>
          <t>Autorius:</t>
        </r>
        <r>
          <rPr>
            <sz val="9"/>
            <color indexed="81"/>
            <rFont val="Tahoma"/>
            <family val="2"/>
            <charset val="186"/>
          </rPr>
          <t xml:space="preserve">
angliskai</t>
        </r>
      </text>
    </comment>
    <comment ref="L12" authorId="0" shapeId="0" xr:uid="{00000000-0006-0000-0200-000012000000}">
      <text>
        <r>
          <rPr>
            <b/>
            <sz val="9"/>
            <color indexed="81"/>
            <rFont val="Tahoma"/>
            <family val="2"/>
            <charset val="186"/>
          </rPr>
          <t>Autorius:</t>
        </r>
        <r>
          <rPr>
            <sz val="9"/>
            <color indexed="81"/>
            <rFont val="Tahoma"/>
            <family val="2"/>
            <charset val="186"/>
          </rPr>
          <t xml:space="preserve">
users</t>
        </r>
      </text>
    </comment>
    <comment ref="C13" authorId="0" shapeId="0" xr:uid="{00000000-0006-0000-0200-00001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C16" authorId="0" shapeId="0" xr:uid="{00000000-0006-0000-0200-000014000000}">
      <text>
        <r>
          <rPr>
            <b/>
            <sz val="9"/>
            <color indexed="81"/>
            <rFont val="Tahoma"/>
            <family val="2"/>
            <charset val="186"/>
          </rPr>
          <t>Autorius:</t>
        </r>
        <r>
          <rPr>
            <sz val="9"/>
            <color indexed="81"/>
            <rFont val="Tahoma"/>
            <family val="2"/>
            <charset val="186"/>
          </rPr>
          <t xml:space="preserve">
VVL</t>
        </r>
      </text>
    </comment>
    <comment ref="C17" authorId="0" shapeId="0" xr:uid="{00000000-0006-0000-0200-000015000000}">
      <text>
        <r>
          <rPr>
            <b/>
            <sz val="9"/>
            <color indexed="81"/>
            <rFont val="Tahoma"/>
            <family val="2"/>
            <charset val="186"/>
          </rPr>
          <t>Autorius:</t>
        </r>
        <r>
          <rPr>
            <sz val="9"/>
            <color indexed="81"/>
            <rFont val="Tahoma"/>
            <family val="2"/>
            <charset val="186"/>
          </rPr>
          <t xml:space="preserve">
Visa Lietuva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A6" authorId="0" shapeId="0" xr:uid="{00000000-0006-0000-0300-000001000000}">
      <text>
        <r>
          <rPr>
            <b/>
            <sz val="9"/>
            <color indexed="81"/>
            <rFont val="Tahoma"/>
            <family val="2"/>
            <charset val="186"/>
          </rPr>
          <t>Autorius:
atitinkančius kibernetinio ir fizinio saugumo reikalavimus pagal atliktą investicinių poreikių analizę identifikuotuose „baltosiose dėmėse“, prioritetą teikiant vietovėse, kuriose tinklų diegimas nėra ekonomiškai naudingas, kad užtikrintų tolygią elektroninių ryšių tinklų plėtrą bei diegti naujas interneto ryšio technologijas (5G ir 6G), siekiant skaitmeninės ekonomikos transformacijos . Didelio pralaidumo plačiajuosčio ryšio tinklų plėtojimą numatoma įgyvendinti Vidurio ir Vakarų Lietuvos regione. Naujos interneto ryšio technologijos bus diegiamos Vidurio ir Vakarų Lietuvos regione ir Sostinės regione.</t>
        </r>
      </text>
    </comment>
    <comment ref="I6" authorId="0" shapeId="0" xr:uid="{00000000-0006-0000-0300-000002000000}">
      <text>
        <r>
          <rPr>
            <b/>
            <sz val="9"/>
            <color indexed="81"/>
            <rFont val="Tahoma"/>
            <family val="2"/>
            <charset val="186"/>
          </rPr>
          <t>Autorius:</t>
        </r>
        <r>
          <rPr>
            <sz val="9"/>
            <color indexed="81"/>
            <rFont val="Tahoma"/>
            <family val="2"/>
            <charset val="186"/>
          </rPr>
          <t xml:space="preserve">
angliskai idekit</t>
        </r>
      </text>
    </comment>
    <comment ref="N6" authorId="0" shapeId="0" xr:uid="{00000000-0006-0000-0300-000003000000}">
      <text>
        <r>
          <rPr>
            <b/>
            <sz val="9"/>
            <color indexed="81"/>
            <rFont val="Tahoma"/>
            <family val="2"/>
            <charset val="186"/>
          </rPr>
          <t>Autorius:</t>
        </r>
        <r>
          <rPr>
            <sz val="9"/>
            <color indexed="81"/>
            <rFont val="Tahoma"/>
            <family val="2"/>
            <charset val="186"/>
          </rPr>
          <t xml:space="preserve">
produkto rodikliams n/a</t>
        </r>
      </text>
    </comment>
    <comment ref="I7" authorId="0" shapeId="0" xr:uid="{00000000-0006-0000-0300-000004000000}">
      <text>
        <r>
          <rPr>
            <b/>
            <sz val="9"/>
            <color indexed="81"/>
            <rFont val="Tahoma"/>
            <family val="2"/>
            <charset val="186"/>
          </rPr>
          <t>Autorius:</t>
        </r>
        <r>
          <rPr>
            <sz val="9"/>
            <color indexed="81"/>
            <rFont val="Tahoma"/>
            <family val="2"/>
            <charset val="186"/>
          </rPr>
          <t xml:space="preserve">
angliskai idekite</t>
        </r>
      </text>
    </comment>
    <comment ref="N7" authorId="0" shapeId="0" xr:uid="{00000000-0006-0000-0300-000005000000}">
      <text>
        <r>
          <rPr>
            <b/>
            <sz val="9"/>
            <color indexed="81"/>
            <rFont val="Tahoma"/>
            <family val="2"/>
            <charset val="186"/>
          </rPr>
          <t>Autorius:</t>
        </r>
        <r>
          <rPr>
            <sz val="9"/>
            <color indexed="81"/>
            <rFont val="Tahoma"/>
            <family val="2"/>
            <charset val="186"/>
          </rPr>
          <t xml:space="preserve">
n/a</t>
        </r>
      </text>
    </comment>
    <comment ref="I8" authorId="0" shapeId="0" xr:uid="{00000000-0006-0000-0300-000006000000}">
      <text>
        <r>
          <rPr>
            <b/>
            <sz val="9"/>
            <color indexed="81"/>
            <rFont val="Tahoma"/>
            <family val="2"/>
            <charset val="186"/>
          </rPr>
          <t>Autorius:</t>
        </r>
        <r>
          <rPr>
            <sz val="9"/>
            <color indexed="81"/>
            <rFont val="Tahoma"/>
            <family val="2"/>
            <charset val="186"/>
          </rPr>
          <t xml:space="preserve">
angliskai idekite</t>
        </r>
      </text>
    </comment>
    <comment ref="O8" authorId="0" shapeId="0" xr:uid="{00000000-0006-0000-0300-000007000000}">
      <text>
        <r>
          <rPr>
            <b/>
            <sz val="9"/>
            <color indexed="81"/>
            <rFont val="Tahoma"/>
            <family val="2"/>
            <charset val="186"/>
          </rPr>
          <t>Autorius:</t>
        </r>
        <r>
          <rPr>
            <sz val="9"/>
            <color indexed="81"/>
            <rFont val="Tahoma"/>
            <family val="2"/>
            <charset val="186"/>
          </rPr>
          <t xml:space="preserve">
rezultato rodikliams n/a (ziureti fishes)</t>
        </r>
      </text>
    </comment>
    <comment ref="P8" authorId="0" shapeId="0" xr:uid="{00000000-0006-0000-0300-000008000000}">
      <text>
        <r>
          <rPr>
            <b/>
            <sz val="9"/>
            <color indexed="81"/>
            <rFont val="Tahoma"/>
            <family val="2"/>
            <charset val="186"/>
          </rPr>
          <t>Autorius:</t>
        </r>
        <r>
          <rPr>
            <sz val="9"/>
            <color indexed="81"/>
            <rFont val="Tahoma"/>
            <family val="2"/>
            <charset val="186"/>
          </rPr>
          <t xml:space="preserve">
o kodel galvojate, kad tik 20 proc?
</t>
        </r>
        <r>
          <rPr>
            <b/>
            <sz val="9"/>
            <color indexed="81"/>
            <rFont val="Tahoma"/>
            <family val="2"/>
            <charset val="186"/>
          </rPr>
          <t>Vaida. Kazlauskienė</t>
        </r>
        <r>
          <rPr>
            <sz val="9"/>
            <color indexed="81"/>
            <rFont val="Tahoma"/>
            <family val="2"/>
            <charset val="186"/>
          </rPr>
          <t xml:space="preserve">: planuojama, kad prisijungs 80 proc. </t>
        </r>
      </text>
    </comment>
    <comment ref="O9" authorId="0" shapeId="0" xr:uid="{00000000-0006-0000-0300-000009000000}">
      <text>
        <r>
          <rPr>
            <b/>
            <sz val="9"/>
            <color indexed="81"/>
            <rFont val="Tahoma"/>
            <family val="2"/>
            <charset val="186"/>
          </rPr>
          <t>Autorius:</t>
        </r>
        <r>
          <rPr>
            <sz val="9"/>
            <color indexed="81"/>
            <rFont val="Tahoma"/>
            <family val="2"/>
            <charset val="186"/>
          </rPr>
          <t xml:space="preserve">
n/a</t>
        </r>
      </text>
    </comment>
    <comment ref="P9" authorId="0" shapeId="0" xr:uid="{00000000-0006-0000-0300-00000A000000}">
      <text>
        <r>
          <rPr>
            <b/>
            <sz val="9"/>
            <color indexed="81"/>
            <rFont val="Tahoma"/>
            <family val="2"/>
            <charset val="186"/>
          </rPr>
          <t>Autorius:</t>
        </r>
        <r>
          <rPr>
            <sz val="9"/>
            <color indexed="81"/>
            <rFont val="Tahoma"/>
            <family val="2"/>
            <charset val="186"/>
          </rPr>
          <t xml:space="preserve">
kodel tik 20 proc.?
</t>
        </r>
        <r>
          <rPr>
            <b/>
            <sz val="9"/>
            <color indexed="81"/>
            <rFont val="Tahoma"/>
            <family val="2"/>
            <charset val="186"/>
          </rPr>
          <t xml:space="preserve">
Vaida Kazlauskienė: </t>
        </r>
        <r>
          <rPr>
            <sz val="9"/>
            <color indexed="81"/>
            <rFont val="Tahoma"/>
            <family val="2"/>
            <charset val="186"/>
          </rPr>
          <t xml:space="preserve">planuojama, kad prisijungs 80 proc. </t>
        </r>
      </text>
    </comment>
    <comment ref="I12" authorId="0" shapeId="0" xr:uid="{00000000-0006-0000-0300-00000B000000}">
      <text>
        <r>
          <rPr>
            <b/>
            <sz val="9"/>
            <color indexed="81"/>
            <rFont val="Tahoma"/>
            <family val="2"/>
            <charset val="186"/>
          </rPr>
          <t>Autorius:</t>
        </r>
        <r>
          <rPr>
            <sz val="9"/>
            <color indexed="81"/>
            <rFont val="Tahoma"/>
            <family val="2"/>
            <charset val="186"/>
          </rPr>
          <t xml:space="preserve">
angliskai idekite</t>
        </r>
      </text>
    </comment>
    <comment ref="I16" authorId="0" shapeId="0" xr:uid="{00000000-0006-0000-0300-00000C000000}">
      <text>
        <r>
          <rPr>
            <b/>
            <sz val="9"/>
            <color indexed="81"/>
            <rFont val="Tahoma"/>
            <family val="2"/>
            <charset val="186"/>
          </rPr>
          <t>Autorius:</t>
        </r>
        <r>
          <rPr>
            <sz val="9"/>
            <color indexed="81"/>
            <rFont val="Tahoma"/>
            <family val="2"/>
            <charset val="186"/>
          </rPr>
          <t xml:space="preserve">
angliskai idekite</t>
        </r>
      </text>
    </comment>
    <comment ref="I20" authorId="0" shapeId="0" xr:uid="{00000000-0006-0000-0300-00000D000000}">
      <text>
        <r>
          <rPr>
            <b/>
            <sz val="9"/>
            <color indexed="81"/>
            <rFont val="Tahoma"/>
            <family val="2"/>
            <charset val="186"/>
          </rPr>
          <t>Autorius:</t>
        </r>
        <r>
          <rPr>
            <sz val="9"/>
            <color indexed="81"/>
            <rFont val="Tahoma"/>
            <family val="2"/>
            <charset val="186"/>
          </rPr>
          <t xml:space="preserve">
angliskai idekite</t>
        </r>
      </text>
    </comment>
    <comment ref="I24" authorId="0" shapeId="0" xr:uid="{00000000-0006-0000-0300-00000E000000}">
      <text>
        <r>
          <rPr>
            <b/>
            <sz val="9"/>
            <color indexed="81"/>
            <rFont val="Tahoma"/>
            <family val="2"/>
            <charset val="186"/>
          </rPr>
          <t>Autorius:</t>
        </r>
        <r>
          <rPr>
            <sz val="9"/>
            <color indexed="81"/>
            <rFont val="Tahoma"/>
            <family val="2"/>
            <charset val="186"/>
          </rPr>
          <t xml:space="preserve">
angliskai idekite</t>
        </r>
      </text>
    </comment>
    <comment ref="I28" authorId="0" shapeId="0" xr:uid="{00000000-0006-0000-0300-00000F000000}">
      <text>
        <r>
          <rPr>
            <b/>
            <sz val="9"/>
            <color indexed="81"/>
            <rFont val="Tahoma"/>
            <family val="2"/>
            <charset val="186"/>
          </rPr>
          <t>Autorius:</t>
        </r>
        <r>
          <rPr>
            <sz val="9"/>
            <color indexed="81"/>
            <rFont val="Tahoma"/>
            <family val="2"/>
            <charset val="186"/>
          </rPr>
          <t xml:space="preserve">
angliskai idekite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5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500-000002000000}">
      <text>
        <r>
          <rPr>
            <b/>
            <sz val="9"/>
            <color indexed="81"/>
            <rFont val="Tahoma"/>
            <family val="2"/>
            <charset val="186"/>
          </rPr>
          <t>Autorius:</t>
        </r>
        <r>
          <rPr>
            <sz val="9"/>
            <color indexed="81"/>
            <rFont val="Tahoma"/>
            <family val="2"/>
            <charset val="186"/>
          </rPr>
          <t xml:space="preserve">
ES+LT</t>
        </r>
      </text>
    </comment>
    <comment ref="C7" authorId="0" shapeId="0" xr:uid="{00000000-0006-0000-05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shapeId="0" xr:uid="{00000000-0006-0000-0500-00000400000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shapeId="0" xr:uid="{00000000-0006-0000-0500-000005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shapeId="0" xr:uid="{00000000-0006-0000-0500-000006000000}">
      <text>
        <r>
          <rPr>
            <b/>
            <sz val="9"/>
            <color indexed="81"/>
            <rFont val="Tahoma"/>
            <family val="2"/>
            <charset val="186"/>
          </rPr>
          <t>Autorius:</t>
        </r>
        <r>
          <rPr>
            <sz val="9"/>
            <color indexed="81"/>
            <rFont val="Tahoma"/>
            <family val="2"/>
            <charset val="186"/>
          </rPr>
          <t xml:space="preserve">
not required</t>
        </r>
      </text>
    </comment>
    <comment ref="C12" authorId="0" shapeId="0" xr:uid="{00000000-0006-0000-0500-000007000000}">
      <text>
        <r>
          <rPr>
            <b/>
            <sz val="9"/>
            <color indexed="81"/>
            <rFont val="Tahoma"/>
            <family val="2"/>
            <charset val="186"/>
          </rPr>
          <t>Autorius:</t>
        </r>
        <r>
          <rPr>
            <sz val="9"/>
            <color indexed="81"/>
            <rFont val="Tahoma"/>
            <family val="2"/>
            <charset val="186"/>
          </rPr>
          <t xml:space="preserve">
VVL</t>
        </r>
      </text>
    </comment>
    <comment ref="C13" authorId="0" shapeId="0" xr:uid="{00000000-0006-0000-0500-00000800000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<sst xmlns="http://schemas.openxmlformats.org/spreadsheetml/2006/main" count="1363" uniqueCount="399">
  <si>
    <t>4 lentelė. 1 matmuo. Intervencinių priemonių sritis</t>
  </si>
  <si>
    <t>Prioriteto Nr.</t>
  </si>
  <si>
    <t>Fondas</t>
  </si>
  <si>
    <t>Regiono kategorija</t>
  </si>
  <si>
    <t>Konkretus uždavinys</t>
  </si>
  <si>
    <t xml:space="preserve">Kodas </t>
  </si>
  <si>
    <t>Suma (EUR)</t>
  </si>
  <si>
    <t>po korekcijos 10.01 = LAKD</t>
  </si>
  <si>
    <t>po korekcijos 11-18</t>
  </si>
  <si>
    <t>2.2.3      2.2.4</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</si>
  <si>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</si>
  <si>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ERPF</t>
  </si>
  <si>
    <t>Vidurio Vakarų Lietuva</t>
  </si>
  <si>
    <t>2.2</t>
  </si>
  <si>
    <t>077</t>
  </si>
  <si>
    <t>077 Alternatyviųjų degalų infrastruktūra</t>
  </si>
  <si>
    <t xml:space="preserve">2 prioritetas ERPF         103 039 200                       2 prioritetas SaF           175 682 600              </t>
  </si>
  <si>
    <t>SaF</t>
  </si>
  <si>
    <t>-</t>
  </si>
  <si>
    <t>2.8.1</t>
  </si>
  <si>
    <t xml:space="preserve">Įgyvendinti Darnaus judumo planuose (angl. SUMP) numatytas darnaus judumo priemones miestuose bei rajonų savivaldybėse </t>
  </si>
  <si>
    <t>2.8</t>
  </si>
  <si>
    <t>073</t>
  </si>
  <si>
    <t>73 Švaraus miesto transporto infrastruktūra</t>
  </si>
  <si>
    <t>SAF</t>
  </si>
  <si>
    <t>2.8.2</t>
  </si>
  <si>
    <t>Skatinti gyventojus naudotis viešuoju transportu, Įsigyjantti AEI naudojančias vietinio susisiekimo viešojo transporto priemones</t>
  </si>
  <si>
    <t>074</t>
  </si>
  <si>
    <t>074 Švaraus miesto transporto riedmenys</t>
  </si>
  <si>
    <t xml:space="preserve">2.8.3. </t>
  </si>
  <si>
    <t>Plėtoti dviračių ir pėsčiųjų infrastruktūrą miestuose ir priemiesčiuose (savivaldybės)</t>
  </si>
  <si>
    <t>075</t>
  </si>
  <si>
    <t>075 Dviračių infrastruktūra</t>
  </si>
  <si>
    <t>3.1.1</t>
  </si>
  <si>
    <t>Plėtoti itin didelio pralaidumo plačiajuosčio ryšio tinklus, atitinkančius kibernetinio ir fizinio saugumo reikalavimus pagal atliktą investicinių poreikių analizę identifikuotuose „baltosiose dėmėse</t>
  </si>
  <si>
    <t>051</t>
  </si>
  <si>
    <t xml:space="preserve"> 051 IRT: itin didelio pajėgumo plačiajuosčio ryšio tinklas (pagrindinis / tranzitinis tinklas) </t>
  </si>
  <si>
    <t xml:space="preserve">3 prioritetas ERPF        110 017 360                 3 prioritetas SaF           406 290 000                   </t>
  </si>
  <si>
    <t>Sostinės regionas</t>
  </si>
  <si>
    <t>3.1</t>
  </si>
  <si>
    <t>052</t>
  </si>
  <si>
    <t>052 IRT: itin didelio pajėgumo plačiajuosčio ryšio tinklas (prieigos / vietinė linija, kurios efektyvumas lygus optinių skaidulinių kabelių įrenginiams iki paskirstymo taško aptarnaujamojoje vietoje daugiabučiuose pastatuose)</t>
  </si>
  <si>
    <t>053</t>
  </si>
  <si>
    <t xml:space="preserve">053 IRT: itin didelio pajėgumo plačiajuosčio ryšio tinklas (prieigos / vietinė linija, kurios efektyvumas lygus optinių skaidulinių kabelių įrenginiams iki paskirstymo taško aptarnaujamojoje vietoje namuose ir verslo patalpose)  </t>
  </si>
  <si>
    <t>054</t>
  </si>
  <si>
    <t xml:space="preserve">054 	IRT: itin didelio pajėgumo plačiajuosčio ryšio tinklas (prieigos / vietinė linija, kurios efektyvumas lygus optinių skaidulinių kabelių įrenginiams iki bazinės stoties pažangiam belaidžiam ryšiui) </t>
  </si>
  <si>
    <t>3.2.1</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</si>
  <si>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</si>
  <si>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t>
  </si>
  <si>
    <t>067</t>
  </si>
  <si>
    <t xml:space="preserve">067 Rekonstruoti ar pagerinti geležinkeliai – TEN-T pagrindinis tinklas </t>
  </si>
  <si>
    <t>068</t>
  </si>
  <si>
    <t>068 Rekonstruoti ar pagerinti geležinkeliai – TEN-T visuotinis tinklas</t>
  </si>
  <si>
    <t>070</t>
  </si>
  <si>
    <t>070 Transporto skaitmeninimas: geležinkelis</t>
  </si>
  <si>
    <t>3.2.2</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</si>
  <si>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</si>
  <si>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056</t>
  </si>
  <si>
    <t>056 Naujai nutiesti greitkeliai ir keliai – TEN-T pagrindinis tinklas</t>
  </si>
  <si>
    <t>060</t>
  </si>
  <si>
    <t>060 Rekonstruoti ar pagerinti greitkeliai ir keliai – TEN-T pagrindinis tinklas</t>
  </si>
  <si>
    <t>Saf</t>
  </si>
  <si>
    <t>061</t>
  </si>
  <si>
    <t>061 Rekonstruoti ar pagerinti greitkeliai ir keliai – TEN-T visuotinis tinklas</t>
  </si>
  <si>
    <t>063</t>
  </si>
  <si>
    <t>063 Transporto skaitmeninimas: kelias</t>
  </si>
  <si>
    <t>3.2.3</t>
  </si>
  <si>
    <t>plėtoti skirtingų transporto rūšių (daugiarūšio vežimo jungčių) sąveikos efektyvumą didinančią infrastruktūrą</t>
  </si>
  <si>
    <t>078</t>
  </si>
  <si>
    <t>078 Daugiarūšis transportas (TEN-T)</t>
  </si>
  <si>
    <t>3.3.1</t>
  </si>
  <si>
    <t xml:space="preserve">tiesti, atnaujinti tobulinti  ir rekonstruoti valstybinės reikšmės kelius (regionų jungtis su TEN-T tinklu), </t>
  </si>
  <si>
    <t>3.3</t>
  </si>
  <si>
    <t>062</t>
  </si>
  <si>
    <t>062 Kiti rekonstruoti ar pagerinti keliai (greitkeliai, nacionaliniai, regioniniai ar vietos keliai)</t>
  </si>
  <si>
    <t>3.3.2</t>
  </si>
  <si>
    <t xml:space="preserve">Plėtoti dviračių ir pėsčiųjų infrastruktūrą miestuose ir priemiesčiose, kurie neįgyvendina Darnaus judumo mieste planų. </t>
  </si>
  <si>
    <t>2ERPF</t>
  </si>
  <si>
    <t>2SaF</t>
  </si>
  <si>
    <t>3ERPF</t>
  </si>
  <si>
    <t>3SaF</t>
  </si>
  <si>
    <t>5 lentelė. 2 matmuo. Finansavimo forma</t>
  </si>
  <si>
    <t>02, 03, 04, 05</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</si>
  <si>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</si>
  <si>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01</t>
  </si>
  <si>
    <t>Dotacija</t>
  </si>
  <si>
    <t>6 lentelė. 3 matmuo. Teritorinės paramos paskirstymo priemonė ir teritorinė kryptis</t>
  </si>
  <si>
    <t>7 lentelė. 6 matmuo. ESF+ antrinės temos</t>
  </si>
  <si>
    <t>Konkretus uždavinys – 2.2. Skatinti naudoti atsinaujinančiąją energiją</t>
  </si>
  <si>
    <r>
      <t>finansavimo forma</t>
    </r>
    <r>
      <rPr>
        <sz val="11"/>
        <color theme="1"/>
        <rFont val="Times New Roman"/>
        <family val="1"/>
        <charset val="186"/>
      </rPr>
      <t xml:space="preserve"> – AEI plėtrai Lietuvoje yra subsidijos, o komercinės alternatyvių degalų infrastruktūros plėtrai ir AEI naudojančių komercinio transporto skatinimui planuojama taikyti finansinę priemonę. Be to, daliai investicijų į šilumos tinklus bus numatytas grąžinamosios subsidijos finansinis mechanizmas dėl ilgo investicijų atsiperkamumo laikotarpio, didelio reikalingų pradinių investicijų dydžio ir siekiamybės nedidinti šilumos kainos vartotojams.</t>
    </r>
  </si>
  <si>
    <r>
      <t xml:space="preserve">2.2.1. Skatinti elektros energijos gamybą iš AEI ir energijos kaupimo sprendimų diegimą namų ūkiuose, įmonėse bei AIE bendrijose </t>
    </r>
    <r>
      <rPr>
        <b/>
        <sz val="11"/>
        <rFont val="Calibri"/>
        <family val="2"/>
        <charset val="186"/>
        <scheme val="minor"/>
      </rPr>
      <t>EM</t>
    </r>
  </si>
  <si>
    <r>
      <t xml:space="preserve">2.2.2. Skatinti šilumos energijos gamybą iš AEI namų ūkiuose, įmonėse </t>
    </r>
    <r>
      <rPr>
        <b/>
        <sz val="11"/>
        <rFont val="Calibri"/>
        <family val="2"/>
        <charset val="186"/>
        <scheme val="minor"/>
      </rPr>
      <t>EM</t>
    </r>
  </si>
  <si>
    <t>BJRS</t>
  </si>
  <si>
    <t>2.2.3. Skatinti AEI diegimą pramonės MVĮ EIM</t>
  </si>
  <si>
    <r>
      <t xml:space="preserve">2.2.3. Diegti degalų iš AEI gamybos infrastruktūrą, mažinant neigiamą transporto sektoriaus poveikį aplinkai ir klimatui </t>
    </r>
    <r>
      <rPr>
        <b/>
        <sz val="11"/>
        <rFont val="Calibri"/>
        <family val="2"/>
        <charset val="186"/>
        <scheme val="minor"/>
      </rPr>
      <t>EM</t>
    </r>
  </si>
  <si>
    <t>2.2.4. Skatinti transporto sektoriuje naudoti AEI, įrengiant alternatyvių degalų užpildymo / įkrovimo infrastruktūrą</t>
  </si>
  <si>
    <t>2.2.5. Skatinti transporto sektoriuje AEI naudojimą, įsigyjant, pagaminant ir (ar) pritaikant transporto priemones, naudojančias alternatyvius degalus</t>
  </si>
  <si>
    <r>
      <t xml:space="preserve">2.2.6. Didinti AEI panaudojimą šilumos ir vėsumos gamybai CŠT sektoriuje </t>
    </r>
    <r>
      <rPr>
        <b/>
        <sz val="11"/>
        <rFont val="Calibri"/>
        <family val="2"/>
        <charset val="186"/>
        <scheme val="minor"/>
      </rPr>
      <t>EM</t>
    </r>
  </si>
  <si>
    <r>
      <t xml:space="preserve">2.2.7. Pažangios elektros energijos perdavimo infrastruktūros AEI integracijai plėtra </t>
    </r>
    <r>
      <rPr>
        <b/>
        <sz val="11"/>
        <rFont val="Calibri"/>
        <family val="2"/>
        <charset val="186"/>
        <scheme val="minor"/>
      </rPr>
      <t>EM</t>
    </r>
  </si>
  <si>
    <t>EM+SM+ EIM</t>
  </si>
  <si>
    <t>Action</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</si>
  <si>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</si>
  <si>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</si>
  <si>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</si>
  <si>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</si>
  <si>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</si>
  <si>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</si>
  <si>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</si>
  <si>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</si>
  <si>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</si>
  <si>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</si>
  <si>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</si>
  <si>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</si>
  <si>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</si>
  <si>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</si>
  <si>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</si>
  <si>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</si>
  <si>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</si>
  <si>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</si>
  <si>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</si>
  <si>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</si>
  <si>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t>2.2.1. Skatinti elektros energijos gamybą iš AEI ir energijos kaupimo sprendimų diegimą namų ūkiuose, įmonėse bei AEI bendrijose</t>
  </si>
  <si>
    <r>
      <t xml:space="preserve">028 - Atsinaujinanti energija - vėjas. </t>
    </r>
    <r>
      <rPr>
        <b/>
        <sz val="11"/>
        <color theme="1"/>
        <rFont val="Calibri"/>
        <family val="2"/>
        <charset val="186"/>
        <scheme val="minor"/>
      </rPr>
      <t>Renewable energy: wind</t>
    </r>
  </si>
  <si>
    <t>RCR32</t>
  </si>
  <si>
    <t>Additional operational capacity installed for renewable energy</t>
  </si>
  <si>
    <t>Whole Lithuania</t>
  </si>
  <si>
    <t>MW</t>
  </si>
  <si>
    <t>n/a</t>
  </si>
  <si>
    <t>&gt; 0</t>
  </si>
  <si>
    <t>Projects</t>
  </si>
  <si>
    <t>RCR31</t>
  </si>
  <si>
    <t>Total renewable energy produced (of which: electricity, thermal)</t>
  </si>
  <si>
    <t>MWh/year</t>
  </si>
  <si>
    <r>
      <t>&gt;</t>
    </r>
    <r>
      <rPr>
        <sz val="11"/>
        <color rgb="FFFF0000"/>
        <rFont val="Calibri"/>
        <family val="2"/>
        <charset val="186"/>
      </rPr>
      <t>=</t>
    </r>
    <r>
      <rPr>
        <sz val="11"/>
        <color rgb="FFFF0000"/>
        <rFont val="Calibri"/>
        <family val="2"/>
        <charset val="186"/>
        <scheme val="minor"/>
      </rPr>
      <t>0</t>
    </r>
  </si>
  <si>
    <t>RCO22</t>
  </si>
  <si>
    <t>Additional production capacity for renewable energy (of which: electricity, thermal)</t>
  </si>
  <si>
    <t>RCO97</t>
  </si>
  <si>
    <t>Renewable energy communities supported</t>
  </si>
  <si>
    <t>renewable energy communities</t>
  </si>
  <si>
    <r>
      <t>&gt;</t>
    </r>
    <r>
      <rPr>
        <sz val="11"/>
        <color rgb="FFFF0000"/>
        <rFont val="Calibri"/>
        <family val="2"/>
      </rPr>
      <t>=</t>
    </r>
    <r>
      <rPr>
        <sz val="11"/>
        <color rgb="FFFF0000"/>
        <rFont val="Calibri"/>
        <family val="2"/>
        <scheme val="minor"/>
      </rPr>
      <t>0</t>
    </r>
  </si>
  <si>
    <t>RCR29</t>
  </si>
  <si>
    <t>Estimated greenhouse emissions</t>
  </si>
  <si>
    <t>tons of CO2eq/year</t>
  </si>
  <si>
    <r>
      <t xml:space="preserve">029 - Atsinaujinanti energija - saulė. </t>
    </r>
    <r>
      <rPr>
        <b/>
        <sz val="11"/>
        <color theme="1"/>
        <rFont val="Calibri"/>
        <family val="2"/>
        <charset val="186"/>
        <scheme val="minor"/>
      </rPr>
      <t>Renewable energy: solar</t>
    </r>
  </si>
  <si>
    <t>2.2.2. Skatinti šilumos energijos gamybą iš AEI namų ūkiuose,įmonėse.</t>
  </si>
  <si>
    <t>034 - efektyvi kogeneracija, centrinis šildymas ir vėsinimas</t>
  </si>
  <si>
    <t>Projektai</t>
  </si>
  <si>
    <r>
      <t xml:space="preserve">030 - Atsinaujinanti energija - biomasė. </t>
    </r>
    <r>
      <rPr>
        <b/>
        <sz val="11"/>
        <color theme="1"/>
        <rFont val="Calibri"/>
        <family val="2"/>
        <charset val="186"/>
        <scheme val="minor"/>
      </rPr>
      <t>Renewable energy: biomass</t>
    </r>
  </si>
  <si>
    <r>
      <t xml:space="preserve">032 - Kita atsinaujinanti energija (tame tarpe geoterminė). </t>
    </r>
    <r>
      <rPr>
        <b/>
        <sz val="11"/>
        <color theme="1"/>
        <rFont val="Calibri"/>
        <family val="2"/>
        <charset val="186"/>
        <scheme val="minor"/>
      </rPr>
      <t>Other renewable energy (including geothermal energy)</t>
    </r>
  </si>
  <si>
    <t>2.2.3.Diegti degalų iš AEI gamybos infrastruktūrą, mažinant neigiamą transporto sektoriaus poveikį aplinkai ir klimatui</t>
  </si>
  <si>
    <t>077 Alternative fuels infrastructure</t>
  </si>
  <si>
    <t>RCO59</t>
  </si>
  <si>
    <t>Alternative fuels infrastructure (refuelling/ recharging points)</t>
  </si>
  <si>
    <t>Midle- west Lithuania region</t>
  </si>
  <si>
    <t>ERDF</t>
  </si>
  <si>
    <t>refuelling/recharging points</t>
  </si>
  <si>
    <t>2021</t>
  </si>
  <si>
    <t>Supported projects</t>
  </si>
  <si>
    <r>
      <t>Įvertinus skirtingo tipo pakrovimo stotelių įrengimo kaštus, skaičiuojama kad 1 stotelės įkainis yra apie 80 000 eurų,  todėl planuojama, kad 2029 m. rodiklio reikšmė 126618185,41/80 000</t>
    </r>
    <r>
      <rPr>
        <sz val="11"/>
        <rFont val="Calibri"/>
        <family val="2"/>
      </rPr>
      <t>≈</t>
    </r>
    <r>
      <rPr>
        <sz val="11"/>
        <rFont val="Calibri"/>
        <family val="2"/>
        <scheme val="minor"/>
      </rPr>
      <t>1583.  Skaičiuojama, kad 2024 m. bus pasiekta 10 proc., t. y. 1583*0,1</t>
    </r>
    <r>
      <rPr>
        <sz val="11"/>
        <rFont val="Calibri"/>
        <family val="2"/>
      </rPr>
      <t>≈</t>
    </r>
    <r>
      <rPr>
        <sz val="11"/>
        <rFont val="Calibri"/>
        <family val="2"/>
        <scheme val="minor"/>
      </rPr>
      <t>158.  Šie skaičiavimai pateikiami labai preliminarūs. Tikslūs skaičiai bus žinomi atlikus ex-ante vertinimą.</t>
    </r>
  </si>
  <si>
    <t>After estimating the costs of installing different types of refuelling/recharching stations, the tariff of 1 refuelling/recharching station is about 80 000 Eur. The target value for 2029 is calculated  126618185.41/80 000≈1583.  It is planned, that the milestone value will be 10 percent in 2024 (1583 * 0.1≈158). These calculations are very preliminary. The final values will be known after ex-ante evaluation.</t>
  </si>
  <si>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elektromobilių, kurių ŠESD poveikis yra 6,21 ktCO2e.Rodiklio reikšmės proporcingai nuo apskaičiuotų įkrovimo prieigų padalinamos ERDF (95,5 proc.) ir SaF (4,5 proc.) rodikliams. Skaičuojama, kad pradinė reikšmė 2021 m. yra 6,21/1000*0,955≈0,00593, 2029 m. prognozuojama 46005 elektromobiliai, kurių ŠESD poveikis yra 131,51 ktCO2e, todėl  2029 m. reikšmė skaičiuojama 131,51/1000*0,045=0,12559. </t>
  </si>
  <si>
    <t xml:space="preserve">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ktCO2eq are projected in 2021. The baseline value for 2021 is calculated  6.21 / 1000 * 0.955≈0.00593. 46005 electric vehicles with a GHG impact of 131.51 ktCO2eq are forecast in 2029. The target value for 2029 is calculated  131.51 / 1000 * 0.955 = 0.12559. </t>
  </si>
  <si>
    <t>RCO 59</t>
  </si>
  <si>
    <t>CF</t>
  </si>
  <si>
    <r>
      <t>Įvertinus skirtingo tipo alternatyvaus kuro užpylimo/pakrovimo stotelių įrengimo kaštus, skaičiuojama kad 1 stotelės įkainis yra 80 000 eurų, todėl planuojama, kad 2029 m. rodiklio reikšmė 6023529,41/80 000</t>
    </r>
    <r>
      <rPr>
        <sz val="11"/>
        <rFont val="Calibri"/>
        <family val="2"/>
      </rPr>
      <t>≈</t>
    </r>
    <r>
      <rPr>
        <sz val="11"/>
        <rFont val="Calibri"/>
        <family val="2"/>
        <scheme val="minor"/>
      </rPr>
      <t>75. Skaičiuojama, kad 2024 m. bus pasiekta 10 proc., t. y. 7,5*0,1</t>
    </r>
    <r>
      <rPr>
        <sz val="11"/>
        <rFont val="Calibri"/>
        <family val="2"/>
      </rPr>
      <t>≈8</t>
    </r>
    <r>
      <rPr>
        <sz val="11"/>
        <rFont val="Calibri"/>
        <family val="2"/>
        <scheme val="minor"/>
      </rPr>
      <t>.  Šie skaičiavimai pateikiami labai preliminarūs. Tikslūs skaičiai bus žinomi atlikus ex-ante vertinimą.</t>
    </r>
  </si>
  <si>
    <t>After estimating the costs of installing different types of refuelling/recharching stations, the tariff of 1 refuelling/recharching station is about 80 000 euros. The target value for 2029 is calculated  6023529.41/80 000≈75.  It is planned, that the milestone value will be 10 percent in 2024 (75 * 0.1≈8). These calculations are very preliminary. The final values will be known after ex-ante evaluation.</t>
  </si>
  <si>
    <t>RCR 29</t>
  </si>
  <si>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elektromibilių, kurių ŠESD poveikis yra 6,21 ktCO2e.Rodiklio reikšmės proporcingai nuo apskaičiuotų įkrovimo prieigų padalinamos ERDF (95,5 proc.) ir SaF (4,5 proc.) rodikliams. Skaičuojama, kad pradinė reikšmė 2021 m. yra 6,21/1000*0,045≈0,00028, 2029 m. prognozuojama 46005 elektromobiliai, kurių ŠESD poveikis yra 131,51 ktCO2e, todėl  2029 m. reikšmė skaičiuojama 131,51/1000*0,045=0,00592. </t>
  </si>
  <si>
    <t>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 are projected in 2021. The baseline value for 2021 is calculated  6.21 / 1000 * 0.045≈0.00028. 46005 electric vehicles with a GHG impact of 131.51 ktCO2e are forecast in 2029. The target value for 2029 is calculted  131.51 / 1000 * 0.045 = 0.00592.</t>
  </si>
  <si>
    <t>Rodiklių siektinos reikšmės bus nustatytos atlikus  ex-ante vertinimą.</t>
  </si>
  <si>
    <t>The target values will be known after ex-ante evaluation.</t>
  </si>
  <si>
    <t>Specialusis produkto</t>
  </si>
  <si>
    <t>Įsigytos, pritaitkytos ir (ar) pagamintos) AEI naudojančios transporto priemonės</t>
  </si>
  <si>
    <t>Number</t>
  </si>
  <si>
    <t>number</t>
  </si>
  <si>
    <t>2.2.6. Didinti AEI panaudojimą šilumos ir vėsumos gamybai CŠT</t>
  </si>
  <si>
    <r>
      <t xml:space="preserve">029 - Atsinaujinanti energija - saulė. </t>
    </r>
    <r>
      <rPr>
        <b/>
        <sz val="11"/>
        <rFont val="Calibri"/>
        <family val="2"/>
        <charset val="186"/>
        <scheme val="minor"/>
      </rPr>
      <t>Renewable energy: solar</t>
    </r>
  </si>
  <si>
    <r>
      <t xml:space="preserve">030 - Atsinaujinanti energija - biomasė. </t>
    </r>
    <r>
      <rPr>
        <b/>
        <sz val="11"/>
        <rFont val="Calibri"/>
        <family val="2"/>
        <charset val="186"/>
        <scheme val="minor"/>
      </rPr>
      <t>Renewable energy: biomass</t>
    </r>
  </si>
  <si>
    <r>
      <t xml:space="preserve">032 - Kita atsinaujinanti energija (tame tarpe geoterminė). </t>
    </r>
    <r>
      <rPr>
        <b/>
        <sz val="11"/>
        <rFont val="Calibri"/>
        <family val="2"/>
        <charset val="186"/>
        <scheme val="minor"/>
      </rPr>
      <t>Other renewable energy (including geothermal energy)</t>
    </r>
  </si>
  <si>
    <t>2.2.7. Pažangios elektros energijos perdavimo infrastruktūros AEI integracijai plėtra</t>
  </si>
  <si>
    <t>033 - Pažangios elektros energijos sistemos (įskaitant išmaniuosius tinklus ir IT sistemas) ir susijęs kaupimas</t>
  </si>
  <si>
    <t>nac.</t>
  </si>
  <si>
    <t>Naujai nutiesti elektros perdavimo tinklai</t>
  </si>
  <si>
    <t>Midle-West Lithuania region</t>
  </si>
  <si>
    <t>km</t>
  </si>
  <si>
    <t>Naujai pastatytų perdavimo tinklo elementų skaičius</t>
  </si>
  <si>
    <t>vnt</t>
  </si>
  <si>
    <t>Rodiklio kodas</t>
  </si>
  <si>
    <t>Rodiklio pavadinimas</t>
  </si>
  <si>
    <t>Rodiklio matavimo vienetas</t>
  </si>
  <si>
    <t>Rodiklio pradinė reikšmė</t>
  </si>
  <si>
    <t>Rodiklio pradinės reikšmės metai</t>
  </si>
  <si>
    <t>Rodiklio tarpinė 2024 m. reikšmė</t>
  </si>
  <si>
    <t>Rodiklio siektina 2029 m. reikšmė</t>
  </si>
  <si>
    <t>Apskaičiuotas šiltnamio efektą sukeliančių dujų emisijos kiekis</t>
  </si>
  <si>
    <t>Tonos CO2 ekvivalentu per metus</t>
  </si>
  <si>
    <t>Visa Lietuva</t>
  </si>
  <si>
    <t>RCR 31</t>
  </si>
  <si>
    <t>Papildomai veikiantys AEI gamybos pajėgumai</t>
  </si>
  <si>
    <t>RCR 32</t>
  </si>
  <si>
    <t>Iš viso pagaminta atsinaujinančios energijos (tame tarpe: elektros, šilumos)</t>
  </si>
  <si>
    <t>MWh/metus</t>
  </si>
  <si>
    <t>RCO 22</t>
  </si>
  <si>
    <t>Papildomi AEI pajėgumai</t>
  </si>
  <si>
    <t>RCO 97</t>
  </si>
  <si>
    <t>Paramą gavusių AEI bendrijų skaičius</t>
  </si>
  <si>
    <t>Vidurio ir Vakarų Lietuvos regionas</t>
  </si>
  <si>
    <t>SM</t>
  </si>
  <si>
    <t>Skaičius</t>
  </si>
  <si>
    <t>Konkretus uždavinys – 2.8. Skatinti darnų įvairiarūšį judumą miestuose</t>
  </si>
  <si>
    <r>
      <t>finansavimo forma</t>
    </r>
    <r>
      <rPr>
        <sz val="11"/>
        <color theme="1"/>
        <rFont val="Times New Roman"/>
        <family val="1"/>
        <charset val="186"/>
      </rPr>
      <t xml:space="preserve"> darnaus įvairiarūšio judumo veikloms įgyvendinti yra subsidijos, nes numatoma kurti viešąją infrastruktūrą, kuri negeneruos pajamų.</t>
    </r>
  </si>
  <si>
    <t>2.8.1. Įgyvendinti Darnaus judumo planuose (angl. SUMP) numatytas darnaus judumo priemones miestuose bei rajonų savivaldybėse</t>
  </si>
  <si>
    <t>2.8.2. Skatinti gyventojus naudotis viešuoju transportu, įsigyjant AEI naudojančias vietinio susisiekimo viešojo transporto priemones</t>
  </si>
  <si>
    <t>Action Veiksmas</t>
  </si>
  <si>
    <t>Rodiklis</t>
  </si>
  <si>
    <t xml:space="preserve">Rodiklio pradinė </t>
  </si>
  <si>
    <t>Duomenų šaltinis</t>
  </si>
  <si>
    <t>Rodiklio siektinų reikšmų apskaičiavimo metodika</t>
  </si>
  <si>
    <t>Finansinė proporcija (EU+ nacionalinis)(Eur.)</t>
  </si>
  <si>
    <t>reikšmė</t>
  </si>
  <si>
    <t>metai</t>
  </si>
  <si>
    <r>
      <rPr>
        <b/>
        <sz val="11"/>
        <color theme="1"/>
        <rFont val="Calibri"/>
        <family val="2"/>
        <charset val="186"/>
        <scheme val="minor"/>
      </rPr>
      <t xml:space="preserve">073 </t>
    </r>
    <r>
      <rPr>
        <sz val="11"/>
        <color theme="1"/>
        <rFont val="Calibri"/>
        <family val="2"/>
        <scheme val="minor"/>
      </rPr>
      <t>Clean urban transport infrastructure</t>
    </r>
  </si>
  <si>
    <t>Tons of CO2eq/year</t>
  </si>
  <si>
    <t>Reikšmės nurodytos iš NECP skaičiavimo dokumentų. Skaičiavimuose nurodyta, kad pronozuojama, kad 2021 m. darnaus judumo miestuose planų įgyvendinimo ŠESD poveikis bus 60,96 ktCO2e, todėl 2021 m. rodiklio reikšmė skaičiuojama 60,96/1000=0,06096. Prognozuojama, kad 2029 m. ŠESD poveikis bus 223,54 ktCO2e, todėl rodiklio 2029 m. siektina reikšmė apskaičiuojama 223,54/1000=0,22354.</t>
  </si>
  <si>
    <t>The calculations of the indicator are performed on the basis of the calculations of NECP T4 measure "Implementation of sustainableurban mobility plans (SUMP)".  According to the calculations, it is projected,  that the GHG impact of the implementation of the sustainable urban mobility plans will be 60.96 ktCO2eq in 2021 , therefore the baseline value for 2021  is calculated 60.96 / 1000 = 0.06096. The GHG impact  is projected to be 223.54 ktCO2eq in 2029, therefore the target value for 2029 m is calculated  223.54 / 1000 = 0.22354.</t>
  </si>
  <si>
    <r>
      <t>Įgyvendintos darnaus judumo priemones/</t>
    </r>
    <r>
      <rPr>
        <sz val="11"/>
        <color rgb="FFFF0000"/>
        <rFont val="Calibri"/>
        <family val="2"/>
        <charset val="186"/>
        <scheme val="minor"/>
      </rPr>
      <t xml:space="preserve"> Sustainable mobility measures implemented</t>
    </r>
  </si>
  <si>
    <r>
      <t>Įvertinus 2014-2020 m. laikotarpio projektus 1 darnaus judumo priemonės įgyvendinimo įkainis yra 1 900 000 Eur.  Planuojama, kad bus skiriama 67 proc. 073 intervencijos lėšų, todėl 143212698,82*0,67</t>
    </r>
    <r>
      <rPr>
        <sz val="11"/>
        <rFont val="Calibri"/>
        <family val="2"/>
      </rPr>
      <t>=9595208,21</t>
    </r>
    <r>
      <rPr>
        <sz val="11"/>
        <rFont val="Calibri"/>
        <family val="2"/>
        <scheme val="minor"/>
      </rPr>
      <t>.  Rodiklio siektina 2029 m. reikšmė apskaičiuojama 95952508,21/1 900 000</t>
    </r>
    <r>
      <rPr>
        <sz val="11"/>
        <rFont val="Calibri"/>
        <family val="2"/>
      </rPr>
      <t>≈</t>
    </r>
    <r>
      <rPr>
        <sz val="11"/>
        <rFont val="Calibri"/>
        <family val="2"/>
        <scheme val="minor"/>
      </rPr>
      <t>51. Planuojama, kad 2024 m. bus pasiekta 10 proc.  51*0,1</t>
    </r>
    <r>
      <rPr>
        <sz val="11"/>
        <rFont val="Calibri"/>
        <family val="2"/>
      </rPr>
      <t>≈</t>
    </r>
    <r>
      <rPr>
        <sz val="11"/>
        <rFont val="Calibri"/>
        <family val="2"/>
        <scheme val="minor"/>
      </rPr>
      <t>5.</t>
    </r>
  </si>
  <si>
    <t>After evaluating the completed projects of 2014-2020 period, the tariff  of 1  sustainable mobility measure implemented  is  1 900 000 Eur. 67 percent of intervension investments is allocated to this indicator. The target value fot 2029 is calculated  143212698.82 * 0.67  / 1 900 000≈51.  It is planned that the milestone value will be 10 percent in 2024 (51 * 0.1≈5).</t>
  </si>
  <si>
    <r>
      <t>Įdiegtos intelektinės transporto sistemos/</t>
    </r>
    <r>
      <rPr>
        <sz val="11"/>
        <color rgb="FFFF0000"/>
        <rFont val="Calibri"/>
        <family val="2"/>
        <charset val="186"/>
        <scheme val="minor"/>
      </rPr>
      <t>Intelligent transport systems introduced</t>
    </r>
  </si>
  <si>
    <r>
      <t>Įvertinus 2014-2020 m. laikotarpio projektus 1 intelektinės transporto sistemos diegimui  įkainis yra 1900000 Eur.  Planuojama, kad bus skiriama 33 proc. 073 intervencijos lėšų, todėl 143212698,82*0,33=47260190,61.  Rodiklio siektina 2029 m. reikšmė apskaičiuojama 47260190,61/1 900 000≈25. Planuojama, kad 2024 m. bus pasiekta 10 proc.  25*0,1</t>
    </r>
    <r>
      <rPr>
        <sz val="11"/>
        <rFont val="Calibri"/>
        <family val="2"/>
      </rPr>
      <t>≈</t>
    </r>
    <r>
      <rPr>
        <sz val="11"/>
        <rFont val="Calibri"/>
        <family val="2"/>
        <scheme val="minor"/>
      </rPr>
      <t>3.</t>
    </r>
  </si>
  <si>
    <t>After evaluating the completed projects of 2014-2020 period, the tariff  of 1  intelligent transport systems introduced  is  1 900 000 Eur. 33 percent of intervension investments is allocated to this indicator. The target value fot 2029 is calculated  143212698.82 * 0.33  / 1 900 000≈25.  It is planned that the milestone value will be 10 percent in 2024 (25 * 0.1≈3).</t>
  </si>
  <si>
    <r>
      <rPr>
        <b/>
        <sz val="11"/>
        <color theme="1"/>
        <rFont val="Calibri"/>
        <family val="2"/>
        <charset val="186"/>
        <scheme val="minor"/>
      </rPr>
      <t>074</t>
    </r>
    <r>
      <rPr>
        <sz val="11"/>
        <color theme="1"/>
        <rFont val="Calibri"/>
        <family val="2"/>
        <scheme val="minor"/>
      </rPr>
      <t xml:space="preserve"> Clean urban transport rolling stock</t>
    </r>
  </si>
  <si>
    <t>RCO57</t>
  </si>
  <si>
    <t>Capacity of environmentally friendly rolling stock for collective public transport</t>
  </si>
  <si>
    <t>Passengers</t>
  </si>
  <si>
    <t>9900</t>
  </si>
  <si>
    <r>
      <t xml:space="preserve">Priklausomai nuo elektra varomo autobuso tipo (baterijos vietos, jos tipo, įkrovimo tipo, autobuso ilgio ir pan.), </t>
    </r>
    <r>
      <rPr>
        <sz val="11"/>
        <rFont val="Calibri"/>
        <family val="2"/>
        <charset val="186"/>
        <scheme val="minor"/>
      </rPr>
      <t xml:space="preserve">vidutinė jo kaina yra 545 500 eurų. </t>
    </r>
    <r>
      <rPr>
        <sz val="11"/>
        <color theme="1"/>
        <rFont val="Calibri"/>
        <family val="2"/>
        <scheme val="minor"/>
      </rPr>
      <t>Planuojama įsigyti 99 autobusus (53764705,88/545 500</t>
    </r>
    <r>
      <rPr>
        <sz val="11"/>
        <color theme="1"/>
        <rFont val="Calibri"/>
        <family val="2"/>
        <charset val="186"/>
      </rPr>
      <t>≈</t>
    </r>
    <r>
      <rPr>
        <sz val="11"/>
        <color theme="1"/>
        <rFont val="Calibri"/>
        <family val="2"/>
        <scheme val="minor"/>
      </rPr>
      <t>99). Priklausomai nuo autobuso ilgio, vidutinis vietų skaičius yra 100. RCO 57 rodiklio reikšmė apskaičiuojama 100*99=9900. Tarpinė reikšmė 2024m. sudarys 10 proc.,  9900*0,1=990.</t>
    </r>
  </si>
  <si>
    <t>Depending on the type of public vehicle powered by electricity (battery location, type, charging type, length of the vehicle, etc.), the average price is 545 500 Eur. It is planned to purchase 99 public vehicles powered by electricity (53764705.88 / 545 500≈99). Depending on the length of the vehicle, the average number of seats is 100. The target value for 2029 is calculated 100 * 99 = 9900. It is planned, that the milestone value will be 10 percent in 2024  (9900 * 0.1 = 990).</t>
  </si>
  <si>
    <t>0</t>
  </si>
  <si>
    <r>
      <t>Reikšmės apskaičiuojamos iš NECP.  Vieno el. autobuso ŠESD kiekis yra 0,005 kt CO2 ekv.. Planuojama įsigyti 99 el. autobusų (Žr. RCO 57 rodiklio skaičiavimo metodiką). 2029 m. rodiklis apskaičiuojamas 99*0,005/1000</t>
    </r>
    <r>
      <rPr>
        <sz val="11"/>
        <color theme="1"/>
        <rFont val="Calibri"/>
        <family val="2"/>
        <charset val="186"/>
      </rPr>
      <t>≈</t>
    </r>
    <r>
      <rPr>
        <sz val="11"/>
        <color theme="1"/>
        <rFont val="Calibri"/>
        <family val="2"/>
        <scheme val="minor"/>
      </rPr>
      <t xml:space="preserve">0,0005. </t>
    </r>
  </si>
  <si>
    <r>
      <t>The calculations of the indicator are performed on the basis of the calculations of NECP T1 measure "Renewal of urban and suburban public transport fleets by promoting vehicles running on alternative fuels ". The GHG impact of public vehicle powered electricity is 0.005 kt CO2 eq. The targer value for 2029 is calculated  99*0,005/1000</t>
    </r>
    <r>
      <rPr>
        <sz val="11"/>
        <color theme="1"/>
        <rFont val="Calibri"/>
        <family val="2"/>
        <charset val="186"/>
      </rPr>
      <t>≈0,0005.</t>
    </r>
  </si>
  <si>
    <t>RCR62</t>
  </si>
  <si>
    <t>Annual users of new or modernised public transport</t>
  </si>
  <si>
    <t>Users</t>
  </si>
  <si>
    <r>
      <t>Statistikos departamentas/</t>
    </r>
    <r>
      <rPr>
        <sz val="11"/>
        <color rgb="FFFF0000"/>
        <rFont val="Calibri"/>
        <family val="2"/>
        <charset val="186"/>
        <scheme val="minor"/>
      </rPr>
      <t>Department of Statistics</t>
    </r>
  </si>
  <si>
    <r>
      <t>Planuojamai reikšmei nustatyti naudojami Statistikos departamento 2017-2019 m. (2020 m. nevertinti dėl Covid-19 įtakos) laikotarpio duomenys: autobusų skaičius ir  pervežtų keleivių skaičius. Vidutiniškai yra 7442 autobusai, kurie vidutiniškai pervežė 290 344 533 keleivius. Apskaičiuota, kad vidutinškai 1 autobusas perveža 39 013 keleivių (290344533/7442</t>
    </r>
    <r>
      <rPr>
        <sz val="11"/>
        <rFont val="Calibri"/>
        <family val="2"/>
        <charset val="186"/>
      </rPr>
      <t>≈39013). Todėl skaičiuojama, kad 2029 m.  RCR62=39013*99 (planuojamų naujų autobusų sk., žr. RCO 57 skaičiavimo metodiką)≈3862287.</t>
    </r>
  </si>
  <si>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99 (number of planned new buses, see RCO 57 calculation methodology) ≈3862287.</t>
  </si>
  <si>
    <t xml:space="preserve"> </t>
  </si>
  <si>
    <t>Įgyvendintos darnaus judumo priemones</t>
  </si>
  <si>
    <t>Įdiegtos intelektinės transporto sistemos</t>
  </si>
  <si>
    <t>Konkretus uždavinys – 3.1. Gerinti skaitmeninį junglumą</t>
  </si>
  <si>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</si>
  <si>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t>3.1.1. Plėtoti itin didelio pralaidumo plačiajuosčio ryšio tinklus</t>
  </si>
  <si>
    <t xml:space="preserve">Milestone 2024 </t>
  </si>
  <si>
    <t>Code</t>
  </si>
  <si>
    <t>Name</t>
  </si>
  <si>
    <t>Year</t>
  </si>
  <si>
    <r>
      <rPr>
        <b/>
        <sz val="11"/>
        <color theme="1"/>
        <rFont val="Calibri"/>
        <family val="2"/>
        <scheme val="minor"/>
      </rPr>
      <t>051</t>
    </r>
    <r>
      <rPr>
        <sz val="11"/>
        <color theme="1"/>
        <rFont val="Calibri"/>
        <family val="2"/>
        <scheme val="minor"/>
      </rPr>
      <t xml:space="preserve"> ICT: Very High-Capacity broadband network (backbone/backhaul network)  </t>
    </r>
  </si>
  <si>
    <t>RCO41</t>
  </si>
  <si>
    <t>Additional dwellings with broadband access of very high capacity</t>
  </si>
  <si>
    <t>dwellings</t>
  </si>
  <si>
    <t>2019</t>
  </si>
  <si>
    <r>
      <t xml:space="preserve"> Skaičiuojama, kad bus paklota apie 570 km šviesolaidinių linijų (ŠKL) už apie 8 550 000,00 Eur - apie 15 000 Eur už 1 km. ŠKL skirta magistraliniam ryšiui, papildomai joje įrengiant prisijungimo taškus netoliese esantiems vartotojams. Daroma prielaida, kad kiekvienam paklotam ŠKL kilometrui vidutiniškai bus įrengti prisijungimo taškai 25 vartotojams (</t>
    </r>
    <r>
      <rPr>
        <sz val="11"/>
        <color theme="1"/>
        <rFont val="Calibri"/>
        <family val="2"/>
        <charset val="186"/>
      </rPr>
      <t>~</t>
    </r>
    <r>
      <rPr>
        <sz val="8.25"/>
        <color theme="1"/>
        <rFont val="Calibri"/>
        <family val="2"/>
      </rPr>
      <t xml:space="preserve"> </t>
    </r>
    <r>
      <rPr>
        <sz val="11"/>
        <color theme="1"/>
        <rFont val="Calibri"/>
        <family val="2"/>
        <charset val="186"/>
      </rPr>
      <t>66,7</t>
    </r>
    <r>
      <rPr>
        <sz val="8.25"/>
        <color theme="1"/>
        <rFont val="Calibri"/>
        <family val="2"/>
      </rPr>
      <t xml:space="preserve"> </t>
    </r>
    <r>
      <rPr>
        <sz val="11"/>
        <color theme="1"/>
        <rFont val="Calibri"/>
        <family val="2"/>
        <charset val="186"/>
      </rPr>
      <t>proc.</t>
    </r>
    <r>
      <rPr>
        <sz val="8.25"/>
        <color theme="1"/>
        <rFont val="Calibri"/>
        <family val="2"/>
      </rPr>
      <t xml:space="preserve"> </t>
    </r>
    <r>
      <rPr>
        <sz val="11"/>
        <color theme="1"/>
        <rFont val="Calibri"/>
        <family val="2"/>
        <scheme val="minor"/>
      </rPr>
      <t xml:space="preserve">namų ūkiams ir </t>
    </r>
    <r>
      <rPr>
        <sz val="11"/>
        <color theme="1"/>
        <rFont val="Calibri"/>
        <family val="2"/>
        <charset val="186"/>
      </rPr>
      <t xml:space="preserve">~33,3 proc. </t>
    </r>
    <r>
      <rPr>
        <sz val="11"/>
        <color theme="1"/>
        <rFont val="Calibri"/>
        <family val="2"/>
        <charset val="186"/>
        <scheme val="minor"/>
      </rPr>
      <t xml:space="preserve"> į</t>
    </r>
    <r>
      <rPr>
        <sz val="11"/>
        <color theme="1"/>
        <rFont val="Calibri"/>
        <family val="2"/>
        <scheme val="minor"/>
      </rPr>
      <t xml:space="preserve">monėms). Apie 5 459 564,71 Eur bus skirta tinklo įrangai, pagalbinei įrangai, projekto valdymui ir administravimui, viešinimo veikloms ir kt. Viso prie tinklo planuojama prijungti 570*25= 14 250 vartotojų. </t>
    </r>
    <r>
      <rPr>
        <sz val="11"/>
        <color theme="1"/>
        <rFont val="Calibri"/>
        <family val="2"/>
        <charset val="186"/>
        <scheme val="minor"/>
      </rPr>
      <t>RCO41 =14 250*0,667</t>
    </r>
    <r>
      <rPr>
        <sz val="11"/>
        <color theme="1"/>
        <rFont val="Calibri"/>
        <family val="2"/>
        <charset val="186"/>
      </rPr>
      <t>≈9 500, o RCO42=14 250*0,333</t>
    </r>
    <r>
      <rPr>
        <sz val="8.25"/>
        <color theme="1"/>
        <rFont val="Calibri"/>
        <family val="2"/>
        <charset val="186"/>
      </rPr>
      <t>≈</t>
    </r>
    <r>
      <rPr>
        <sz val="11"/>
        <color theme="1"/>
        <rFont val="Calibri"/>
        <family val="2"/>
        <charset val="186"/>
      </rPr>
      <t xml:space="preserve">4750. </t>
    </r>
    <r>
      <rPr>
        <sz val="11"/>
        <color theme="1"/>
        <rFont val="Calibri"/>
        <family val="2"/>
        <scheme val="minor"/>
      </rPr>
      <t>Planuojama, kad 2024 m. prisijungs 20 proc, todėl RCO41=9500*0,2=1900, o RCO42=4750*0,2=950.</t>
    </r>
  </si>
  <si>
    <r>
      <t xml:space="preserve"> It is estimated that </t>
    </r>
    <r>
      <rPr>
        <sz val="11"/>
        <rFont val="Calibri"/>
        <family val="2"/>
      </rPr>
      <t>~</t>
    </r>
    <r>
      <rPr>
        <sz val="11"/>
        <rFont val="Calibri"/>
        <family val="2"/>
        <scheme val="minor"/>
      </rPr>
      <t xml:space="preserve"> 570 km of fiber optic lines will be laid ( </t>
    </r>
    <r>
      <rPr>
        <sz val="11"/>
        <rFont val="Calibri"/>
        <family val="2"/>
      </rPr>
      <t>~</t>
    </r>
    <r>
      <rPr>
        <sz val="6.05"/>
        <rFont val="Calibri"/>
        <family val="2"/>
      </rPr>
      <t xml:space="preserve"> </t>
    </r>
    <r>
      <rPr>
        <sz val="11"/>
        <rFont val="Calibri"/>
        <family val="2"/>
        <scheme val="minor"/>
      </rPr>
      <t xml:space="preserve">8 550 000.00 Eur)   - </t>
    </r>
    <r>
      <rPr>
        <sz val="11"/>
        <rFont val="Calibri"/>
        <family val="2"/>
      </rPr>
      <t>~</t>
    </r>
    <r>
      <rPr>
        <sz val="11"/>
        <rFont val="Calibri"/>
        <family val="2"/>
        <scheme val="minor"/>
      </rPr>
      <t xml:space="preserve">  15 000  Eur for 1 km. These lines  are intended for backbone network, additionally installing access points for nearby users. It is assumed that access points will be installed for </t>
    </r>
    <r>
      <rPr>
        <sz val="11"/>
        <rFont val="Calibri"/>
        <family val="2"/>
      </rPr>
      <t>~</t>
    </r>
    <r>
      <rPr>
        <sz val="11"/>
        <rFont val="Calibri"/>
        <family val="2"/>
        <scheme val="minor"/>
      </rPr>
      <t xml:space="preserve"> 25 users (~ 66.7% dwellings and ~ 33.3% enterprises) for each kilometer of fiber optic line. </t>
    </r>
    <r>
      <rPr>
        <sz val="11"/>
        <rFont val="Calibri"/>
        <family val="2"/>
      </rPr>
      <t>~</t>
    </r>
    <r>
      <rPr>
        <sz val="11"/>
        <rFont val="Calibri"/>
        <family val="2"/>
        <scheme val="minor"/>
      </rPr>
      <t xml:space="preserve"> 5 459 564.71 Eur will be allocated for network equipment, ancillary equipment, project management and administration, publicity activities, etc. It is caculated  to connect  570 * 25 = 14 250 users to the network. The target values for 2029 is calculated RCO41 = 14 250 * 0.667=9 500 and RCO42 = 14 250 * 0.333=4 750. It is planned, that the milestone value will be 20 percent in 2024 ( RCO41 = 9500 * 0.2 = 1 900 and RCO42 = 4750 * 0.2 = 950).</t>
    </r>
  </si>
  <si>
    <t>RCO42</t>
  </si>
  <si>
    <t>Additional enterprises with broadband access of very high capacity</t>
  </si>
  <si>
    <t>enterprises</t>
  </si>
  <si>
    <t>RCR53</t>
  </si>
  <si>
    <t>Dwellings with broadband subscriptions to a very high capacity network</t>
  </si>
  <si>
    <t>\Planuojama, kad prisijungusių bus apie 80% namų ūkių, turėjusių prisijungimo taškus. Todėl RCR53=9500*0,8=7600.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</si>
  <si>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9500 * 0.8 = 7600. </t>
    </r>
  </si>
  <si>
    <t>RCR54</t>
  </si>
  <si>
    <t>Enterprises with broadband subscriptions to a very high capacity network</t>
  </si>
  <si>
    <t xml:space="preserve"> Planuojama, kad prisijungusių bus apie 80% įmonių, turėjusių prisijungimo taškus. Todėl RCR54=4750*0,8=3800.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</si>
  <si>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4750 * 0.8 = 3800. </t>
    </r>
  </si>
  <si>
    <t>Capital region</t>
  </si>
  <si>
    <t>Skaičiuojama, kad bus paklota apie 48 km šviesolaidinių linijų (ŠKL) už apie 720 000,00 Eur - apie 15 000 Eur už 1 km. ŠKL skirta magistraliniam ryšiui, papildomai joje įrengiant prisijungimo taškus netoliese esantiems vartotojams. Daroma prielaida, kad kiekvienam paklotam ŠKL kilometrui vidutiniškai bus įrengti prisijungimo taškai 25 vartotojams (~ 66,7 proc. namų ūkiams ir ~33,3 proc.  įmonėms). Apie 456 400 Eur bus skirta tinklo įrangai, pagalbinei įrangai, projekto valdymui ir administravimui, viešinimo veikloms ir kt. Viso prie tinklo planuojama prijungti 48*25= 1200 vartotojų. RCO41 =1200*0,667≈800, o RCO42=1200*0,333≈400. Planuojama, kad 2024 m. prisijungs 20 proc, todėl RCO41=800*0,2=160, o RCO42=400*0,2=80.</t>
  </si>
  <si>
    <r>
      <rPr>
        <sz val="11"/>
        <rFont val="Calibri"/>
        <family val="2"/>
        <charset val="186"/>
        <scheme val="minor"/>
      </rPr>
      <t xml:space="preserve"> It is estimated that ~ 48 km of fiber optic lines will be laid ( ~ 720 000 Eur)   - ~  15 000  Eur for 1 km. These lines  are intended for backbone network, additionally installing access points for nearby users. It is assumed that access points will be installed for ~ 25 users (~ 66.7% dwellings and ~ 33.3% enterprises) for each kilometer of fiber optic line. ~ 456 400 Eur will be allocated for network equipment, ancillary equipment, project management and administration, publicity activities, etc. It is caculated  to connect  48* 25 = 1200 users to the network. The target values for 2029 is calculated RCO41 = 1200 * 0.667=800 and RCO42 = 1200* 0.333=400. It is planned, that the milestone value will be 20 percent in 2024 ( RCO41 = 800* 0.2 = 160 and RCO42 = 1200 * 0.2 = 80)</t>
    </r>
    <r>
      <rPr>
        <sz val="11"/>
        <color rgb="FFFF0000"/>
        <rFont val="Calibri"/>
        <family val="2"/>
        <charset val="186"/>
        <scheme val="minor"/>
      </rPr>
      <t xml:space="preserve">.  </t>
    </r>
  </si>
  <si>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namų ūkių, turėjusių prisijungimo taškus. Todėl RCR53=800*0,8=640.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</si>
  <si>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800 * 0.8 = 640. It should be noted that  value ​​have been calculated preliminarily. It will be revised following the evaluation of the Pre-investment of EU Funds in Digital Connectivity Activities for the 2021-2027 funding period. The final report  should be confirm untill 2021. </t>
    </r>
  </si>
  <si>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įmonių, turėjusių prisijungimo taškus. Todėl RCR54=400*0,8=320.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</si>
  <si>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400 * 0.8 = 320. I</t>
    </r>
  </si>
  <si>
    <r>
      <t xml:space="preserve"> </t>
    </r>
    <r>
      <rPr>
        <b/>
        <sz val="11"/>
        <rFont val="Calibri"/>
        <family val="2"/>
        <scheme val="minor"/>
      </rPr>
      <t xml:space="preserve">053 </t>
    </r>
    <r>
      <rPr>
        <sz val="11"/>
        <rFont val="Calibri"/>
        <family val="2"/>
        <scheme val="minor"/>
      </rPr>
      <t xml:space="preserve"> ICT: Very High-Capacity broadband network (access/local loop with a performance equivalent to an optical fibre installation up to the distribution point at the serving location for homes and business premises) equivalent to an optical fibre installation up to the distribution point at the serving location for multi-dwelling premises) </t>
    </r>
  </si>
  <si>
    <t xml:space="preserve"> Skaičiuojama, kad bus paklota apie 350 km šviesolaidinių linijų (ŠKL) iki paslaugų paskirstymo taškų už apie 5 250 000,00 Eur - apie 15 000 Eur už 1 km.  Daroma prielaida, kad vidutiniškai iki kiekvieno paskirstymo mazgo bus klojama ~2 km ŠKL, o nuo kiekvieno paskirstymo mazgo vidutiniškai bus suteikta galimybė prisijungti ~ 40 vartotojų (~ 66,7 proc. namų ūkiams ir ~33,3 proc.  įmonėms). Apie 1 762 070,59 Eur bus skirta tinklo įrangai, pagalbinei įrangai, projekto valdymui ir administravimui, viešinimo veikloms ir kt. Viso prie tinklo planuojama prijungti 350/2*40= 7000 vartotojų. RCO41 =7000*0,667≈4700, o RCO42=7000*0,333≈2300. Planuojama, kad 2024 m. bus pasiekta 20 proc., todėl RCO41=4700*0,2=940, o RCO42=2300*0,2=460.</t>
  </si>
  <si>
    <r>
      <t xml:space="preserve"> It is estimated that </t>
    </r>
    <r>
      <rPr>
        <sz val="11"/>
        <rFont val="Calibri"/>
        <family val="2"/>
      </rPr>
      <t>~</t>
    </r>
    <r>
      <rPr>
        <sz val="11"/>
        <rFont val="Calibri"/>
        <family val="2"/>
        <scheme val="minor"/>
      </rPr>
      <t xml:space="preserve"> 350 km of fiber optic lines will be laid ( </t>
    </r>
    <r>
      <rPr>
        <sz val="11"/>
        <rFont val="Calibri"/>
        <family val="2"/>
      </rPr>
      <t>~</t>
    </r>
    <r>
      <rPr>
        <sz val="6.05"/>
        <rFont val="Calibri"/>
        <family val="2"/>
      </rPr>
      <t xml:space="preserve"> </t>
    </r>
    <r>
      <rPr>
        <sz val="11"/>
        <rFont val="Calibri"/>
        <family val="2"/>
        <scheme val="minor"/>
      </rPr>
      <t xml:space="preserve">5 250 000.00 Eur, </t>
    </r>
    <r>
      <rPr>
        <sz val="11"/>
        <rFont val="Calibri"/>
        <family val="2"/>
      </rPr>
      <t>~</t>
    </r>
    <r>
      <rPr>
        <sz val="11"/>
        <rFont val="Calibri"/>
        <family val="2"/>
        <scheme val="minor"/>
      </rPr>
      <t xml:space="preserve">  15 000  Eur for 1 km) up to the distribution point.  It is assumed that  ~ 2 km of fiber-optic lines will be laid up to each distribution point,  40 users  (~ 66.7% dwellings and ~ 33.3% enterprises) will be able to connect from each distribution point.  </t>
    </r>
    <r>
      <rPr>
        <sz val="11"/>
        <rFont val="Calibri"/>
        <family val="2"/>
      </rPr>
      <t>~</t>
    </r>
    <r>
      <rPr>
        <sz val="11"/>
        <rFont val="Calibri"/>
        <family val="2"/>
        <scheme val="minor"/>
      </rPr>
      <t xml:space="preserve">1 762 070.59  Eur will be allocated for network equipment, ancillary equipment, project management and administration, publicity activities, etc. It is caculated  to connect  350/2*40 = 7000 users. The target values for 2029 is calculated RCO41 = 7000 * 0.667=4700 and RCO42 = 7000 * 0.333=2300. It is planned, that the milestone value will be 20 percent in 2024 ( RCO41 = 4700 * 0.2 = 940 and RCO42 = 2300 * 0.2 = 460).  </t>
    </r>
  </si>
  <si>
    <t>A Planuojama, kad prisijungusių bus apie 80% namų ūkių, turėjusių prisijungimo taškus. Todėl RCR53=4700*0,8=3760.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</si>
  <si>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4700 * 0.8 = 3760. It should be noted that  value ​​have been calculated preliminarily. It will be revised following the evaluation of the Pre-investment of EU Funds in Digital Connectivity Activities for the 2021-2027 funding period. The final report  should be confirm untill 2021. </t>
    </r>
  </si>
  <si>
    <t xml:space="preserve"> Planuojama, kad prisijungusių bus apie 80% įmonių, turėjusių prisijungimo taškus. Todėl RCR54=2300*0,8=1840.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</si>
  <si>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2300 * 0.8 = 1840. It should be noted that  value ​​have been calculated preliminarily. It will be revised following the evaluation of the Pre-investment of EU Funds in Digital Connectivity Activities for the 2021-2027 funding period. The final report  should be confirm untill 2021. </t>
    </r>
  </si>
  <si>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Skaičiuojama, kad bus paklota apie 30 km šviesolaidinių linijų (ŠKL) iki paslaugų paskirstymo taškų už apie 450 000,00 Eur - apie 15 000 Eur už 1 km.  Daroma prielaida, kad vidutiniškai iki kiekvieno paskirstymo mazgo bus klojama ~2 km ŠKL, o nuo kiekvieno paskirstymo mazgo vidutiniškai bus suteikta galimybė prisijungti ~ 40 vartotojų (~ 66,7 proc. namų ūkiams ir ~33,3 proc.  įmonėms). Apie 132 400 Eur bus skirta tinklo įrangai, pagalbinei įrangai, projekto valdymui ir administravimui, viešinimo veikloms ir kt. Viso prie tinklo planuojama prijungti 30/2*40= 600 vartotojų. RCO41 =600*0,667≈400, o RCO42=600*0,333≈200. Planuojama, kad 2024 m. bus pasiekta 20 proc., todėl RCO41=400*0,2=80, o RCO42=200*0,2=40.</t>
  </si>
  <si>
    <r>
      <rPr>
        <sz val="11"/>
        <rFont val="Calibri"/>
        <family val="2"/>
        <charset val="186"/>
        <scheme val="minor"/>
      </rPr>
      <t xml:space="preserve"> It is estimated that ~ 30 km of fiber optic lines will be laid ( ~ 450 000 Eur, ~  15 000  Eur for 1 km) up to the distribution point.  It is assumed that  ~ 2 km of fiber-optic lines will be laid up to each distribution point,  40 users  (~ 66.7% dwellings and ~ 33.3% enterprises) will be able to connect from each distribution point.  ~132 400  Eur will be allocated for network equipment, ancillary equipment, project management and administration, publicity activities, etc. It is caculated  to connect  30/2*40 = 600 users. The target values for 2029 is calculated RCO41 = 600 * 0.667=400 and RCO42 = 600 * 0.333=200. It is planned, that the milestone value will be 20 percent in 2024 ( RCO41 = 400 * 0.2 = 80 and RCO42 = 200* 0.2 = 40). </t>
    </r>
    <r>
      <rPr>
        <sz val="11"/>
        <color rgb="FFFF0000"/>
        <rFont val="Calibri"/>
        <family val="2"/>
        <scheme val="minor"/>
      </rPr>
      <t xml:space="preserve"> </t>
    </r>
  </si>
  <si>
    <t xml:space="preserve"> Planuojama, kad prisijungusių bus apie 80% namų ūkių, turėjusių prisijungimo taškus. Todėl RCR53=400*0,8=320.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</si>
  <si>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400 * 0.8 = 320. </t>
    </r>
  </si>
  <si>
    <t>Apskaičiuotos reikšmės yra preliminarios. Jos bus patikslintos atlikus Išankstinio  ES fondų investicijų į skaitmeninio junglumo gerinimo veiklą 2021–2027 m. finansavimo laikotarpiu vertinimą. Galutinę ataskaitą planuojamą gauti 2020 gruodžio mėn. viduryje. Apskaičiuota įvertinus vykdytų/vykdomų projektų rodiklius. Planuojama, kad prisijungusių bus apie 80% įmonių, turėjusių prisijungimo taškus. Todėl RCR53=200*0,8=160.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</si>
  <si>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200 * 0.8 = 160.</t>
    </r>
  </si>
  <si>
    <r>
      <rPr>
        <b/>
        <sz val="11"/>
        <rFont val="Calibri"/>
        <family val="2"/>
        <scheme val="minor"/>
      </rPr>
      <t xml:space="preserve"> 054</t>
    </r>
    <r>
      <rPr>
        <sz val="11"/>
        <rFont val="Calibri"/>
        <family val="2"/>
        <scheme val="minor"/>
      </rPr>
      <t xml:space="preserve"> ICT: Very High-Capacity broadband network (access/local loop with a performance equivalent to an optical fibre installation up to the base station for advanced wireless communication) </t>
    </r>
  </si>
  <si>
    <r>
      <t>Skaičiuojama, kad bus paklota apie 400 km šviesolaidinių linijų (ŠKL) iki bazinių stočių už apie 6 000 000,00 Eur - apie 15 000 Eur už 1 km.  Daroma prielaida, kad vidutiniškai iki kiekvienos bazinės stoties bus klojama ~5 km ŠKL, o nuo kiekvienos bazinės stoties vidutiniškai bus suteikta galimybė prisijungti ~ 90 vartotojų (~ 66,7 proc. namų ūkiams ir ~33,3 proc.  įmonėms). Apie 1 013 776,46 Eur bus skirta tinklo įrangai, pagalbinei įrangai, projekto valdymui ir administravimui, viešinimo veikloms ir kt. Viso prie tinklo planuojama prijungti 400/5*90</t>
    </r>
    <r>
      <rPr>
        <sz val="11"/>
        <color theme="1"/>
        <rFont val="Calibri"/>
        <family val="2"/>
      </rPr>
      <t>≈</t>
    </r>
    <r>
      <rPr>
        <sz val="11"/>
        <color theme="1"/>
        <rFont val="Calibri"/>
        <family val="2"/>
        <scheme val="minor"/>
      </rPr>
      <t xml:space="preserve"> 7200 vartotojų. RCO41 =7200*0,667≈4800, o RCO42=7200*0,333≈2400. Planuojama, kad 2024 m. bus pasiekta 20 proc., todėl RCO41=4800*0,2=960, o RCO42=2400*0,2=480.</t>
    </r>
  </si>
  <si>
    <r>
      <rPr>
        <sz val="11"/>
        <rFont val="Calibri"/>
        <family val="2"/>
        <charset val="186"/>
        <scheme val="minor"/>
      </rPr>
      <t xml:space="preserve"> It is estimated that ~ 400 km of fiber optic lines will be laid ( ~ 6 000 000 Eur, ~  15 000  Eur for 1 km) to the base stations.  It is assumed that  ~ 5 km of fiber-optic lines will be laid to each base station, and  ~ 90 (~ 66.7% dwellings and ~ 33.3% enterprises) users will be able to connect from each base station.~ 1 013 776,46 Eur will be allocated for network equipment, ancillary equipment, project management and administration, publicity activities, etc. It is caculated  to connect  400/5*90 = 7200 users. The target values for 2029 is calculated RCO41 = 7200*0,667≈4800 and  RCO42=7200*0,333≈2400. It is planned, that the milestone value will be 20 percent in 2024 ( RCO41 =4800 * 0.2 = 960 and RCO42 = 2400 * 0.2 = 480).</t>
    </r>
    <r>
      <rPr>
        <sz val="11"/>
        <color rgb="FFFF0000"/>
        <rFont val="Calibri"/>
        <family val="2"/>
        <scheme val="minor"/>
      </rPr>
      <t xml:space="preserve">  </t>
    </r>
  </si>
  <si>
    <t xml:space="preserve"> Planuojama, kad prisijungusių bus apie 80% namų ūkių, turėjusių prisijungimo taškus. Todėl RCR53=4800*0,8=3840.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</si>
  <si>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4800 * 0.8 = 3840. </t>
    </r>
  </si>
  <si>
    <t>Planuojama, kad prisijungusių bus apie 80% įmonių, turėjusių prisijungimo taškus. Todėl RCR54=2400*0,8=1920.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</si>
  <si>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2400 * 0.8 = 1920.</t>
    </r>
    <r>
      <rPr>
        <sz val="11"/>
        <color rgb="FFFF0000"/>
        <rFont val="Calibri"/>
        <family val="2"/>
        <charset val="186"/>
        <scheme val="minor"/>
      </rPr>
      <t xml:space="preserve"> </t>
    </r>
  </si>
  <si>
    <t xml:space="preserve"> Skaičiuojama, kad bus paklota apie 32 km šviesolaidinių linijų (ŠKL) iki bazinių stočių už apie 480 000,00 Eur - apie 15 000 Eur už 1 km.  Daroma prielaida, kad vidutiniškai iki kiekvienos bazinės stoties bus klojama ~5 km ŠKL, o nuo kiekvienos bazinės stoties vidutiniškai bus suteikta galimybė prisijungti ~ 90 vartotojų (~ 66,7 proc. namų ūkiams ir ~33,3 proc.  įmonėms). Apie 101 000 Eur bus skirta tinklo įrangai, pagalbinei įrangai, projekto valdymui ir administravimui, viešinimo veikloms ir kt. Viso prie tinklo planuojama prijungti 32/5*90≈ 576 vartotojų. RCO41 =576*0,667=384, o RCO42=576*0,333=192. Planuojama, kad 2024 m. bus pasiekta 20 proc., todėl RCO41=384*0,2=77, o RCO42=192*0,2=38.</t>
  </si>
  <si>
    <r>
      <rPr>
        <sz val="11"/>
        <rFont val="Calibri"/>
        <family val="2"/>
        <charset val="186"/>
        <scheme val="minor"/>
      </rPr>
      <t xml:space="preserve"> It is estimated that ~ 32 km of fiber optic lines will be laid ( ~ 480 000 Eur, ~  15 000  Eur for 1 km) to the base stations.  It is assumed that  ~ 5 km of fiber-optic lines will be laid to each base station, and  ~ 90 (~ 66.7% dwellings and ~ 33.3% enterprises) users will be able to connect from each base station.~ 101 000 Eur will be allocated for network equipment, ancillary equipment, project management and administration, publicity activities, etc. It is caculated  to connect  32/5*90 = 576 users. The target values for 2029 is calculated RCO41 = 576*0,667≈384 and  RCO42=576*0,333≈192. It is planned, that the milestone value will be 20 percent in 2024 ( RCO41 =384* 0.2 = 77 and RCO42 = 192 * 0.2 = 38). </t>
    </r>
    <r>
      <rPr>
        <sz val="11"/>
        <color rgb="FFFF0000"/>
        <rFont val="Calibri"/>
        <family val="2"/>
        <scheme val="minor"/>
      </rPr>
      <t xml:space="preserve"> </t>
    </r>
  </si>
  <si>
    <t xml:space="preserve"> Planuojama, kad prisijungusių bus apie 80% namų ūkių, turėjusių prisijungimo taškus. Todėl RCR53=384*0,8=307.</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</si>
  <si>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384 * 0.8 = 307. </t>
    </r>
  </si>
  <si>
    <t>Planuojama, kad prisijungusių bus apie 80% įmonių, turėjusių prisijungimo taškus. Todėl RCR53=192*0,8=154.</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</si>
  <si>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192* 0.8 = 154.</t>
    </r>
  </si>
  <si>
    <t>VVT</t>
  </si>
  <si>
    <t>Viso</t>
  </si>
  <si>
    <t>bendrai</t>
  </si>
  <si>
    <t>Bendrai</t>
  </si>
  <si>
    <t>Sostonės</t>
  </si>
  <si>
    <t>VVL</t>
  </si>
  <si>
    <t>Policy objective - 3. Labiau sujungta Europa</t>
  </si>
  <si>
    <t>Ministry of transport</t>
  </si>
  <si>
    <t xml:space="preserve">allocation 2021- 2027 used for calculation of 2029 target </t>
  </si>
  <si>
    <t xml:space="preserve">Target 2029 </t>
  </si>
  <si>
    <t>Value</t>
  </si>
  <si>
    <t>RCO45</t>
  </si>
  <si>
    <t>Length of roads reconstructed or modernised - TEN-T (rekonstruotų arba modernizuotų kelių ilgis – TEN-T)</t>
  </si>
  <si>
    <t>Km</t>
  </si>
  <si>
    <t>Projects data</t>
  </si>
  <si>
    <t>RCR55</t>
  </si>
  <si>
    <t>Annual users of newly built, reconstructed, upgraded or modernised roads (naujai pastatytų, rekonstruotų, atnaujintų arba modernizuotų kelių naudotojų skaičius per metus)</t>
  </si>
  <si>
    <t>road passenger-km/ year</t>
  </si>
  <si>
    <t>Mid-West Region</t>
  </si>
  <si>
    <t>RC0129</t>
  </si>
  <si>
    <t xml:space="preserve">Infrastructure adapted to military mobility requirements (Infrastruktūra, pritaikyta prie karinio mobilumo reikalavimų)  </t>
  </si>
  <si>
    <t>Annual users of newly built, reconstructed, upgraded or modernised roads ((naujai pastatytų, rekonstruotų, atnaujintų arba modernizuotų kelių naudotojų skaičius per metus)</t>
  </si>
  <si>
    <t>2024</t>
  </si>
  <si>
    <t>RCO46</t>
  </si>
  <si>
    <t>Length of roads reconstructed or modernised - non-TEN-T (Rekonstruotų arba modernizuotų kelių ilgis – ne TEN-T)</t>
  </si>
  <si>
    <t>RCR59</t>
  </si>
  <si>
    <t xml:space="preserve">Freight transport on rail (Krovininis geležinkelių transportas)  </t>
  </si>
  <si>
    <t>340,8</t>
  </si>
  <si>
    <t>730</t>
  </si>
  <si>
    <t>MWR</t>
  </si>
  <si>
    <t>Indicator code</t>
  </si>
  <si>
    <t>Indicator name</t>
  </si>
  <si>
    <t>Indicator M.U.</t>
  </si>
  <si>
    <t>Indicator baseline value</t>
  </si>
  <si>
    <t>Indicator baseline year</t>
  </si>
  <si>
    <t>units per year</t>
  </si>
  <si>
    <t>Plėtoti dviračių ir pėsčiųjų infrastruktūrą miestuose ir priemiesčiose, kurie neįgyvendina Darnaus judumo mieste planų</t>
  </si>
  <si>
    <r>
      <rPr>
        <b/>
        <sz val="11"/>
        <color rgb="FFFF0000"/>
        <rFont val="Calibri"/>
        <family val="2"/>
        <scheme val="minor"/>
      </rPr>
      <t>075</t>
    </r>
    <r>
      <rPr>
        <sz val="11"/>
        <color rgb="FFFF0000"/>
        <rFont val="Calibri"/>
        <family val="2"/>
        <scheme val="minor"/>
      </rPr>
      <t xml:space="preserve"> Cycling infrastructure</t>
    </r>
  </si>
  <si>
    <t>RCO58</t>
  </si>
  <si>
    <t>Dedicated cycling infrastructure supported</t>
  </si>
  <si>
    <t xml:space="preserve">68             </t>
  </si>
  <si>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</si>
  <si>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</si>
  <si>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t>5 prioritetas</t>
  </si>
  <si>
    <t>RCR64</t>
  </si>
  <si>
    <t>Annual users of dedicated cycling infrastructure</t>
  </si>
  <si>
    <t>Users/Year</t>
  </si>
  <si>
    <t>2020</t>
  </si>
  <si>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</si>
  <si>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</si>
  <si>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Row ID</t>
  </si>
  <si>
    <t>Field</t>
  </si>
  <si>
    <t>Indicator metadata</t>
  </si>
  <si>
    <t>Fund relevance</t>
  </si>
  <si>
    <t>Measurement unit</t>
  </si>
  <si>
    <t>Type of indicator</t>
  </si>
  <si>
    <t>&gt;=0</t>
  </si>
  <si>
    <t>&gt;0</t>
  </si>
  <si>
    <t>Policy objective</t>
  </si>
  <si>
    <t>PO3 Connected Europe</t>
  </si>
  <si>
    <t>Specific objective</t>
  </si>
  <si>
    <t>RSO3.3 Military mobility</t>
  </si>
  <si>
    <t>Definition and concepts</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</si>
  <si>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</si>
  <si>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</si>
  <si>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</si>
  <si>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</si>
  <si>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</si>
  <si>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</si>
  <si>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</si>
  <si>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</si>
  <si>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</si>
  <si>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</si>
  <si>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units per year
(vnt. per metus)</t>
  </si>
  <si>
    <r>
      <t xml:space="preserve">091 - </t>
    </r>
    <r>
      <rPr>
        <sz val="11"/>
        <color theme="1"/>
        <rFont val="Calibri"/>
        <family val="2"/>
        <charset val="186"/>
        <scheme val="minor"/>
      </rPr>
      <t>Reconstructed or modernised motorways and roads - TEN-T core network (Rekonstruoti ar modernizuoti greitkeliai ir keliai – TEN-T pagrindinis tinklas)</t>
    </r>
  </si>
  <si>
    <r>
      <t xml:space="preserve">092 - </t>
    </r>
    <r>
      <rPr>
        <sz val="11"/>
        <color theme="1"/>
        <rFont val="Calibri"/>
        <family val="2"/>
        <charset val="186"/>
        <scheme val="minor"/>
      </rPr>
      <t>Reconstructed or modernised motorways and roads - TEN-T comprehensive network (Rekonstruoti ar modernizuoti greitkeliai ir keliai – TEN-T visuotinis tinklas)</t>
    </r>
  </si>
  <si>
    <r>
      <t xml:space="preserve">093 – </t>
    </r>
    <r>
      <rPr>
        <sz val="11"/>
        <color theme="1"/>
        <rFont val="Calibri"/>
        <family val="2"/>
        <charset val="186"/>
        <scheme val="minor"/>
      </rPr>
      <t>Kiti rekonstruoti ar modernizuoti keliai (greitkeliai, nacionaliniai, regioniniai ar vietos keliai)</t>
    </r>
  </si>
  <si>
    <r>
      <t xml:space="preserve">102 – </t>
    </r>
    <r>
      <rPr>
        <sz val="11"/>
        <color theme="1"/>
        <rFont val="Calibri"/>
        <family val="2"/>
        <charset val="186"/>
        <scheme val="minor"/>
      </rPr>
      <t>Kiti rekonstruoti ar modernizuoti geležinkeliai</t>
    </r>
  </si>
  <si>
    <r>
      <t xml:space="preserve">108 – </t>
    </r>
    <r>
      <rPr>
        <sz val="11"/>
        <color theme="1"/>
        <rFont val="Calibri"/>
        <family val="2"/>
        <charset val="186"/>
        <scheme val="minor"/>
      </rPr>
      <t>Daugiarūšis transportas (TEN-T)</t>
    </r>
  </si>
  <si>
    <t>tonnes-km/year</t>
  </si>
  <si>
    <t xml:space="preserve">units per year </t>
  </si>
  <si>
    <t>RCO129</t>
  </si>
  <si>
    <t>Specific result</t>
  </si>
  <si>
    <t>R.S.</t>
  </si>
  <si>
    <t>result</t>
  </si>
  <si>
    <t>Technical capacity of loading volumes  expressed as the number of trains operated per year (Krovos apimčių techninis pajėgumas, išreikštas aptarnaujamų traukinių skaičiumi per metus)</t>
  </si>
  <si>
    <r>
      <rPr>
        <b/>
        <sz val="11"/>
        <rFont val="Aptos"/>
        <family val="2"/>
      </rPr>
      <t xml:space="preserve">Technical capacity of loading volumes, expressed as the number of trains operated per year </t>
    </r>
    <r>
      <rPr>
        <b/>
        <sz val="11"/>
        <color rgb="FF0070C0"/>
        <rFont val="Aptos"/>
        <family val="2"/>
      </rPr>
      <t xml:space="preserve">
</t>
    </r>
    <r>
      <rPr>
        <sz val="11"/>
        <rFont val="Aptos"/>
        <family val="2"/>
      </rPr>
      <t>(Krovos apimčių techninis pajėgumas, išreikštas aptarnaujamų traukinių skaičiumi per metus)</t>
    </r>
  </si>
  <si>
    <t>The infrastructure‘s adaptation to dual-use requirements would increase technical capacity for cargo handling in Palemonas loading area. Increasing technical capacity allows to increase the volume of freight trains handling operatins done simultaneously. Thus, increase the amount of freight trains being handled over the year, make cargo operations faster and safer, ensure proper train formation. As a result, cargo volumes and handling speed increase, and the time required for train and cargo movement and servicing is optimized. This helps reduce train idle times, the need to redirect trains to more distant cargo handling points, and decreases the load on road infrastructure and related pollution (especially – air pollution).</t>
  </si>
  <si>
    <t>The technical capacity of loading volumes of the infrastructure developed during the project determines the ability to perform operations with incoming freight trains – unloading, loading, or transshipping.</t>
  </si>
  <si>
    <t>Specific objective- 14.1. Atsparios gynybos infrastruktūros, pirmenybę teikiant dvejopos paskirties infrastruktūrai, sukūrimas, taip pat karinio mobilumo ES skatinimas ir civilinės parengties gerinimas</t>
  </si>
  <si>
    <t>14.1.1 Sukurti ir pritaikyti transporto infrastruktūrą dvejopo naudojimo reikmėms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</si>
</sst>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0"/>
    <numFmt numFmtId="166" formatCode="#,##0.0000"/>
    <numFmt numFmtId="167" formatCode="#,##0.0000000"/>
    <numFmt numFmtId="168" formatCode="#,##0.00000"/>
    <numFmt numFmtId="169" formatCode="#,##0.000"/>
  </numFmts>
  <fonts count="66">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sz val="9"/>
      <color indexed="81"/>
      <name val="Tahoma"/>
      <family val="2"/>
      <charset val="186"/>
    </font>
    <font>
      <b/>
      <sz val="9"/>
      <color indexed="81"/>
      <name val="Tahoma"/>
      <family val="2"/>
      <charset val="186"/>
    </font>
    <font>
      <sz val="11"/>
      <color rgb="FF00B050"/>
      <name val="Calibri"/>
      <family val="2"/>
      <scheme val="minor"/>
    </font>
    <font>
      <sz val="11"/>
      <color rgb="FF000000"/>
      <name val="Calibri"/>
      <family val="2"/>
      <charset val="186"/>
      <scheme val="minor"/>
    </font>
    <font>
      <sz val="11"/>
      <name val="Calibri"/>
      <family val="2"/>
      <charset val="186"/>
      <scheme val="minor"/>
    </font>
    <font>
      <sz val="11"/>
      <color rgb="FF00B050"/>
      <name val="Calibri"/>
      <family val="2"/>
      <charset val="186"/>
      <scheme val="minor"/>
    </font>
    <font>
      <b/>
      <sz val="11"/>
      <color theme="1"/>
      <name val="Calibri"/>
      <family val="2"/>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rgb="FFC00000"/>
      <name val="Calibri"/>
      <family val="2"/>
      <scheme val="minor"/>
    </font>
    <font>
      <sz val="11"/>
      <color rgb="FF00B050"/>
      <name val="Calibri"/>
      <family val="2"/>
    </font>
    <font>
      <sz val="11"/>
      <color rgb="FF00B050"/>
      <name val="Times New Roman"/>
      <family val="1"/>
    </font>
    <font>
      <sz val="11"/>
      <color theme="1"/>
      <name val="Times New Roman"/>
      <family val="1"/>
      <charset val="186"/>
    </font>
    <font>
      <sz val="11"/>
      <color rgb="FF00B050"/>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b/>
      <sz val="11"/>
      <color rgb="FF00B050"/>
      <name val="Calibri"/>
      <family val="2"/>
      <charset val="186"/>
      <scheme val="minor"/>
    </font>
    <font>
      <sz val="10"/>
      <name val="Calibri"/>
      <family val="2"/>
      <charset val="186"/>
      <scheme val="minor"/>
    </font>
    <font>
      <sz val="10"/>
      <color rgb="FFFF0000"/>
      <name val="Calibri"/>
      <family val="2"/>
      <scheme val="minor"/>
    </font>
    <font>
      <sz val="11"/>
      <color theme="3" tint="-0.249977111117893"/>
      <name val="Calibri"/>
      <family val="2"/>
      <scheme val="minor"/>
    </font>
    <font>
      <sz val="8"/>
      <name val="Calibri"/>
      <family val="2"/>
      <scheme val="minor"/>
    </font>
    <font>
      <sz val="8.25"/>
      <color theme="1"/>
      <name val="Calibri"/>
      <family val="2"/>
    </font>
    <font>
      <sz val="8.25"/>
      <color theme="1"/>
      <name val="Calibri"/>
      <family val="2"/>
      <charset val="186"/>
    </font>
    <font>
      <sz val="10"/>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family val="1"/>
    </font>
    <font>
      <b/>
      <sz val="12"/>
      <color rgb="FFFF0000"/>
      <name val="Times New Roman"/>
      <family val="1"/>
      <charset val="186"/>
    </font>
    <font>
      <sz val="6.05"/>
      <name val="Calibri"/>
      <family val="2"/>
    </font>
    <font>
      <b/>
      <sz val="11"/>
      <color rgb="FFFF0000"/>
      <name val="Calibri"/>
      <family val="2"/>
      <scheme val="minor"/>
    </font>
    <font>
      <sz val="26"/>
      <color rgb="FFFF0000"/>
      <name val="Calibri"/>
      <family val="2"/>
      <scheme val="minor"/>
    </font>
    <font>
      <sz val="10"/>
      <name val="Inherit"/>
    </font>
    <font>
      <b/>
      <sz val="11"/>
      <color rgb="FF242424"/>
      <name val="Aptos"/>
      <family val="2"/>
    </font>
    <font>
      <sz val="11"/>
      <color rgb="FF242424"/>
      <name val="Aptos"/>
      <family val="2"/>
    </font>
    <font>
      <b/>
      <sz val="11"/>
      <color rgb="FF000000"/>
      <name val="Aptos"/>
      <family val="2"/>
    </font>
    <font>
      <sz val="11"/>
      <color rgb="FF000000"/>
      <name val="Calibri"/>
      <family val="2"/>
      <scheme val="minor"/>
    </font>
    <font>
      <b/>
      <sz val="11"/>
      <color rgb="FF000000"/>
      <name val="Calibri"/>
      <family val="2"/>
      <scheme val="minor"/>
    </font>
    <font>
      <b/>
      <sz val="11"/>
      <color rgb="FF000000"/>
      <name val="Calibri"/>
      <family val="2"/>
      <charset val="186"/>
      <scheme val="minor"/>
    </font>
    <font>
      <b/>
      <sz val="11"/>
      <color rgb="FF0070C0"/>
      <name val="Aptos"/>
      <family val="2"/>
    </font>
    <font>
      <b/>
      <sz val="11"/>
      <name val="Aptos"/>
      <family val="2"/>
    </font>
    <font>
      <sz val="11"/>
      <name val="Aptos"/>
      <family val="2"/>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7D4E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915">
    <xf numFmtId="0" fontId="0" fillId="0" borderId="0" xfId="0"/>
    <xf numFmtId="0" fontId="6" fillId="0" borderId="2" xfId="0" applyFont="1" applyBorder="1" applyAlignment="1">
      <alignment vertical="top" wrapText="1"/>
    </xf>
    <xf numFmtId="0" fontId="6" fillId="0" borderId="2" xfId="0" applyFont="1" applyBorder="1" applyAlignment="1">
      <alignment vertical="top"/>
    </xf>
    <xf numFmtId="0" fontId="0" fillId="0" borderId="1" xfId="0" applyBorder="1"/>
    <xf numFmtId="4" fontId="0" fillId="0" borderId="1" xfId="0" applyNumberFormat="1" applyBorder="1"/>
    <xf numFmtId="0" fontId="7" fillId="0" borderId="14" xfId="0" applyFont="1" applyBorder="1" applyAlignment="1">
      <alignment vertical="top" wrapText="1"/>
    </xf>
    <xf numFmtId="0" fontId="6" fillId="0" borderId="14" xfId="0" applyFont="1" applyBorder="1" applyAlignment="1">
      <alignment vertical="top" wrapText="1"/>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0" xfId="0" applyFont="1"/>
    <xf numFmtId="49" fontId="0" fillId="0" borderId="0" xfId="0" applyNumberFormat="1"/>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horizontal="center" vertical="center"/>
    </xf>
    <xf numFmtId="0" fontId="6" fillId="0" borderId="2" xfId="0" applyFont="1" applyBorder="1" applyAlignment="1">
      <alignment horizontal="center" vertical="center" wrapText="1"/>
    </xf>
    <xf numFmtId="0" fontId="0" fillId="0" borderId="2" xfId="0" applyBorder="1" applyAlignment="1">
      <alignment horizontal="center" vertical="center"/>
    </xf>
    <xf numFmtId="0" fontId="9" fillId="0" borderId="2" xfId="0" applyFont="1" applyBorder="1" applyAlignment="1">
      <alignment horizontal="center" vertical="center" wrapText="1"/>
    </xf>
    <xf numFmtId="0" fontId="9" fillId="0" borderId="13" xfId="0" applyFont="1" applyBorder="1" applyAlignment="1">
      <alignment horizontal="center" vertical="center"/>
    </xf>
    <xf numFmtId="0" fontId="0" fillId="0" borderId="13" xfId="0" applyBorder="1" applyAlignment="1">
      <alignment horizontal="center" vertical="center"/>
    </xf>
    <xf numFmtId="4" fontId="0" fillId="0" borderId="13" xfId="0" applyNumberFormat="1" applyBorder="1" applyAlignment="1">
      <alignment horizontal="center" vertical="center" wrapText="1"/>
    </xf>
    <xf numFmtId="0" fontId="0" fillId="0" borderId="9" xfId="0"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164" fontId="6" fillId="0" borderId="2"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9" fillId="0" borderId="7"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13" fillId="0" borderId="2" xfId="0" applyFont="1" applyBorder="1" applyAlignment="1">
      <alignment horizontal="center" vertical="center" wrapText="1"/>
    </xf>
    <xf numFmtId="0" fontId="21" fillId="0" borderId="7" xfId="0" applyFont="1" applyBorder="1" applyAlignment="1">
      <alignment horizontal="center" vertical="center"/>
    </xf>
    <xf numFmtId="0" fontId="22" fillId="0" borderId="1" xfId="0" applyFont="1" applyBorder="1" applyAlignment="1">
      <alignment horizontal="center" vertical="center"/>
    </xf>
    <xf numFmtId="0" fontId="17"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7" xfId="0" applyFont="1" applyBorder="1" applyAlignment="1">
      <alignment horizontal="center" vertical="center"/>
    </xf>
    <xf numFmtId="0" fontId="17" fillId="0" borderId="2" xfId="0" applyFont="1" applyBorder="1" applyAlignment="1">
      <alignment horizontal="center" vertical="center"/>
    </xf>
    <xf numFmtId="0" fontId="17" fillId="0" borderId="17" xfId="0" applyFont="1" applyBorder="1"/>
    <xf numFmtId="0" fontId="12" fillId="0" borderId="1" xfId="0" applyFont="1" applyBorder="1" applyAlignment="1">
      <alignment horizontal="center" vertical="center"/>
    </xf>
    <xf numFmtId="0" fontId="24" fillId="0" borderId="1" xfId="0" applyFont="1" applyBorder="1" applyAlignment="1">
      <alignment horizontal="center" vertical="center" wrapText="1"/>
    </xf>
    <xf numFmtId="0" fontId="12" fillId="0" borderId="12" xfId="0" applyFont="1" applyBorder="1" applyAlignment="1">
      <alignment horizontal="center" vertical="center"/>
    </xf>
    <xf numFmtId="0" fontId="15" fillId="0" borderId="12" xfId="0" applyFont="1" applyBorder="1" applyAlignment="1">
      <alignment horizontal="center" vertical="center" wrapText="1"/>
    </xf>
    <xf numFmtId="0" fontId="25" fillId="0" borderId="12" xfId="0" applyFont="1" applyBorder="1" applyAlignment="1">
      <alignment horizontal="center" vertical="center" wrapText="1"/>
    </xf>
    <xf numFmtId="0" fontId="12" fillId="0" borderId="18" xfId="0" applyFont="1" applyBorder="1"/>
    <xf numFmtId="0" fontId="19" fillId="0" borderId="0" xfId="0" applyFont="1" applyAlignment="1">
      <alignment horizontal="center" vertical="center" wrapText="1"/>
    </xf>
    <xf numFmtId="0" fontId="19" fillId="0" borderId="0" xfId="0" applyFont="1" applyAlignment="1">
      <alignment wrapText="1"/>
    </xf>
    <xf numFmtId="0" fontId="26" fillId="3"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16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wrapText="1"/>
    </xf>
    <xf numFmtId="0" fontId="0" fillId="0" borderId="0" xfId="0" applyAlignment="1">
      <alignment horizontal="center" vertical="center"/>
    </xf>
    <xf numFmtId="164" fontId="0" fillId="0" borderId="0" xfId="0" applyNumberFormat="1"/>
    <xf numFmtId="0" fontId="0" fillId="0" borderId="16" xfId="0" applyBorder="1"/>
    <xf numFmtId="0" fontId="0" fillId="0" borderId="17" xfId="0" applyBorder="1"/>
    <xf numFmtId="4" fontId="0" fillId="0" borderId="2" xfId="0" applyNumberFormat="1" applyBorder="1" applyAlignment="1">
      <alignment horizontal="center" vertical="center" wrapText="1"/>
    </xf>
    <xf numFmtId="0" fontId="0" fillId="0" borderId="7" xfId="0" applyBorder="1" applyAlignment="1">
      <alignment horizontal="center" vertical="center"/>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2" xfId="0" applyBorder="1" applyAlignment="1">
      <alignment horizontal="center" vertical="center"/>
    </xf>
    <xf numFmtId="0" fontId="0" fillId="0" borderId="18" xfId="0" applyBorder="1"/>
    <xf numFmtId="0" fontId="0" fillId="0" borderId="32" xfId="0" applyBorder="1"/>
    <xf numFmtId="4" fontId="0" fillId="0" borderId="12" xfId="0" applyNumberFormat="1" applyBorder="1" applyAlignment="1">
      <alignment horizontal="center" vertical="center" wrapText="1"/>
    </xf>
    <xf numFmtId="0" fontId="0" fillId="0" borderId="20" xfId="0" applyBorder="1"/>
    <xf numFmtId="0" fontId="0" fillId="3" borderId="0" xfId="0" applyFill="1" applyAlignment="1">
      <alignment horizontal="center" vertical="center" wrapText="1"/>
    </xf>
    <xf numFmtId="0" fontId="0" fillId="0" borderId="0" xfId="0" applyAlignment="1">
      <alignment horizontal="center" vertical="top" wrapText="1"/>
    </xf>
    <xf numFmtId="4" fontId="0" fillId="0" borderId="0" xfId="0" applyNumberFormat="1" applyAlignment="1">
      <alignment horizontal="center" vertical="center"/>
    </xf>
    <xf numFmtId="0" fontId="0" fillId="0" borderId="10" xfId="0" applyBorder="1"/>
    <xf numFmtId="0" fontId="0" fillId="0" borderId="0" xfId="0" applyAlignment="1">
      <alignment horizontal="left" vertic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wrapText="1"/>
    </xf>
    <xf numFmtId="0" fontId="8" fillId="0" borderId="7" xfId="0" applyFont="1" applyBorder="1" applyAlignment="1">
      <alignment horizontal="center" vertical="center"/>
    </xf>
    <xf numFmtId="0" fontId="8" fillId="0" borderId="13" xfId="0" applyFont="1" applyBorder="1" applyAlignment="1">
      <alignment horizontal="center" vertical="center" wrapText="1"/>
    </xf>
    <xf numFmtId="0" fontId="21" fillId="0" borderId="1" xfId="0" applyFont="1" applyBorder="1" applyAlignment="1">
      <alignment horizontal="center" vertical="center"/>
    </xf>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0" fillId="0" borderId="6" xfId="0"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17" fillId="0" borderId="6" xfId="0" applyFont="1" applyBorder="1" applyAlignment="1">
      <alignment horizontal="center" vertical="center"/>
    </xf>
    <xf numFmtId="0" fontId="22" fillId="0" borderId="7" xfId="0" applyFont="1" applyBorder="1" applyAlignment="1">
      <alignment horizontal="center" vertical="center" wrapText="1"/>
    </xf>
    <xf numFmtId="0" fontId="12" fillId="0" borderId="17" xfId="0" applyFont="1" applyBorder="1"/>
    <xf numFmtId="0" fontId="17" fillId="0" borderId="20" xfId="0" applyFont="1" applyBorder="1"/>
    <xf numFmtId="0" fontId="12" fillId="0" borderId="6" xfId="0" applyFont="1" applyBorder="1" applyAlignment="1">
      <alignment horizontal="center" vertical="center"/>
    </xf>
    <xf numFmtId="0" fontId="15"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16" xfId="0" applyFont="1" applyBorder="1"/>
    <xf numFmtId="0" fontId="12" fillId="0" borderId="11" xfId="0" applyFont="1"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17" fillId="0" borderId="4" xfId="0" applyFont="1" applyBorder="1" applyAlignment="1">
      <alignment horizontal="center" vertical="center"/>
    </xf>
    <xf numFmtId="0" fontId="17" fillId="0" borderId="34" xfId="0" applyFont="1" applyBorder="1" applyAlignment="1">
      <alignment horizontal="center" vertical="center"/>
    </xf>
    <xf numFmtId="0" fontId="17" fillId="0" borderId="29" xfId="0" applyFont="1" applyBorder="1" applyAlignment="1">
      <alignment horizontal="center" vertical="center"/>
    </xf>
    <xf numFmtId="0" fontId="0" fillId="0" borderId="1" xfId="0" applyBorder="1" applyAlignment="1">
      <alignment horizontal="center" vertical="top" wrapText="1"/>
    </xf>
    <xf numFmtId="0" fontId="14" fillId="0" borderId="0" xfId="0" applyFont="1"/>
    <xf numFmtId="0" fontId="14" fillId="0" borderId="0" xfId="0" applyFont="1" applyAlignment="1">
      <alignment horizontal="center" vertical="center"/>
    </xf>
    <xf numFmtId="3" fontId="17" fillId="0" borderId="1" xfId="0" applyNumberFormat="1"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4" fontId="0" fillId="0" borderId="0" xfId="0" applyNumberFormat="1"/>
    <xf numFmtId="49" fontId="29" fillId="0" borderId="0" xfId="0" applyNumberFormat="1" applyFont="1" applyAlignment="1">
      <alignment wrapText="1"/>
    </xf>
    <xf numFmtId="49" fontId="29" fillId="0" borderId="0" xfId="0" applyNumberFormat="1" applyFont="1"/>
    <xf numFmtId="0" fontId="29" fillId="0" borderId="0" xfId="0" applyFont="1"/>
    <xf numFmtId="49" fontId="0" fillId="0" borderId="1"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7" xfId="0" applyNumberFormat="1" applyBorder="1" applyAlignment="1">
      <alignment horizontal="center" vertical="center"/>
    </xf>
    <xf numFmtId="49" fontId="17" fillId="0" borderId="7" xfId="0" applyNumberFormat="1" applyFont="1" applyBorder="1" applyAlignment="1">
      <alignment horizontal="center" vertical="center" wrapText="1"/>
    </xf>
    <xf numFmtId="4" fontId="13" fillId="0" borderId="0" xfId="0" applyNumberFormat="1" applyFont="1" applyAlignment="1">
      <alignment horizontal="right" vertical="center" readingOrder="1"/>
    </xf>
    <xf numFmtId="4" fontId="6" fillId="0" borderId="1" xfId="0" applyNumberFormat="1" applyFont="1" applyBorder="1"/>
    <xf numFmtId="4" fontId="14" fillId="0" borderId="0" xfId="0" applyNumberFormat="1" applyFont="1"/>
    <xf numFmtId="4" fontId="13" fillId="0" borderId="0" xfId="0" applyNumberFormat="1" applyFont="1" applyAlignment="1">
      <alignment horizontal="right" vertical="center" wrapText="1" readingOrder="1"/>
    </xf>
    <xf numFmtId="0" fontId="32" fillId="0" borderId="0" xfId="0" applyFont="1"/>
    <xf numFmtId="0" fontId="32" fillId="0" borderId="0" xfId="0" applyFont="1" applyAlignment="1">
      <alignment vertical="center"/>
    </xf>
    <xf numFmtId="0" fontId="13" fillId="0" borderId="1" xfId="0" applyFont="1" applyBorder="1" applyAlignment="1">
      <alignment horizontal="center" vertical="center" wrapText="1"/>
    </xf>
    <xf numFmtId="0" fontId="0" fillId="0" borderId="0" xfId="0" applyAlignment="1">
      <alignment horizontal="center" vertical="center" wrapText="1"/>
    </xf>
    <xf numFmtId="3" fontId="0" fillId="0" borderId="1" xfId="0" applyNumberFormat="1" applyBorder="1" applyAlignment="1">
      <alignment horizontal="center" vertical="center"/>
    </xf>
    <xf numFmtId="4" fontId="33" fillId="0" borderId="0" xfId="0" applyNumberFormat="1" applyFont="1"/>
    <xf numFmtId="0" fontId="0" fillId="0" borderId="34" xfId="0" applyBorder="1" applyAlignment="1">
      <alignment horizontal="center" vertical="center" wrapText="1"/>
    </xf>
    <xf numFmtId="49" fontId="9" fillId="0" borderId="12"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0" xfId="0" applyNumberFormat="1" applyAlignment="1">
      <alignment wrapText="1"/>
    </xf>
    <xf numFmtId="0" fontId="0" fillId="0" borderId="38" xfId="0" applyBorder="1" applyAlignment="1">
      <alignment horizontal="center" vertical="center" wrapText="1"/>
    </xf>
    <xf numFmtId="165" fontId="0" fillId="0" borderId="1" xfId="0" applyNumberFormat="1" applyBorder="1" applyAlignment="1">
      <alignment horizontal="center" vertical="center" wrapText="1"/>
    </xf>
    <xf numFmtId="49" fontId="0" fillId="0" borderId="12" xfId="0" applyNumberFormat="1" applyBorder="1" applyAlignment="1">
      <alignment horizontal="center" vertical="center"/>
    </xf>
    <xf numFmtId="49" fontId="0" fillId="0" borderId="16" xfId="0" applyNumberFormat="1" applyBorder="1" applyAlignment="1">
      <alignment vertical="center" wrapText="1"/>
    </xf>
    <xf numFmtId="167" fontId="0" fillId="0" borderId="0" xfId="0" applyNumberFormat="1" applyAlignment="1">
      <alignment wrapText="1"/>
    </xf>
    <xf numFmtId="49" fontId="6" fillId="0" borderId="12" xfId="0" applyNumberFormat="1" applyFont="1" applyBorder="1" applyAlignment="1">
      <alignment horizontal="center" vertical="center" wrapText="1"/>
    </xf>
    <xf numFmtId="4" fontId="6"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13" xfId="0" applyNumberFormat="1" applyBorder="1" applyAlignment="1">
      <alignment horizontal="center" vertical="center" wrapText="1"/>
    </xf>
    <xf numFmtId="168" fontId="0" fillId="0" borderId="13" xfId="0" applyNumberFormat="1" applyBorder="1" applyAlignment="1">
      <alignment horizontal="center" vertical="center" wrapText="1"/>
    </xf>
    <xf numFmtId="49" fontId="0" fillId="0" borderId="20" xfId="0" applyNumberFormat="1" applyBorder="1" applyAlignment="1">
      <alignment wrapText="1"/>
    </xf>
    <xf numFmtId="4" fontId="0" fillId="9" borderId="2" xfId="0" applyNumberFormat="1" applyFill="1" applyBorder="1" applyAlignment="1">
      <alignment horizontal="center" vertical="center"/>
    </xf>
    <xf numFmtId="49" fontId="0" fillId="9" borderId="2" xfId="0" applyNumberFormat="1" applyFill="1" applyBorder="1" applyAlignment="1">
      <alignment horizontal="center" vertical="center" wrapText="1"/>
    </xf>
    <xf numFmtId="0" fontId="0" fillId="9" borderId="10" xfId="0"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12" xfId="0" applyNumberFormat="1" applyFill="1" applyBorder="1" applyAlignment="1">
      <alignment horizontal="center" vertical="center"/>
    </xf>
    <xf numFmtId="49" fontId="0" fillId="9" borderId="12" xfId="0" applyNumberFormat="1" applyFill="1" applyBorder="1" applyAlignment="1">
      <alignment horizontal="center" vertical="center" wrapText="1"/>
    </xf>
    <xf numFmtId="4" fontId="0" fillId="9" borderId="12" xfId="0" applyNumberFormat="1" applyFill="1" applyBorder="1" applyAlignment="1">
      <alignment horizontal="center" vertical="center" wrapText="1"/>
    </xf>
    <xf numFmtId="49" fontId="0" fillId="0" borderId="18" xfId="0" applyNumberFormat="1" applyBorder="1" applyAlignment="1">
      <alignment wrapText="1"/>
    </xf>
    <xf numFmtId="3" fontId="17" fillId="0" borderId="7" xfId="0" applyNumberFormat="1" applyFont="1" applyBorder="1" applyAlignment="1">
      <alignment horizontal="center" vertical="center" wrapText="1"/>
    </xf>
    <xf numFmtId="49" fontId="0" fillId="0" borderId="22" xfId="0" applyNumberFormat="1" applyBorder="1" applyAlignment="1">
      <alignment horizontal="center" vertical="center"/>
    </xf>
    <xf numFmtId="49" fontId="0" fillId="0" borderId="38" xfId="0" applyNumberFormat="1" applyBorder="1" applyAlignment="1">
      <alignment horizontal="center" vertical="center"/>
    </xf>
    <xf numFmtId="49" fontId="0" fillId="0" borderId="17" xfId="0" applyNumberFormat="1" applyBorder="1" applyAlignment="1">
      <alignment horizontal="left" vertical="center" wrapText="1"/>
    </xf>
    <xf numFmtId="4" fontId="0" fillId="3" borderId="0" xfId="0" applyNumberFormat="1" applyFill="1" applyAlignment="1">
      <alignment horizontal="center" vertical="center" wrapText="1"/>
    </xf>
    <xf numFmtId="49" fontId="29" fillId="0" borderId="0" xfId="0" applyNumberFormat="1" applyFont="1" applyAlignment="1">
      <alignment horizontal="center" vertical="center"/>
    </xf>
    <xf numFmtId="4" fontId="9" fillId="0" borderId="0" xfId="0" applyNumberFormat="1" applyFont="1" applyAlignment="1">
      <alignment horizontal="center" vertical="center" wrapText="1"/>
    </xf>
    <xf numFmtId="4" fontId="9" fillId="0" borderId="0" xfId="0" applyNumberFormat="1" applyFont="1" applyAlignment="1">
      <alignment horizontal="center" vertical="center"/>
    </xf>
    <xf numFmtId="4" fontId="35" fillId="0" borderId="0" xfId="0" applyNumberFormat="1" applyFont="1" applyAlignment="1">
      <alignment horizontal="center" vertical="center"/>
    </xf>
    <xf numFmtId="49" fontId="29" fillId="0" borderId="0" xfId="0" applyNumberFormat="1" applyFont="1" applyAlignment="1">
      <alignment horizontal="center" vertical="center" wrapText="1"/>
    </xf>
    <xf numFmtId="49" fontId="30" fillId="0" borderId="0" xfId="0" applyNumberFormat="1" applyFont="1" applyAlignment="1">
      <alignment horizontal="center" vertical="center" wrapText="1"/>
    </xf>
    <xf numFmtId="3" fontId="29" fillId="0" borderId="0" xfId="0" applyNumberFormat="1" applyFont="1" applyAlignment="1">
      <alignment horizontal="center" vertical="center" wrapText="1"/>
    </xf>
    <xf numFmtId="49" fontId="34" fillId="0" borderId="0" xfId="0" applyNumberFormat="1" applyFont="1" applyAlignment="1">
      <alignment horizontal="center" vertical="center" wrapText="1"/>
    </xf>
    <xf numFmtId="49" fontId="0" fillId="0" borderId="8" xfId="0" applyNumberFormat="1" applyBorder="1" applyAlignment="1">
      <alignment horizontal="center" vertical="center"/>
    </xf>
    <xf numFmtId="49" fontId="0" fillId="0" borderId="13" xfId="0" applyNumberFormat="1" applyBorder="1" applyAlignment="1">
      <alignment horizontal="center" vertical="center"/>
    </xf>
    <xf numFmtId="4" fontId="0" fillId="0" borderId="1" xfId="0" applyNumberFormat="1" applyBorder="1" applyAlignment="1">
      <alignment horizontal="center" vertical="center"/>
    </xf>
    <xf numFmtId="49" fontId="17"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4" fontId="29" fillId="0" borderId="0" xfId="0" applyNumberFormat="1" applyFont="1" applyAlignment="1">
      <alignment wrapText="1"/>
    </xf>
    <xf numFmtId="4" fontId="0" fillId="0" borderId="0" xfId="0" applyNumberFormat="1" applyAlignment="1">
      <alignment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164" fontId="0" fillId="0" borderId="1" xfId="0" applyNumberFormat="1" applyBorder="1"/>
    <xf numFmtId="0" fontId="0" fillId="0" borderId="1" xfId="0" applyBorder="1" applyAlignment="1">
      <alignment vertical="center"/>
    </xf>
    <xf numFmtId="3" fontId="0" fillId="0" borderId="1" xfId="0" applyNumberFormat="1" applyBorder="1" applyAlignment="1">
      <alignment horizontal="center" vertical="center" wrapText="1"/>
    </xf>
    <xf numFmtId="4" fontId="6" fillId="0" borderId="2" xfId="0" applyNumberFormat="1" applyFont="1" applyBorder="1" applyAlignment="1">
      <alignment horizontal="center" vertical="center" wrapText="1"/>
    </xf>
    <xf numFmtId="0" fontId="19" fillId="0" borderId="13" xfId="0" applyFont="1" applyBorder="1" applyAlignment="1">
      <alignment horizontal="center" vertical="center" wrapText="1"/>
    </xf>
    <xf numFmtId="0" fontId="0" fillId="0" borderId="28" xfId="0" applyBorder="1" applyAlignment="1">
      <alignment horizontal="center" vertical="center"/>
    </xf>
    <xf numFmtId="0" fontId="21" fillId="0" borderId="13" xfId="0" applyFont="1" applyBorder="1" applyAlignment="1">
      <alignment horizontal="center" vertical="center"/>
    </xf>
    <xf numFmtId="4" fontId="26" fillId="0" borderId="1" xfId="0" applyNumberFormat="1" applyFont="1" applyBorder="1" applyAlignment="1">
      <alignment horizontal="center" vertical="center" wrapText="1"/>
    </xf>
    <xf numFmtId="4" fontId="0" fillId="0" borderId="1" xfId="0" applyNumberFormat="1" applyBorder="1" applyAlignment="1">
      <alignment vertical="top" wrapText="1"/>
    </xf>
    <xf numFmtId="4" fontId="0" fillId="0" borderId="1" xfId="0" applyNumberFormat="1" applyBorder="1" applyAlignment="1">
      <alignment vertical="center"/>
    </xf>
    <xf numFmtId="4" fontId="0" fillId="0" borderId="1" xfId="0" applyNumberFormat="1" applyBorder="1" applyAlignment="1">
      <alignment wrapText="1"/>
    </xf>
    <xf numFmtId="168" fontId="0" fillId="0" borderId="1" xfId="0" applyNumberFormat="1" applyBorder="1" applyAlignment="1">
      <alignment horizontal="center" vertical="center"/>
    </xf>
    <xf numFmtId="2" fontId="29" fillId="0" borderId="0" xfId="0" applyNumberFormat="1" applyFont="1" applyAlignment="1">
      <alignment wrapText="1"/>
    </xf>
    <xf numFmtId="49" fontId="17" fillId="0" borderId="5"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49" fontId="17" fillId="4" borderId="1" xfId="0" applyNumberFormat="1" applyFont="1" applyFill="1" applyBorder="1" applyAlignment="1">
      <alignment horizontal="center" vertical="center" wrapText="1"/>
    </xf>
    <xf numFmtId="49" fontId="17" fillId="8" borderId="10" xfId="0" applyNumberFormat="1" applyFont="1" applyFill="1" applyBorder="1" applyAlignment="1">
      <alignment horizontal="center" vertical="center" wrapText="1"/>
    </xf>
    <xf numFmtId="49" fontId="17" fillId="8" borderId="13" xfId="0" applyNumberFormat="1" applyFont="1" applyFill="1" applyBorder="1" applyAlignment="1">
      <alignment horizontal="center" vertical="center" wrapText="1"/>
    </xf>
    <xf numFmtId="49" fontId="17" fillId="4" borderId="10" xfId="0" applyNumberFormat="1" applyFont="1" applyFill="1" applyBorder="1" applyAlignment="1">
      <alignment horizontal="center" vertical="center" wrapText="1"/>
    </xf>
    <xf numFmtId="49" fontId="0" fillId="4" borderId="7"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3" fontId="0" fillId="0" borderId="0" xfId="0" applyNumberFormat="1"/>
    <xf numFmtId="49" fontId="0" fillId="8" borderId="1" xfId="0" applyNumberFormat="1" applyFill="1" applyBorder="1" applyAlignment="1">
      <alignment horizontal="center" vertical="center"/>
    </xf>
    <xf numFmtId="49"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wrapText="1"/>
    </xf>
    <xf numFmtId="49" fontId="0" fillId="8" borderId="12" xfId="0" applyNumberFormat="1" applyFill="1" applyBorder="1" applyAlignment="1">
      <alignment horizontal="center" vertical="center" wrapText="1"/>
    </xf>
    <xf numFmtId="49" fontId="17" fillId="8" borderId="1" xfId="0" applyNumberFormat="1" applyFont="1" applyFill="1" applyBorder="1" applyAlignment="1">
      <alignment horizontal="center" vertical="center" wrapText="1"/>
    </xf>
    <xf numFmtId="3"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xf>
    <xf numFmtId="49" fontId="0" fillId="8" borderId="17" xfId="0" applyNumberFormat="1" applyFill="1" applyBorder="1" applyAlignment="1">
      <alignment vertical="center" wrapText="1"/>
    </xf>
    <xf numFmtId="49" fontId="0" fillId="8" borderId="20" xfId="0" applyNumberFormat="1" applyFill="1" applyBorder="1" applyAlignment="1">
      <alignment vertical="center" wrapText="1"/>
    </xf>
    <xf numFmtId="49" fontId="0" fillId="8" borderId="10" xfId="0" applyNumberFormat="1" applyFill="1" applyBorder="1" applyAlignment="1">
      <alignment horizontal="center" vertical="center"/>
    </xf>
    <xf numFmtId="49" fontId="0" fillId="4" borderId="1" xfId="0" applyNumberFormat="1" applyFill="1" applyBorder="1" applyAlignment="1">
      <alignment horizontal="center" vertical="center"/>
    </xf>
    <xf numFmtId="49" fontId="0" fillId="4" borderId="13"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49" fontId="0" fillId="4" borderId="17" xfId="0" applyNumberFormat="1" applyFill="1" applyBorder="1" applyAlignment="1">
      <alignment vertical="center" wrapText="1"/>
    </xf>
    <xf numFmtId="49" fontId="0" fillId="4" borderId="8" xfId="0" applyNumberFormat="1" applyFill="1" applyBorder="1" applyAlignment="1">
      <alignment horizontal="center" vertical="center"/>
    </xf>
    <xf numFmtId="49" fontId="0" fillId="4" borderId="13" xfId="0" applyNumberFormat="1" applyFill="1" applyBorder="1" applyAlignment="1">
      <alignment horizontal="center" vertical="center"/>
    </xf>
    <xf numFmtId="49" fontId="17" fillId="4" borderId="7" xfId="0" applyNumberFormat="1" applyFont="1" applyFill="1" applyBorder="1" applyAlignment="1">
      <alignment horizontal="center" vertical="center" wrapText="1"/>
    </xf>
    <xf numFmtId="3" fontId="0" fillId="4" borderId="7" xfId="0" applyNumberFormat="1" applyFill="1" applyBorder="1" applyAlignment="1">
      <alignment horizontal="center" vertical="center" wrapText="1"/>
    </xf>
    <xf numFmtId="49" fontId="17" fillId="4" borderId="13" xfId="0" applyNumberFormat="1" applyFont="1" applyFill="1" applyBorder="1" applyAlignment="1">
      <alignment horizontal="center" vertical="center" wrapText="1"/>
    </xf>
    <xf numFmtId="3" fontId="0" fillId="4" borderId="13" xfId="0" applyNumberFormat="1" applyFill="1" applyBorder="1" applyAlignment="1">
      <alignment horizontal="center" vertical="center" wrapText="1"/>
    </xf>
    <xf numFmtId="3" fontId="17" fillId="4" borderId="13" xfId="0" applyNumberFormat="1" applyFont="1" applyFill="1" applyBorder="1" applyAlignment="1">
      <alignment horizontal="center" vertical="center" wrapText="1"/>
    </xf>
    <xf numFmtId="49" fontId="0" fillId="4" borderId="10" xfId="0" applyNumberFormat="1" applyFill="1" applyBorder="1" applyAlignment="1">
      <alignment horizontal="center" vertical="center" wrapText="1"/>
    </xf>
    <xf numFmtId="3" fontId="17" fillId="4" borderId="10"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49" fontId="0" fillId="8" borderId="12" xfId="0" applyNumberFormat="1" applyFill="1" applyBorder="1" applyAlignment="1">
      <alignment horizontal="center" vertical="center"/>
    </xf>
    <xf numFmtId="49" fontId="17" fillId="8" borderId="12" xfId="0" applyNumberFormat="1" applyFont="1" applyFill="1" applyBorder="1" applyAlignment="1">
      <alignment horizontal="center" vertical="center" wrapText="1"/>
    </xf>
    <xf numFmtId="3" fontId="0" fillId="8" borderId="12" xfId="0" applyNumberFormat="1" applyFill="1" applyBorder="1" applyAlignment="1">
      <alignment horizontal="center" vertical="center" wrapText="1"/>
    </xf>
    <xf numFmtId="4" fontId="40" fillId="0" borderId="0" xfId="0" applyNumberFormat="1" applyFont="1" applyAlignment="1">
      <alignment horizontal="center" vertical="center" wrapText="1"/>
    </xf>
    <xf numFmtId="49" fontId="0" fillId="8" borderId="18" xfId="0" applyNumberFormat="1" applyFill="1" applyBorder="1" applyAlignment="1">
      <alignment vertical="center" wrapText="1"/>
    </xf>
    <xf numFmtId="3" fontId="0" fillId="0" borderId="2" xfId="0" applyNumberFormat="1" applyBorder="1" applyAlignment="1">
      <alignment horizontal="center" vertical="center" wrapText="1"/>
    </xf>
    <xf numFmtId="49" fontId="14" fillId="0" borderId="20" xfId="0" applyNumberFormat="1" applyFont="1" applyBorder="1" applyAlignment="1">
      <alignment vertical="center" wrapText="1"/>
    </xf>
    <xf numFmtId="168" fontId="0" fillId="0" borderId="7" xfId="0" applyNumberFormat="1" applyBorder="1" applyAlignment="1">
      <alignment horizontal="center" vertical="center" wrapText="1"/>
    </xf>
    <xf numFmtId="0" fontId="13" fillId="0" borderId="7" xfId="0" applyFont="1" applyBorder="1" applyAlignment="1">
      <alignment horizontal="center" vertical="center" wrapText="1"/>
    </xf>
    <xf numFmtId="166" fontId="0" fillId="0" borderId="12" xfId="0" applyNumberFormat="1" applyBorder="1" applyAlignment="1">
      <alignment horizontal="center" vertical="center" wrapText="1"/>
    </xf>
    <xf numFmtId="169" fontId="0" fillId="0" borderId="0" xfId="0" applyNumberFormat="1" applyAlignment="1">
      <alignment wrapText="1"/>
    </xf>
    <xf numFmtId="168" fontId="0" fillId="0" borderId="1" xfId="0" applyNumberFormat="1" applyBorder="1" applyAlignment="1">
      <alignment horizontal="center" vertical="center" wrapText="1"/>
    </xf>
    <xf numFmtId="4" fontId="34" fillId="0" borderId="0" xfId="0" applyNumberFormat="1" applyFont="1" applyAlignment="1">
      <alignment horizontal="center" vertical="center" wrapText="1"/>
    </xf>
    <xf numFmtId="3" fontId="9" fillId="0" borderId="1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41" fillId="0" borderId="0" xfId="0" applyFont="1" applyAlignment="1">
      <alignment wrapText="1"/>
    </xf>
    <xf numFmtId="0" fontId="42" fillId="0" borderId="0" xfId="0" applyFont="1" applyAlignment="1">
      <alignment horizontal="center" vertical="center"/>
    </xf>
    <xf numFmtId="49" fontId="42" fillId="0" borderId="0" xfId="0" applyNumberFormat="1" applyFont="1" applyAlignment="1">
      <alignment horizontal="center" vertical="center"/>
    </xf>
    <xf numFmtId="0" fontId="42" fillId="0" borderId="0" xfId="0" applyFont="1" applyAlignment="1">
      <alignment horizontal="center" vertical="center" wrapText="1"/>
    </xf>
    <xf numFmtId="0" fontId="42" fillId="0" borderId="1" xfId="0" applyFont="1" applyBorder="1" applyAlignment="1">
      <alignment horizontal="center" vertical="center"/>
    </xf>
    <xf numFmtId="49" fontId="42"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0" fontId="43" fillId="0" borderId="0" xfId="0" applyFont="1" applyAlignment="1">
      <alignment horizontal="center" vertical="center" wrapText="1"/>
    </xf>
    <xf numFmtId="0" fontId="43" fillId="0" borderId="1" xfId="0" applyFont="1" applyBorder="1" applyAlignment="1">
      <alignment horizontal="center" vertical="center" wrapText="1"/>
    </xf>
    <xf numFmtId="49" fontId="43" fillId="0" borderId="1" xfId="0" applyNumberFormat="1" applyFont="1" applyBorder="1" applyAlignment="1">
      <alignment horizontal="center" vertical="center" wrapText="1"/>
    </xf>
    <xf numFmtId="4" fontId="44" fillId="0" borderId="0" xfId="0" applyNumberFormat="1" applyFont="1" applyAlignment="1">
      <alignment wrapText="1"/>
    </xf>
    <xf numFmtId="0" fontId="0" fillId="0" borderId="0" xfId="0" applyAlignment="1">
      <alignment horizontal="left" vertical="center"/>
    </xf>
    <xf numFmtId="3" fontId="45" fillId="0" borderId="0" xfId="0" applyNumberFormat="1" applyFont="1" applyAlignment="1">
      <alignment horizontal="center" vertical="center"/>
    </xf>
    <xf numFmtId="3" fontId="45" fillId="0" borderId="18" xfId="0" applyNumberFormat="1" applyFont="1" applyBorder="1" applyAlignment="1">
      <alignment horizontal="center" vertical="center"/>
    </xf>
    <xf numFmtId="49" fontId="42" fillId="0" borderId="11" xfId="0" applyNumberFormat="1" applyFont="1" applyBorder="1" applyAlignment="1">
      <alignment horizontal="center" vertical="center"/>
    </xf>
    <xf numFmtId="3" fontId="45" fillId="0" borderId="17" xfId="0" applyNumberFormat="1" applyFont="1" applyBorder="1" applyAlignment="1">
      <alignment horizontal="center" vertical="center"/>
    </xf>
    <xf numFmtId="49" fontId="42" fillId="0" borderId="9" xfId="0" applyNumberFormat="1" applyFont="1" applyBorder="1" applyAlignment="1">
      <alignment horizontal="center" vertical="center"/>
    </xf>
    <xf numFmtId="3" fontId="45" fillId="0" borderId="16" xfId="0" applyNumberFormat="1" applyFont="1" applyBorder="1" applyAlignment="1">
      <alignment horizontal="center" vertical="center"/>
    </xf>
    <xf numFmtId="49" fontId="42" fillId="0" borderId="6" xfId="0" applyNumberFormat="1" applyFont="1" applyBorder="1" applyAlignment="1">
      <alignment horizontal="center" vertical="center"/>
    </xf>
    <xf numFmtId="4" fontId="46" fillId="0" borderId="0" xfId="0" applyNumberFormat="1" applyFont="1" applyAlignment="1">
      <alignment horizontal="left" vertical="center" wrapText="1"/>
    </xf>
    <xf numFmtId="3" fontId="42" fillId="10" borderId="40" xfId="0" applyNumberFormat="1" applyFont="1" applyFill="1" applyBorder="1" applyAlignment="1">
      <alignment horizontal="center" vertical="center"/>
    </xf>
    <xf numFmtId="3" fontId="42" fillId="10" borderId="18" xfId="0" applyNumberFormat="1" applyFont="1" applyFill="1" applyBorder="1" applyAlignment="1">
      <alignment horizontal="center" vertical="center"/>
    </xf>
    <xf numFmtId="49" fontId="42" fillId="10" borderId="12" xfId="0" applyNumberFormat="1" applyFont="1" applyFill="1" applyBorder="1" applyAlignment="1">
      <alignment horizontal="center" vertical="center"/>
    </xf>
    <xf numFmtId="0" fontId="42" fillId="10" borderId="12" xfId="0" applyFont="1" applyFill="1" applyBorder="1" applyAlignment="1">
      <alignment horizontal="center" vertical="center"/>
    </xf>
    <xf numFmtId="0" fontId="42" fillId="10" borderId="12" xfId="0" applyFont="1" applyFill="1" applyBorder="1" applyAlignment="1">
      <alignment horizontal="center" vertical="center" wrapText="1"/>
    </xf>
    <xf numFmtId="0" fontId="42" fillId="10" borderId="11" xfId="0" applyFont="1" applyFill="1" applyBorder="1" applyAlignment="1">
      <alignment horizontal="center" vertical="center"/>
    </xf>
    <xf numFmtId="3" fontId="42" fillId="10" borderId="41" xfId="0" applyNumberFormat="1" applyFont="1" applyFill="1" applyBorder="1" applyAlignment="1">
      <alignment horizontal="center" vertical="center"/>
    </xf>
    <xf numFmtId="3" fontId="42" fillId="10" borderId="17" xfId="0" applyNumberFormat="1" applyFont="1" applyFill="1" applyBorder="1" applyAlignment="1">
      <alignment horizontal="center" vertical="center"/>
    </xf>
    <xf numFmtId="49" fontId="42" fillId="10" borderId="1" xfId="0" applyNumberFormat="1" applyFont="1" applyFill="1" applyBorder="1" applyAlignment="1">
      <alignment horizontal="center" vertical="center"/>
    </xf>
    <xf numFmtId="0" fontId="42" fillId="10" borderId="1" xfId="0" applyFont="1" applyFill="1" applyBorder="1" applyAlignment="1">
      <alignment horizontal="center" vertical="center"/>
    </xf>
    <xf numFmtId="0" fontId="42" fillId="10" borderId="1" xfId="0" applyFont="1" applyFill="1" applyBorder="1" applyAlignment="1">
      <alignment horizontal="center" vertical="center" wrapText="1"/>
    </xf>
    <xf numFmtId="0" fontId="42" fillId="10" borderId="9" xfId="0" applyFont="1" applyFill="1" applyBorder="1" applyAlignment="1">
      <alignment horizontal="center" vertical="center"/>
    </xf>
    <xf numFmtId="3" fontId="42" fillId="11" borderId="41" xfId="0" applyNumberFormat="1" applyFont="1" applyFill="1" applyBorder="1" applyAlignment="1">
      <alignment horizontal="center" vertical="center"/>
    </xf>
    <xf numFmtId="3" fontId="42" fillId="11" borderId="17" xfId="0" applyNumberFormat="1" applyFont="1" applyFill="1" applyBorder="1" applyAlignment="1">
      <alignment horizontal="center" vertical="center"/>
    </xf>
    <xf numFmtId="49" fontId="42" fillId="11" borderId="1" xfId="0" applyNumberFormat="1" applyFont="1" applyFill="1" applyBorder="1" applyAlignment="1">
      <alignment horizontal="center" vertical="center"/>
    </xf>
    <xf numFmtId="0" fontId="42" fillId="11" borderId="1" xfId="0" applyFont="1" applyFill="1" applyBorder="1" applyAlignment="1">
      <alignment horizontal="center" vertical="center"/>
    </xf>
    <xf numFmtId="0" fontId="42" fillId="11" borderId="1" xfId="0" applyFont="1" applyFill="1" applyBorder="1" applyAlignment="1">
      <alignment horizontal="center" vertical="center" wrapText="1"/>
    </xf>
    <xf numFmtId="0" fontId="42" fillId="11" borderId="9" xfId="0" applyFont="1" applyFill="1" applyBorder="1" applyAlignment="1">
      <alignment horizontal="center" vertical="center"/>
    </xf>
    <xf numFmtId="4" fontId="44" fillId="0" borderId="0" xfId="0" applyNumberFormat="1" applyFont="1" applyAlignment="1">
      <alignment horizontal="left" vertical="center" wrapText="1"/>
    </xf>
    <xf numFmtId="3" fontId="42" fillId="12" borderId="44" xfId="0" applyNumberFormat="1" applyFont="1" applyFill="1" applyBorder="1" applyAlignment="1">
      <alignment horizontal="center" vertical="center"/>
    </xf>
    <xf numFmtId="3" fontId="42" fillId="12" borderId="16" xfId="0" applyNumberFormat="1" applyFont="1" applyFill="1" applyBorder="1" applyAlignment="1">
      <alignment horizontal="center" vertical="center"/>
    </xf>
    <xf numFmtId="49" fontId="42" fillId="12" borderId="7" xfId="0" applyNumberFormat="1" applyFont="1" applyFill="1" applyBorder="1" applyAlignment="1">
      <alignment horizontal="center" vertical="center"/>
    </xf>
    <xf numFmtId="0" fontId="42" fillId="12" borderId="7" xfId="0" applyFont="1" applyFill="1" applyBorder="1" applyAlignment="1">
      <alignment horizontal="center" vertical="center"/>
    </xf>
    <xf numFmtId="0" fontId="42" fillId="12" borderId="7" xfId="0" applyFont="1" applyFill="1" applyBorder="1" applyAlignment="1">
      <alignment horizontal="center" vertical="center" wrapText="1"/>
    </xf>
    <xf numFmtId="0" fontId="42" fillId="12" borderId="6" xfId="0" applyFont="1" applyFill="1" applyBorder="1" applyAlignment="1">
      <alignment horizontal="center" vertical="center"/>
    </xf>
    <xf numFmtId="0" fontId="42" fillId="13" borderId="0" xfId="0" applyFont="1" applyFill="1" applyAlignment="1">
      <alignment horizontal="center" vertical="center"/>
    </xf>
    <xf numFmtId="3" fontId="42" fillId="13" borderId="40" xfId="0" applyNumberFormat="1" applyFont="1" applyFill="1" applyBorder="1" applyAlignment="1">
      <alignment horizontal="center" vertical="center"/>
    </xf>
    <xf numFmtId="3" fontId="42" fillId="8" borderId="41" xfId="0" applyNumberFormat="1" applyFont="1" applyFill="1" applyBorder="1" applyAlignment="1">
      <alignment horizontal="center" vertical="center"/>
    </xf>
    <xf numFmtId="3" fontId="42" fillId="8" borderId="17" xfId="0" applyNumberFormat="1" applyFont="1" applyFill="1" applyBorder="1" applyAlignment="1">
      <alignment horizontal="center" vertical="center"/>
    </xf>
    <xf numFmtId="49" fontId="42" fillId="8" borderId="1" xfId="0" applyNumberFormat="1" applyFont="1" applyFill="1" applyBorder="1" applyAlignment="1">
      <alignment horizontal="center" vertical="center"/>
    </xf>
    <xf numFmtId="0" fontId="42" fillId="8" borderId="1" xfId="0" applyFont="1" applyFill="1" applyBorder="1" applyAlignment="1">
      <alignment horizontal="center" vertical="center"/>
    </xf>
    <xf numFmtId="0" fontId="42" fillId="8" borderId="1" xfId="0" applyFont="1" applyFill="1" applyBorder="1" applyAlignment="1">
      <alignment horizontal="center" vertical="center" wrapText="1"/>
    </xf>
    <xf numFmtId="0" fontId="42" fillId="8" borderId="9" xfId="0" applyFont="1" applyFill="1" applyBorder="1" applyAlignment="1">
      <alignment horizontal="center" vertical="center"/>
    </xf>
    <xf numFmtId="3" fontId="42" fillId="8" borderId="44" xfId="0" applyNumberFormat="1" applyFont="1" applyFill="1" applyBorder="1" applyAlignment="1">
      <alignment horizontal="center" vertical="center"/>
    </xf>
    <xf numFmtId="3" fontId="42" fillId="8" borderId="16" xfId="0" applyNumberFormat="1" applyFont="1" applyFill="1" applyBorder="1" applyAlignment="1">
      <alignment horizontal="center" vertical="center"/>
    </xf>
    <xf numFmtId="49" fontId="42" fillId="8" borderId="7" xfId="0" applyNumberFormat="1" applyFont="1" applyFill="1" applyBorder="1" applyAlignment="1">
      <alignment horizontal="center" vertical="center"/>
    </xf>
    <xf numFmtId="0" fontId="42" fillId="8" borderId="7" xfId="0" applyFont="1" applyFill="1" applyBorder="1" applyAlignment="1">
      <alignment horizontal="center" vertical="center"/>
    </xf>
    <xf numFmtId="0" fontId="42" fillId="8" borderId="7" xfId="0" applyFont="1" applyFill="1" applyBorder="1" applyAlignment="1">
      <alignment horizontal="center" vertical="center" wrapText="1"/>
    </xf>
    <xf numFmtId="0" fontId="42" fillId="8" borderId="6" xfId="0" applyFont="1" applyFill="1" applyBorder="1" applyAlignment="1">
      <alignment horizontal="center" vertical="center"/>
    </xf>
    <xf numFmtId="0" fontId="43" fillId="0" borderId="2" xfId="0" applyFont="1" applyBorder="1" applyAlignment="1">
      <alignment horizontal="center" vertical="center" wrapText="1"/>
    </xf>
    <xf numFmtId="49" fontId="43" fillId="0" borderId="2" xfId="0" applyNumberFormat="1" applyFont="1" applyBorder="1" applyAlignment="1">
      <alignment horizontal="center" vertical="center" wrapText="1"/>
    </xf>
    <xf numFmtId="0" fontId="48" fillId="0" borderId="0" xfId="0" applyFont="1" applyAlignment="1">
      <alignment horizontal="center" vertical="center" wrapText="1"/>
    </xf>
    <xf numFmtId="0" fontId="41" fillId="0" borderId="0" xfId="0" applyFont="1" applyAlignment="1">
      <alignment horizontal="left" vertical="center" wrapText="1"/>
    </xf>
    <xf numFmtId="3" fontId="45" fillId="13" borderId="14" xfId="0" applyNumberFormat="1" applyFont="1" applyFill="1" applyBorder="1" applyAlignment="1">
      <alignment horizontal="center" vertical="center"/>
    </xf>
    <xf numFmtId="3" fontId="45" fillId="13" borderId="46" xfId="0" applyNumberFormat="1" applyFont="1" applyFill="1" applyBorder="1" applyAlignment="1">
      <alignment horizontal="center" vertical="center"/>
    </xf>
    <xf numFmtId="49" fontId="42" fillId="13" borderId="12" xfId="0" applyNumberFormat="1" applyFont="1" applyFill="1" applyBorder="1" applyAlignment="1">
      <alignment horizontal="center" vertical="center"/>
    </xf>
    <xf numFmtId="0" fontId="42" fillId="13" borderId="12" xfId="0" applyFont="1" applyFill="1" applyBorder="1" applyAlignment="1">
      <alignment horizontal="center" vertical="center"/>
    </xf>
    <xf numFmtId="0" fontId="42" fillId="13" borderId="12" xfId="0" applyFont="1" applyFill="1" applyBorder="1" applyAlignment="1">
      <alignment horizontal="center" vertical="center" wrapText="1"/>
    </xf>
    <xf numFmtId="0" fontId="42" fillId="13" borderId="11" xfId="0" applyFont="1" applyFill="1" applyBorder="1" applyAlignment="1">
      <alignment horizontal="center" vertical="center"/>
    </xf>
    <xf numFmtId="3" fontId="42" fillId="13" borderId="3" xfId="0" applyNumberFormat="1" applyFont="1" applyFill="1" applyBorder="1" applyAlignment="1">
      <alignment horizontal="center" vertical="center"/>
    </xf>
    <xf numFmtId="49" fontId="42" fillId="13" borderId="1" xfId="0" applyNumberFormat="1" applyFont="1" applyFill="1" applyBorder="1" applyAlignment="1">
      <alignment horizontal="center" vertical="center"/>
    </xf>
    <xf numFmtId="0" fontId="42" fillId="13" borderId="1" xfId="0" applyFont="1" applyFill="1" applyBorder="1" applyAlignment="1">
      <alignment horizontal="center" vertical="center"/>
    </xf>
    <xf numFmtId="0" fontId="42" fillId="13" borderId="1" xfId="0" applyFont="1" applyFill="1" applyBorder="1" applyAlignment="1">
      <alignment horizontal="center" vertical="center" wrapText="1"/>
    </xf>
    <xf numFmtId="0" fontId="42" fillId="13" borderId="9" xfId="0" applyFont="1" applyFill="1" applyBorder="1" applyAlignment="1">
      <alignment horizontal="center" vertical="center"/>
    </xf>
    <xf numFmtId="0" fontId="41" fillId="0" borderId="41" xfId="0" applyFont="1" applyBorder="1" applyAlignment="1">
      <alignment horizontal="left" vertical="center" wrapText="1"/>
    </xf>
    <xf numFmtId="49" fontId="42" fillId="14" borderId="13" xfId="0" applyNumberFormat="1" applyFont="1" applyFill="1" applyBorder="1" applyAlignment="1">
      <alignment horizontal="center" vertical="center"/>
    </xf>
    <xf numFmtId="0" fontId="42" fillId="14" borderId="13" xfId="0" applyFont="1" applyFill="1" applyBorder="1" applyAlignment="1">
      <alignment horizontal="center" vertical="center"/>
    </xf>
    <xf numFmtId="0" fontId="42" fillId="14" borderId="13" xfId="0" applyFont="1" applyFill="1" applyBorder="1" applyAlignment="1">
      <alignment horizontal="center" vertical="center" wrapText="1"/>
    </xf>
    <xf numFmtId="0" fontId="42" fillId="14" borderId="26" xfId="0" applyFont="1" applyFill="1" applyBorder="1" applyAlignment="1">
      <alignment horizontal="center" vertical="center"/>
    </xf>
    <xf numFmtId="0" fontId="0" fillId="14" borderId="10" xfId="0" applyFill="1" applyBorder="1" applyAlignment="1">
      <alignment horizontal="center" vertical="center"/>
    </xf>
    <xf numFmtId="0" fontId="41" fillId="0" borderId="40" xfId="0" applyFont="1" applyBorder="1" applyAlignment="1">
      <alignment horizontal="left" vertical="center" wrapText="1"/>
    </xf>
    <xf numFmtId="49" fontId="42" fillId="15" borderId="1" xfId="0" applyNumberFormat="1" applyFont="1" applyFill="1" applyBorder="1" applyAlignment="1">
      <alignment horizontal="center" vertical="center"/>
    </xf>
    <xf numFmtId="0" fontId="42" fillId="15" borderId="1" xfId="0" applyFont="1" applyFill="1" applyBorder="1" applyAlignment="1">
      <alignment horizontal="center" vertical="center"/>
    </xf>
    <xf numFmtId="0" fontId="42" fillId="15" borderId="1" xfId="0" applyFont="1" applyFill="1" applyBorder="1" applyAlignment="1">
      <alignment horizontal="center" vertical="center" wrapText="1"/>
    </xf>
    <xf numFmtId="0" fontId="42" fillId="15" borderId="9" xfId="0" applyFont="1" applyFill="1" applyBorder="1" applyAlignment="1">
      <alignment horizontal="center" vertical="center"/>
    </xf>
    <xf numFmtId="0" fontId="9" fillId="0" borderId="0" xfId="0" applyFont="1" applyAlignment="1">
      <alignment vertical="center"/>
    </xf>
    <xf numFmtId="3" fontId="42" fillId="12" borderId="1" xfId="0" applyNumberFormat="1" applyFont="1" applyFill="1" applyBorder="1" applyAlignment="1">
      <alignment horizontal="center" vertical="center"/>
    </xf>
    <xf numFmtId="0" fontId="42" fillId="12" borderId="1" xfId="0" applyFont="1" applyFill="1" applyBorder="1" applyAlignment="1">
      <alignment horizontal="center" vertical="center" wrapText="1"/>
    </xf>
    <xf numFmtId="0" fontId="0" fillId="16" borderId="0" xfId="0" applyFill="1"/>
    <xf numFmtId="0" fontId="41" fillId="0" borderId="41" xfId="0" applyFont="1" applyBorder="1" applyAlignment="1">
      <alignment wrapText="1"/>
    </xf>
    <xf numFmtId="0" fontId="42" fillId="0" borderId="0" xfId="0" applyFont="1" applyAlignment="1">
      <alignment wrapText="1"/>
    </xf>
    <xf numFmtId="49" fontId="42" fillId="12" borderId="1" xfId="0" applyNumberFormat="1" applyFont="1" applyFill="1" applyBorder="1" applyAlignment="1">
      <alignment horizontal="center" vertical="center"/>
    </xf>
    <xf numFmtId="49" fontId="42" fillId="12" borderId="8" xfId="0" applyNumberFormat="1" applyFont="1" applyFill="1" applyBorder="1" applyAlignment="1">
      <alignment horizontal="center" vertical="center"/>
    </xf>
    <xf numFmtId="0" fontId="42" fillId="12" borderId="8" xfId="0" applyFont="1" applyFill="1" applyBorder="1" applyAlignment="1">
      <alignment horizontal="center" vertical="center"/>
    </xf>
    <xf numFmtId="3" fontId="9" fillId="0" borderId="0" xfId="0" applyNumberFormat="1" applyFont="1" applyAlignment="1">
      <alignment vertical="center"/>
    </xf>
    <xf numFmtId="3" fontId="42" fillId="16" borderId="3" xfId="0" applyNumberFormat="1" applyFont="1" applyFill="1" applyBorder="1" applyAlignment="1">
      <alignment horizontal="center" vertical="center"/>
    </xf>
    <xf numFmtId="49" fontId="42" fillId="16" borderId="1" xfId="0" applyNumberFormat="1" applyFont="1" applyFill="1" applyBorder="1" applyAlignment="1">
      <alignment horizontal="center" vertical="center"/>
    </xf>
    <xf numFmtId="0" fontId="42" fillId="16" borderId="1" xfId="0" applyFont="1" applyFill="1" applyBorder="1" applyAlignment="1">
      <alignment horizontal="center" vertical="center"/>
    </xf>
    <xf numFmtId="0" fontId="42" fillId="16" borderId="1" xfId="0" applyFont="1" applyFill="1" applyBorder="1" applyAlignment="1">
      <alignment horizontal="center" vertical="center" wrapText="1"/>
    </xf>
    <xf numFmtId="49" fontId="42" fillId="17" borderId="12" xfId="0" applyNumberFormat="1" applyFont="1" applyFill="1" applyBorder="1" applyAlignment="1">
      <alignment horizontal="center" vertical="center"/>
    </xf>
    <xf numFmtId="0" fontId="42" fillId="17" borderId="12" xfId="0" applyFont="1" applyFill="1" applyBorder="1" applyAlignment="1">
      <alignment horizontal="center" vertical="center"/>
    </xf>
    <xf numFmtId="0" fontId="42" fillId="17" borderId="12" xfId="0" applyFont="1" applyFill="1" applyBorder="1" applyAlignment="1">
      <alignment horizontal="center" vertical="center" wrapText="1"/>
    </xf>
    <xf numFmtId="49" fontId="42" fillId="17" borderId="7" xfId="0" applyNumberFormat="1" applyFont="1" applyFill="1" applyBorder="1" applyAlignment="1">
      <alignment horizontal="center" vertical="center"/>
    </xf>
    <xf numFmtId="0" fontId="42" fillId="17" borderId="7" xfId="0" applyFont="1" applyFill="1" applyBorder="1" applyAlignment="1">
      <alignment horizontal="center" vertical="center"/>
    </xf>
    <xf numFmtId="0" fontId="42" fillId="17" borderId="7" xfId="0" applyFont="1" applyFill="1" applyBorder="1" applyAlignment="1">
      <alignment horizontal="center" vertical="center" wrapText="1"/>
    </xf>
    <xf numFmtId="0" fontId="52" fillId="0" borderId="0" xfId="0" applyFont="1" applyAlignment="1">
      <alignment horizontal="center" vertical="center" wrapText="1"/>
    </xf>
    <xf numFmtId="3" fontId="42" fillId="17" borderId="49" xfId="0" applyNumberFormat="1" applyFont="1" applyFill="1" applyBorder="1" applyAlignment="1">
      <alignment horizontal="center" vertical="center"/>
    </xf>
    <xf numFmtId="3" fontId="42" fillId="17" borderId="46" xfId="0" applyNumberFormat="1" applyFont="1" applyFill="1" applyBorder="1" applyAlignment="1">
      <alignment horizontal="center" vertical="center"/>
    </xf>
    <xf numFmtId="3" fontId="42" fillId="12" borderId="3" xfId="0" applyNumberFormat="1" applyFont="1" applyFill="1" applyBorder="1" applyAlignment="1">
      <alignment horizontal="center" vertical="center"/>
    </xf>
    <xf numFmtId="3" fontId="42" fillId="11" borderId="3" xfId="0" applyNumberFormat="1" applyFont="1" applyFill="1" applyBorder="1" applyAlignment="1">
      <alignment horizontal="center" vertical="center"/>
    </xf>
    <xf numFmtId="3" fontId="42" fillId="15" borderId="3" xfId="0" applyNumberFormat="1" applyFont="1" applyFill="1" applyBorder="1" applyAlignment="1">
      <alignment horizontal="center" vertical="center"/>
    </xf>
    <xf numFmtId="3" fontId="42" fillId="10" borderId="46" xfId="0" applyNumberFormat="1" applyFont="1" applyFill="1" applyBorder="1" applyAlignment="1">
      <alignment horizontal="center" vertical="center"/>
    </xf>
    <xf numFmtId="3" fontId="42" fillId="14" borderId="31" xfId="0" applyNumberFormat="1" applyFont="1" applyFill="1" applyBorder="1" applyAlignment="1">
      <alignment horizontal="center" vertical="center"/>
    </xf>
    <xf numFmtId="3" fontId="42" fillId="17" borderId="1" xfId="0" applyNumberFormat="1" applyFont="1" applyFill="1" applyBorder="1" applyAlignment="1">
      <alignment horizontal="center" vertical="center"/>
    </xf>
    <xf numFmtId="3" fontId="42" fillId="13" borderId="1" xfId="0" applyNumberFormat="1" applyFont="1" applyFill="1" applyBorder="1" applyAlignment="1">
      <alignment horizontal="center" vertical="center"/>
    </xf>
    <xf numFmtId="3" fontId="42" fillId="16" borderId="1" xfId="0" applyNumberFormat="1" applyFont="1" applyFill="1" applyBorder="1" applyAlignment="1">
      <alignment horizontal="center" vertical="center"/>
    </xf>
    <xf numFmtId="3" fontId="42" fillId="11" borderId="1" xfId="0" applyNumberFormat="1" applyFont="1" applyFill="1" applyBorder="1" applyAlignment="1">
      <alignment horizontal="center" vertical="center"/>
    </xf>
    <xf numFmtId="3" fontId="42" fillId="15" borderId="1" xfId="0" applyNumberFormat="1" applyFont="1" applyFill="1" applyBorder="1" applyAlignment="1">
      <alignment horizontal="center" vertical="center"/>
    </xf>
    <xf numFmtId="3" fontId="42" fillId="10" borderId="1" xfId="0" applyNumberFormat="1" applyFont="1" applyFill="1" applyBorder="1" applyAlignment="1">
      <alignment horizontal="center" vertical="center"/>
    </xf>
    <xf numFmtId="3" fontId="42" fillId="14" borderId="1" xfId="0" applyNumberFormat="1" applyFont="1" applyFill="1" applyBorder="1" applyAlignment="1">
      <alignment horizontal="center" vertical="center"/>
    </xf>
    <xf numFmtId="3" fontId="45" fillId="13" borderId="1" xfId="0" applyNumberFormat="1" applyFont="1" applyFill="1" applyBorder="1" applyAlignment="1">
      <alignment horizontal="center" vertical="center"/>
    </xf>
    <xf numFmtId="0" fontId="48" fillId="10" borderId="36" xfId="0" applyFont="1" applyFill="1" applyBorder="1" applyAlignment="1">
      <alignment horizontal="center" vertical="center" wrapText="1"/>
    </xf>
    <xf numFmtId="0" fontId="0" fillId="10" borderId="27" xfId="0" applyFill="1" applyBorder="1" applyAlignment="1">
      <alignment horizontal="center" vertical="center"/>
    </xf>
    <xf numFmtId="3" fontId="17" fillId="0" borderId="1" xfId="0" applyNumberFormat="1" applyFont="1" applyBorder="1"/>
    <xf numFmtId="0" fontId="42" fillId="11" borderId="7" xfId="0" applyFont="1" applyFill="1" applyBorder="1" applyAlignment="1">
      <alignment horizontal="center" vertical="center"/>
    </xf>
    <xf numFmtId="0" fontId="42" fillId="11" borderId="7" xfId="0" applyFont="1" applyFill="1" applyBorder="1" applyAlignment="1">
      <alignment horizontal="center" vertical="center" wrapText="1"/>
    </xf>
    <xf numFmtId="0" fontId="42" fillId="11" borderId="6" xfId="0" applyFont="1" applyFill="1" applyBorder="1" applyAlignment="1">
      <alignment horizontal="center" vertical="center"/>
    </xf>
    <xf numFmtId="0" fontId="42" fillId="12" borderId="12" xfId="0" applyFont="1" applyFill="1" applyBorder="1" applyAlignment="1">
      <alignment horizontal="center" vertical="center" wrapText="1"/>
    </xf>
    <xf numFmtId="0" fontId="41" fillId="0" borderId="40" xfId="0" applyFont="1" applyBorder="1" applyAlignment="1">
      <alignment vertical="center" wrapText="1"/>
    </xf>
    <xf numFmtId="49" fontId="42" fillId="4" borderId="12" xfId="0" applyNumberFormat="1" applyFont="1" applyFill="1" applyBorder="1" applyAlignment="1">
      <alignment horizontal="center" vertical="center"/>
    </xf>
    <xf numFmtId="0" fontId="42" fillId="4" borderId="12" xfId="0" applyFont="1" applyFill="1" applyBorder="1" applyAlignment="1">
      <alignment horizontal="center" vertical="center"/>
    </xf>
    <xf numFmtId="0" fontId="42" fillId="4" borderId="12" xfId="0" applyFont="1" applyFill="1" applyBorder="1" applyAlignment="1">
      <alignment horizontal="center" vertical="center" wrapText="1"/>
    </xf>
    <xf numFmtId="0" fontId="48" fillId="4" borderId="12" xfId="0" applyFont="1" applyFill="1" applyBorder="1" applyAlignment="1">
      <alignment horizontal="center" vertical="center" wrapText="1"/>
    </xf>
    <xf numFmtId="0" fontId="0" fillId="4" borderId="11" xfId="0" applyFill="1" applyBorder="1" applyAlignment="1">
      <alignment horizontal="center" vertical="center"/>
    </xf>
    <xf numFmtId="0" fontId="41" fillId="0" borderId="41" xfId="0" applyFont="1" applyBorder="1" applyAlignment="1">
      <alignment vertical="center" wrapText="1"/>
    </xf>
    <xf numFmtId="3" fontId="0" fillId="0" borderId="1" xfId="0" applyNumberFormat="1" applyBorder="1"/>
    <xf numFmtId="49" fontId="42" fillId="13" borderId="7" xfId="0" applyNumberFormat="1" applyFont="1" applyFill="1" applyBorder="1" applyAlignment="1">
      <alignment horizontal="center" vertical="center"/>
    </xf>
    <xf numFmtId="0" fontId="42" fillId="13" borderId="7" xfId="0" applyFont="1" applyFill="1" applyBorder="1" applyAlignment="1">
      <alignment horizontal="center" vertical="center"/>
    </xf>
    <xf numFmtId="0" fontId="42" fillId="13" borderId="7" xfId="0" applyFont="1" applyFill="1" applyBorder="1" applyAlignment="1">
      <alignment horizontal="center" vertical="center" wrapText="1"/>
    </xf>
    <xf numFmtId="0" fontId="51" fillId="13" borderId="7" xfId="0" applyFont="1" applyFill="1" applyBorder="1" applyAlignment="1">
      <alignment vertical="center" wrapText="1"/>
    </xf>
    <xf numFmtId="0" fontId="0" fillId="13" borderId="6" xfId="0" applyFill="1" applyBorder="1" applyAlignment="1">
      <alignment horizontal="center" vertical="center" wrapText="1"/>
    </xf>
    <xf numFmtId="3" fontId="42" fillId="13" borderId="49" xfId="0" applyNumberFormat="1" applyFont="1" applyFill="1" applyBorder="1" applyAlignment="1">
      <alignment horizontal="center" vertical="center"/>
    </xf>
    <xf numFmtId="3" fontId="42" fillId="4" borderId="46" xfId="0" applyNumberFormat="1" applyFont="1" applyFill="1" applyBorder="1" applyAlignment="1">
      <alignment horizontal="center" vertical="center"/>
    </xf>
    <xf numFmtId="3" fontId="42" fillId="12" borderId="49" xfId="0" applyNumberFormat="1" applyFont="1" applyFill="1" applyBorder="1" applyAlignment="1">
      <alignment horizontal="center" vertical="center"/>
    </xf>
    <xf numFmtId="3" fontId="42" fillId="12" borderId="46" xfId="0" applyNumberFormat="1" applyFont="1" applyFill="1" applyBorder="1" applyAlignment="1">
      <alignment horizontal="center" vertical="center"/>
    </xf>
    <xf numFmtId="3" fontId="42" fillId="11" borderId="49" xfId="0" applyNumberFormat="1" applyFont="1" applyFill="1" applyBorder="1" applyAlignment="1">
      <alignment horizontal="center" vertical="center"/>
    </xf>
    <xf numFmtId="3" fontId="42" fillId="14" borderId="3" xfId="0" applyNumberFormat="1" applyFont="1" applyFill="1" applyBorder="1" applyAlignment="1">
      <alignment horizontal="center" vertical="center"/>
    </xf>
    <xf numFmtId="3" fontId="42" fillId="4" borderId="1" xfId="0" applyNumberFormat="1" applyFont="1" applyFill="1" applyBorder="1" applyAlignment="1">
      <alignment horizontal="center" vertical="center"/>
    </xf>
    <xf numFmtId="0" fontId="42" fillId="12" borderId="13" xfId="0" applyFont="1" applyFill="1" applyBorder="1" applyAlignment="1">
      <alignment horizontal="center" vertical="center" wrapText="1"/>
    </xf>
    <xf numFmtId="49" fontId="42" fillId="12" borderId="10" xfId="0" applyNumberFormat="1" applyFont="1" applyFill="1" applyBorder="1" applyAlignment="1">
      <alignment horizontal="center" vertical="center"/>
    </xf>
    <xf numFmtId="3" fontId="42" fillId="12" borderId="31" xfId="0" applyNumberFormat="1" applyFont="1" applyFill="1" applyBorder="1" applyAlignment="1">
      <alignment horizontal="center" vertical="center"/>
    </xf>
    <xf numFmtId="0" fontId="42" fillId="12" borderId="2" xfId="0" applyFont="1" applyFill="1" applyBorder="1" applyAlignment="1">
      <alignment horizontal="center" vertical="center" wrapText="1"/>
    </xf>
    <xf numFmtId="3" fontId="42" fillId="12" borderId="14" xfId="0" applyNumberFormat="1" applyFont="1" applyFill="1" applyBorder="1" applyAlignment="1">
      <alignment horizontal="center" vertical="center"/>
    </xf>
    <xf numFmtId="0" fontId="42" fillId="12" borderId="10" xfId="0" applyFont="1" applyFill="1" applyBorder="1" applyAlignment="1">
      <alignment horizontal="center" vertical="center" wrapText="1"/>
    </xf>
    <xf numFmtId="3" fontId="42" fillId="12" borderId="19" xfId="0" applyNumberFormat="1" applyFont="1" applyFill="1" applyBorder="1" applyAlignment="1">
      <alignment horizontal="center" vertical="center"/>
    </xf>
    <xf numFmtId="49" fontId="42" fillId="11" borderId="13" xfId="0" applyNumberFormat="1" applyFont="1" applyFill="1" applyBorder="1" applyAlignment="1">
      <alignment horizontal="center" vertical="center"/>
    </xf>
    <xf numFmtId="49" fontId="9" fillId="8" borderId="1" xfId="0" applyNumberFormat="1" applyFont="1" applyFill="1" applyBorder="1" applyAlignment="1">
      <alignment horizontal="center" vertical="center" wrapText="1"/>
    </xf>
    <xf numFmtId="49" fontId="9" fillId="4" borderId="7" xfId="0" applyNumberFormat="1" applyFont="1" applyFill="1" applyBorder="1" applyAlignment="1">
      <alignment horizontal="center" vertical="center" wrapText="1"/>
    </xf>
    <xf numFmtId="49" fontId="9" fillId="4" borderId="13" xfId="0" applyNumberFormat="1" applyFont="1" applyFill="1" applyBorder="1" applyAlignment="1">
      <alignment horizontal="center" vertical="center" wrapText="1"/>
    </xf>
    <xf numFmtId="49" fontId="9" fillId="4" borderId="10"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49" fontId="9" fillId="8" borderId="12" xfId="0" applyNumberFormat="1" applyFont="1" applyFill="1" applyBorder="1" applyAlignment="1">
      <alignment horizontal="center" vertical="center" wrapText="1"/>
    </xf>
    <xf numFmtId="49" fontId="17" fillId="0" borderId="49" xfId="0" applyNumberFormat="1" applyFont="1" applyBorder="1" applyAlignment="1">
      <alignment vertical="center" wrapText="1"/>
    </xf>
    <xf numFmtId="49" fontId="17" fillId="0" borderId="3" xfId="0" applyNumberFormat="1" applyFont="1" applyBorder="1" applyAlignment="1">
      <alignment vertical="center" wrapText="1"/>
    </xf>
    <xf numFmtId="0" fontId="17" fillId="2" borderId="33" xfId="0" applyFont="1" applyFill="1" applyBorder="1" applyAlignment="1">
      <alignment vertical="center" wrapText="1"/>
    </xf>
    <xf numFmtId="2" fontId="34" fillId="0" borderId="0" xfId="0" applyNumberFormat="1" applyFont="1" applyAlignment="1">
      <alignment wrapText="1"/>
    </xf>
    <xf numFmtId="49" fontId="9" fillId="0" borderId="7" xfId="0" applyNumberFormat="1" applyFont="1" applyBorder="1" applyAlignment="1">
      <alignment horizontal="center" vertical="center"/>
    </xf>
    <xf numFmtId="3" fontId="9" fillId="0" borderId="7" xfId="0" applyNumberFormat="1" applyFont="1" applyBorder="1" applyAlignment="1">
      <alignment horizontal="center" vertical="center" wrapText="1"/>
    </xf>
    <xf numFmtId="49" fontId="9" fillId="0" borderId="16" xfId="0" applyNumberFormat="1" applyFont="1" applyBorder="1" applyAlignment="1">
      <alignment vertical="center" wrapText="1"/>
    </xf>
    <xf numFmtId="49" fontId="9" fillId="0" borderId="39" xfId="0" applyNumberFormat="1" applyFont="1" applyBorder="1" applyAlignment="1">
      <alignment horizontal="center" vertical="center"/>
    </xf>
    <xf numFmtId="4" fontId="9" fillId="0" borderId="12" xfId="0" applyNumberFormat="1" applyFont="1" applyBorder="1" applyAlignment="1">
      <alignment horizontal="center" vertical="center" wrapText="1"/>
    </xf>
    <xf numFmtId="49" fontId="9" fillId="0" borderId="18" xfId="0" applyNumberFormat="1" applyFont="1" applyBorder="1" applyAlignment="1">
      <alignment vertical="center" wrapText="1"/>
    </xf>
    <xf numFmtId="3" fontId="47" fillId="0" borderId="0" xfId="0" applyNumberFormat="1" applyFont="1" applyAlignment="1">
      <alignment horizontal="center" vertical="center" wrapText="1"/>
    </xf>
    <xf numFmtId="168" fontId="17" fillId="0" borderId="1" xfId="0" applyNumberFormat="1" applyFont="1" applyBorder="1" applyAlignment="1">
      <alignment horizontal="center" vertical="center" wrapText="1"/>
    </xf>
    <xf numFmtId="168" fontId="17" fillId="0" borderId="12" xfId="0" applyNumberFormat="1" applyFont="1" applyBorder="1" applyAlignment="1">
      <alignment horizontal="center" vertical="center" wrapText="1"/>
    </xf>
    <xf numFmtId="49" fontId="36" fillId="0" borderId="0" xfId="0" applyNumberFormat="1" applyFont="1" applyAlignment="1">
      <alignment vertical="center" wrapText="1"/>
    </xf>
    <xf numFmtId="3" fontId="17" fillId="0" borderId="5" xfId="0" applyNumberFormat="1" applyFont="1" applyBorder="1" applyAlignment="1">
      <alignment horizontal="center" vertical="center" wrapText="1"/>
    </xf>
    <xf numFmtId="1" fontId="17" fillId="0" borderId="5" xfId="0" applyNumberFormat="1" applyFont="1" applyBorder="1" applyAlignment="1">
      <alignment horizontal="center" vertical="center" wrapText="1"/>
    </xf>
    <xf numFmtId="49" fontId="17" fillId="0" borderId="46" xfId="0" applyNumberFormat="1" applyFont="1" applyBorder="1" applyAlignment="1">
      <alignment vertical="center" wrapText="1"/>
    </xf>
    <xf numFmtId="166" fontId="0" fillId="0" borderId="13" xfId="0" applyNumberFormat="1" applyBorder="1" applyAlignment="1">
      <alignment horizontal="center" vertical="center" wrapText="1"/>
    </xf>
    <xf numFmtId="3" fontId="14" fillId="0" borderId="2" xfId="0" applyNumberFormat="1" applyFont="1" applyBorder="1" applyAlignment="1">
      <alignment horizontal="center" vertical="center" wrapText="1"/>
    </xf>
    <xf numFmtId="49" fontId="9" fillId="2" borderId="16" xfId="0" applyNumberFormat="1" applyFont="1" applyFill="1" applyBorder="1" applyAlignment="1">
      <alignment vertical="center" wrapText="1"/>
    </xf>
    <xf numFmtId="49" fontId="9" fillId="2" borderId="0" xfId="0" applyNumberFormat="1" applyFont="1" applyFill="1" applyAlignment="1">
      <alignment vertical="top" wrapText="1"/>
    </xf>
    <xf numFmtId="2" fontId="0" fillId="0" borderId="0" xfId="0" applyNumberFormat="1" applyAlignment="1">
      <alignment vertical="top" wrapText="1"/>
    </xf>
    <xf numFmtId="49" fontId="0" fillId="0" borderId="1" xfId="0" applyNumberFormat="1" applyBorder="1" applyAlignment="1">
      <alignment vertical="center" wrapText="1"/>
    </xf>
    <xf numFmtId="49" fontId="17" fillId="0" borderId="1" xfId="0" applyNumberFormat="1" applyFont="1" applyBorder="1" applyAlignment="1">
      <alignment vertical="center" wrapText="1"/>
    </xf>
    <xf numFmtId="49" fontId="0" fillId="0" borderId="9" xfId="0" applyNumberFormat="1" applyBorder="1" applyAlignment="1">
      <alignment wrapText="1"/>
    </xf>
    <xf numFmtId="49" fontId="0" fillId="0" borderId="52" xfId="0" applyNumberFormat="1" applyBorder="1" applyAlignment="1">
      <alignment vertical="center" wrapText="1"/>
    </xf>
    <xf numFmtId="0" fontId="17" fillId="0" borderId="3" xfId="0" applyFont="1" applyBorder="1" applyAlignment="1">
      <alignment vertical="top" wrapText="1"/>
    </xf>
    <xf numFmtId="49" fontId="17" fillId="0" borderId="31" xfId="0" applyNumberFormat="1" applyFont="1" applyBorder="1" applyAlignment="1">
      <alignment vertical="center" wrapText="1"/>
    </xf>
    <xf numFmtId="0" fontId="17" fillId="0" borderId="53" xfId="0" applyFont="1" applyBorder="1" applyAlignment="1">
      <alignment vertical="top" wrapText="1"/>
    </xf>
    <xf numFmtId="49" fontId="17" fillId="0" borderId="49" xfId="0" applyNumberFormat="1" applyFont="1" applyBorder="1" applyAlignment="1">
      <alignment vertical="top" wrapText="1"/>
    </xf>
    <xf numFmtId="49" fontId="17" fillId="0" borderId="54" xfId="0" applyNumberFormat="1" applyFont="1" applyBorder="1" applyAlignment="1">
      <alignment vertical="top" wrapText="1"/>
    </xf>
    <xf numFmtId="2" fontId="56" fillId="0" borderId="1" xfId="0" applyNumberFormat="1" applyFont="1" applyBorder="1" applyAlignment="1">
      <alignment horizontal="left" vertical="center" wrapText="1"/>
    </xf>
    <xf numFmtId="2" fontId="0" fillId="0" borderId="1" xfId="0" applyNumberFormat="1" applyBorder="1" applyAlignment="1">
      <alignment vertical="top" wrapText="1"/>
    </xf>
    <xf numFmtId="2" fontId="0" fillId="0" borderId="1" xfId="0" applyNumberFormat="1" applyBorder="1" applyAlignment="1">
      <alignment wrapText="1"/>
    </xf>
    <xf numFmtId="49" fontId="17" fillId="3" borderId="1" xfId="0" applyNumberFormat="1" applyFont="1" applyFill="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16" fillId="0" borderId="0" xfId="0" applyFont="1"/>
    <xf numFmtId="4" fontId="17" fillId="0" borderId="0" xfId="0" applyNumberFormat="1" applyFont="1"/>
    <xf numFmtId="3" fontId="16" fillId="0" borderId="0" xfId="0" applyNumberFormat="1" applyFont="1"/>
    <xf numFmtId="3" fontId="17" fillId="3" borderId="1" xfId="0" applyNumberFormat="1" applyFont="1" applyFill="1" applyBorder="1" applyAlignment="1">
      <alignment horizontal="center" vertical="center" wrapText="1"/>
    </xf>
    <xf numFmtId="0" fontId="5" fillId="0" borderId="0" xfId="0" applyFont="1"/>
    <xf numFmtId="0" fontId="6" fillId="0" borderId="12" xfId="0" applyFont="1" applyBorder="1" applyAlignment="1">
      <alignment vertical="top" wrapText="1"/>
    </xf>
    <xf numFmtId="0" fontId="7" fillId="0" borderId="12" xfId="0" applyFont="1" applyBorder="1" applyAlignment="1">
      <alignment vertical="top" wrapText="1"/>
    </xf>
    <xf numFmtId="0" fontId="6" fillId="0" borderId="12" xfId="0" applyFont="1" applyBorder="1" applyAlignment="1">
      <alignment vertical="top"/>
    </xf>
    <xf numFmtId="0" fontId="6" fillId="0" borderId="12" xfId="0" applyFont="1" applyBorder="1" applyAlignment="1">
      <alignment horizontal="center" vertical="center"/>
    </xf>
    <xf numFmtId="0" fontId="59" fillId="19" borderId="59" xfId="0" applyFont="1" applyFill="1" applyBorder="1" applyAlignment="1">
      <alignment vertical="center" wrapText="1"/>
    </xf>
    <xf numFmtId="0" fontId="59" fillId="19" borderId="61" xfId="0" applyFont="1" applyFill="1" applyBorder="1" applyAlignment="1">
      <alignment vertical="center" wrapText="1"/>
    </xf>
    <xf numFmtId="0" fontId="58" fillId="18" borderId="45" xfId="0" applyFont="1" applyFill="1" applyBorder="1" applyAlignment="1">
      <alignment vertical="center" wrapText="1"/>
    </xf>
    <xf numFmtId="0" fontId="58" fillId="18" borderId="58" xfId="0" applyFont="1" applyFill="1" applyBorder="1" applyAlignment="1">
      <alignment vertical="center" wrapText="1"/>
    </xf>
    <xf numFmtId="0" fontId="57" fillId="18" borderId="58" xfId="0" applyFont="1" applyFill="1" applyBorder="1" applyAlignment="1">
      <alignment vertical="center" wrapText="1"/>
    </xf>
    <xf numFmtId="0" fontId="58" fillId="18" borderId="60" xfId="0" applyFont="1" applyFill="1" applyBorder="1" applyAlignment="1">
      <alignment vertical="center" wrapText="1"/>
    </xf>
    <xf numFmtId="0" fontId="7" fillId="0" borderId="55" xfId="0" applyFont="1" applyBorder="1" applyAlignment="1">
      <alignment horizontal="center" vertical="center" wrapText="1"/>
    </xf>
    <xf numFmtId="1"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1" fontId="17" fillId="3" borderId="1" xfId="0" applyNumberFormat="1" applyFont="1" applyFill="1" applyBorder="1" applyAlignment="1">
      <alignment horizontal="center" vertical="center"/>
    </xf>
    <xf numFmtId="2" fontId="0" fillId="3"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1" fontId="17" fillId="3" borderId="1" xfId="0" applyNumberFormat="1" applyFont="1" applyFill="1" applyBorder="1" applyAlignment="1">
      <alignment horizontal="center" vertical="center" wrapText="1"/>
    </xf>
    <xf numFmtId="2" fontId="0" fillId="3" borderId="17" xfId="0" applyNumberFormat="1" applyFill="1" applyBorder="1" applyAlignment="1">
      <alignment horizontal="center" vertical="center"/>
    </xf>
    <xf numFmtId="4" fontId="0" fillId="3" borderId="17" xfId="0" applyNumberFormat="1" applyFill="1" applyBorder="1" applyAlignment="1">
      <alignment horizontal="center" vertical="center"/>
    </xf>
    <xf numFmtId="1" fontId="0" fillId="3" borderId="1" xfId="0" applyNumberFormat="1" applyFill="1" applyBorder="1" applyAlignment="1">
      <alignment horizontal="center" vertical="center" wrapText="1"/>
    </xf>
    <xf numFmtId="3" fontId="0" fillId="3" borderId="17" xfId="0" applyNumberFormat="1" applyFill="1" applyBorder="1" applyAlignment="1">
      <alignment horizontal="center" vertical="center"/>
    </xf>
    <xf numFmtId="1" fontId="0" fillId="3" borderId="17" xfId="0" applyNumberFormat="1" applyFill="1" applyBorder="1" applyAlignment="1">
      <alignment horizontal="center" vertical="center"/>
    </xf>
    <xf numFmtId="0" fontId="58" fillId="18" borderId="58" xfId="0" applyFont="1" applyFill="1" applyBorder="1" applyAlignment="1">
      <alignment horizontal="left" vertical="center" wrapText="1"/>
    </xf>
    <xf numFmtId="0" fontId="17" fillId="0" borderId="0" xfId="0" applyFont="1"/>
    <xf numFmtId="49" fontId="17" fillId="3" borderId="12" xfId="0" applyNumberFormat="1" applyFont="1" applyFill="1" applyBorder="1" applyAlignment="1">
      <alignment horizontal="center" vertical="center" wrapText="1"/>
    </xf>
    <xf numFmtId="1" fontId="0" fillId="3" borderId="12" xfId="0" applyNumberFormat="1" applyFill="1" applyBorder="1" applyAlignment="1">
      <alignment horizontal="center" vertical="center"/>
    </xf>
    <xf numFmtId="1" fontId="17" fillId="3" borderId="12" xfId="0" applyNumberFormat="1" applyFont="1" applyFill="1" applyBorder="1" applyAlignment="1">
      <alignment horizontal="center" vertical="center"/>
    </xf>
    <xf numFmtId="49" fontId="17" fillId="3" borderId="7"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wrapText="1"/>
    </xf>
    <xf numFmtId="4" fontId="17" fillId="3" borderId="7" xfId="0" applyNumberFormat="1" applyFont="1" applyFill="1" applyBorder="1" applyAlignment="1">
      <alignment horizontal="center" vertical="center" wrapText="1"/>
    </xf>
    <xf numFmtId="3" fontId="17" fillId="3" borderId="13" xfId="0" applyNumberFormat="1" applyFont="1" applyFill="1" applyBorder="1" applyAlignment="1">
      <alignment horizontal="center" vertical="center" wrapText="1"/>
    </xf>
    <xf numFmtId="49" fontId="17" fillId="3" borderId="13" xfId="0" applyNumberFormat="1" applyFont="1" applyFill="1" applyBorder="1" applyAlignment="1">
      <alignment horizontal="center" vertical="center" wrapText="1"/>
    </xf>
    <xf numFmtId="4" fontId="17" fillId="3" borderId="1" xfId="0" applyNumberFormat="1" applyFont="1" applyFill="1" applyBorder="1" applyAlignment="1">
      <alignment horizontal="center" vertical="center" wrapText="1"/>
    </xf>
    <xf numFmtId="3" fontId="14" fillId="3" borderId="12" xfId="0" applyNumberFormat="1" applyFont="1" applyFill="1" applyBorder="1" applyAlignment="1">
      <alignment horizontal="center" vertical="center" wrapText="1"/>
    </xf>
    <xf numFmtId="0" fontId="60" fillId="0" borderId="0" xfId="0" applyFont="1"/>
    <xf numFmtId="0" fontId="61" fillId="0" borderId="0" xfId="0" applyFont="1"/>
    <xf numFmtId="3" fontId="62" fillId="0" borderId="0" xfId="0" applyNumberFormat="1" applyFont="1"/>
    <xf numFmtId="3" fontId="60" fillId="0" borderId="0" xfId="0" applyNumberFormat="1" applyFont="1"/>
    <xf numFmtId="3" fontId="13" fillId="0" borderId="0" xfId="0" applyNumberFormat="1" applyFont="1"/>
    <xf numFmtId="0" fontId="62" fillId="0" borderId="56" xfId="0" applyFont="1" applyBorder="1" applyAlignment="1">
      <alignment horizontal="center" vertical="center" wrapText="1"/>
    </xf>
    <xf numFmtId="1" fontId="60" fillId="3" borderId="1" xfId="0" applyNumberFormat="1" applyFont="1" applyFill="1" applyBorder="1" applyAlignment="1">
      <alignment horizontal="center" vertical="center"/>
    </xf>
    <xf numFmtId="1" fontId="60" fillId="3" borderId="1" xfId="0" applyNumberFormat="1" applyFont="1" applyFill="1" applyBorder="1" applyAlignment="1">
      <alignment horizontal="center" vertical="center" wrapText="1"/>
    </xf>
    <xf numFmtId="49" fontId="60" fillId="3" borderId="12" xfId="0" applyNumberFormat="1"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4" fillId="0" borderId="28"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xf numFmtId="0" fontId="4" fillId="0" borderId="13" xfId="0" applyFont="1" applyBorder="1"/>
    <xf numFmtId="0" fontId="4" fillId="0" borderId="10" xfId="0" applyFont="1" applyBorder="1"/>
    <xf numFmtId="4" fontId="4" fillId="5" borderId="1" xfId="0" applyNumberFormat="1" applyFont="1" applyFill="1" applyBorder="1"/>
    <xf numFmtId="4" fontId="4" fillId="0" borderId="1" xfId="0" applyNumberFormat="1" applyFont="1" applyBorder="1"/>
    <xf numFmtId="0" fontId="4" fillId="0" borderId="0" xfId="0" applyFont="1"/>
    <xf numFmtId="49" fontId="4" fillId="3" borderId="12" xfId="0" applyNumberFormat="1" applyFont="1" applyFill="1" applyBorder="1" applyAlignment="1">
      <alignment horizontal="center" vertical="center" wrapText="1"/>
    </xf>
    <xf numFmtId="3" fontId="4" fillId="0" borderId="0" xfId="0" applyNumberFormat="1" applyFont="1"/>
    <xf numFmtId="1" fontId="4"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wrapText="1"/>
    </xf>
    <xf numFmtId="1" fontId="4" fillId="3" borderId="12" xfId="0" applyNumberFormat="1" applyFont="1" applyFill="1" applyBorder="1" applyAlignment="1">
      <alignment horizontal="center" vertical="center"/>
    </xf>
    <xf numFmtId="49" fontId="17" fillId="0" borderId="1" xfId="0" applyNumberFormat="1" applyFont="1" applyBorder="1" applyAlignment="1">
      <alignment horizontal="center" vertical="center"/>
    </xf>
    <xf numFmtId="3" fontId="0" fillId="3" borderId="18" xfId="0" applyNumberFormat="1" applyFill="1" applyBorder="1" applyAlignment="1">
      <alignment horizontal="center" vertical="center"/>
    </xf>
    <xf numFmtId="3" fontId="17" fillId="3" borderId="12" xfId="0" applyNumberFormat="1"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2" fontId="2" fillId="3" borderId="9" xfId="0" applyNumberFormat="1" applyFont="1" applyFill="1" applyBorder="1" applyAlignment="1">
      <alignment horizontal="center" vertical="center" wrapText="1"/>
    </xf>
    <xf numFmtId="2" fontId="14" fillId="3" borderId="9" xfId="0" applyNumberFormat="1" applyFont="1" applyFill="1" applyBorder="1" applyAlignment="1">
      <alignment horizontal="center" vertical="center"/>
    </xf>
    <xf numFmtId="49" fontId="17" fillId="0" borderId="12" xfId="0" applyNumberFormat="1" applyFont="1" applyBorder="1" applyAlignment="1">
      <alignment horizontal="center" vertical="center" wrapText="1"/>
    </xf>
    <xf numFmtId="49" fontId="17" fillId="0" borderId="7" xfId="0" applyNumberFormat="1" applyFont="1" applyBorder="1" applyAlignment="1">
      <alignment horizontal="center" vertical="center"/>
    </xf>
    <xf numFmtId="49" fontId="0" fillId="3" borderId="1" xfId="0" applyNumberFormat="1" applyFill="1" applyBorder="1" applyAlignment="1">
      <alignment horizontal="center" vertical="center" wrapText="1"/>
    </xf>
    <xf numFmtId="0" fontId="58" fillId="18" borderId="58" xfId="0" applyFont="1" applyFill="1" applyBorder="1" applyAlignment="1">
      <alignment vertical="top" wrapText="1"/>
    </xf>
    <xf numFmtId="1" fontId="17" fillId="3" borderId="12" xfId="0" applyNumberFormat="1" applyFont="1" applyFill="1" applyBorder="1" applyAlignment="1">
      <alignment horizontal="center" vertical="center" wrapText="1"/>
    </xf>
    <xf numFmtId="0" fontId="63" fillId="18" borderId="58" xfId="0" applyFont="1" applyFill="1" applyBorder="1" applyAlignment="1">
      <alignment vertical="center" wrapText="1"/>
    </xf>
    <xf numFmtId="0" fontId="65" fillId="18" borderId="60" xfId="0" applyFont="1" applyFill="1" applyBorder="1" applyAlignment="1">
      <alignment vertical="center" wrapText="1"/>
    </xf>
    <xf numFmtId="3" fontId="62" fillId="3" borderId="0" xfId="0" applyNumberFormat="1" applyFont="1" applyFill="1"/>
    <xf numFmtId="49" fontId="14" fillId="0" borderId="12" xfId="0" applyNumberFormat="1" applyFont="1" applyBorder="1" applyAlignment="1">
      <alignment horizontal="center" vertical="center" wrapText="1"/>
    </xf>
    <xf numFmtId="0" fontId="6" fillId="0" borderId="7" xfId="0" applyFont="1" applyBorder="1" applyAlignment="1">
      <alignment horizontal="center" vertical="top" wrapText="1"/>
    </xf>
    <xf numFmtId="0" fontId="6" fillId="0" borderId="12" xfId="0" applyFont="1" applyBorder="1" applyAlignment="1">
      <alignment horizontal="center" vertical="top" wrapText="1"/>
    </xf>
    <xf numFmtId="49" fontId="17" fillId="3" borderId="1" xfId="0" applyNumberFormat="1" applyFont="1" applyFill="1" applyBorder="1" applyAlignment="1">
      <alignment horizontal="center" vertical="center" wrapText="1"/>
    </xf>
    <xf numFmtId="49" fontId="17" fillId="3" borderId="12"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6" fillId="0" borderId="7" xfId="0" applyFont="1" applyBorder="1" applyAlignment="1">
      <alignment horizontal="center" vertical="top"/>
    </xf>
    <xf numFmtId="0" fontId="6" fillId="0" borderId="12" xfId="0" applyFont="1" applyBorder="1" applyAlignment="1">
      <alignment horizontal="center" vertical="top"/>
    </xf>
    <xf numFmtId="49" fontId="17" fillId="3" borderId="7" xfId="0" applyNumberFormat="1" applyFont="1" applyFill="1" applyBorder="1" applyAlignment="1">
      <alignment horizontal="center" vertical="center" wrapText="1"/>
    </xf>
    <xf numFmtId="0" fontId="6" fillId="0" borderId="6" xfId="0" applyFont="1" applyBorder="1" applyAlignment="1">
      <alignment horizontal="left" vertical="top" wrapText="1"/>
    </xf>
    <xf numFmtId="0" fontId="6" fillId="0" borderId="11" xfId="0" applyFont="1" applyBorder="1" applyAlignment="1">
      <alignment horizontal="left" vertical="top" wrapText="1"/>
    </xf>
    <xf numFmtId="0" fontId="62" fillId="0" borderId="7" xfId="0" applyFont="1" applyBorder="1" applyAlignment="1">
      <alignment horizontal="center" vertical="center" wrapText="1"/>
    </xf>
    <xf numFmtId="0" fontId="62" fillId="0" borderId="12" xfId="0" applyFont="1" applyBorder="1" applyAlignment="1">
      <alignment horizontal="center" vertical="center" wrapText="1"/>
    </xf>
    <xf numFmtId="3" fontId="17" fillId="3" borderId="1" xfId="0" applyNumberFormat="1" applyFont="1" applyFill="1" applyBorder="1" applyAlignment="1">
      <alignment horizontal="center" vertical="center"/>
    </xf>
    <xf numFmtId="3" fontId="3" fillId="3" borderId="7"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12" xfId="0" applyNumberFormat="1" applyFont="1" applyFill="1" applyBorder="1" applyAlignment="1">
      <alignment horizontal="center" vertical="center" wrapText="1"/>
    </xf>
    <xf numFmtId="49" fontId="17" fillId="3" borderId="6" xfId="0" applyNumberFormat="1" applyFont="1" applyFill="1" applyBorder="1" applyAlignment="1">
      <alignment horizontal="center" vertical="center" wrapText="1"/>
    </xf>
    <xf numFmtId="49" fontId="17" fillId="3" borderId="9" xfId="0" applyNumberFormat="1" applyFont="1" applyFill="1" applyBorder="1" applyAlignment="1">
      <alignment horizontal="center" vertical="center" wrapText="1"/>
    </xf>
    <xf numFmtId="49" fontId="17" fillId="3" borderId="11" xfId="0" applyNumberFormat="1" applyFont="1" applyFill="1" applyBorder="1" applyAlignment="1">
      <alignment horizontal="center" vertical="center" wrapText="1"/>
    </xf>
    <xf numFmtId="3" fontId="17" fillId="3" borderId="12" xfId="0" applyNumberFormat="1" applyFont="1" applyFill="1" applyBorder="1" applyAlignment="1">
      <alignment horizontal="center" vertical="center"/>
    </xf>
    <xf numFmtId="3" fontId="13"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3" fontId="13" fillId="3" borderId="7" xfId="0" applyNumberFormat="1" applyFont="1" applyFill="1" applyBorder="1" applyAlignment="1">
      <alignment horizontal="center" vertical="center"/>
    </xf>
    <xf numFmtId="49" fontId="6" fillId="3" borderId="7"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3" fontId="13" fillId="3" borderId="12"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wrapText="1"/>
    </xf>
    <xf numFmtId="0" fontId="0" fillId="12" borderId="25" xfId="0" applyFill="1" applyBorder="1" applyAlignment="1">
      <alignment horizontal="center" vertical="center"/>
    </xf>
    <xf numFmtId="0" fontId="0" fillId="12" borderId="21" xfId="0" applyFill="1" applyBorder="1" applyAlignment="1">
      <alignment horizontal="center" vertical="center"/>
    </xf>
    <xf numFmtId="0" fontId="0" fillId="12" borderId="27" xfId="0" applyFill="1" applyBorder="1" applyAlignment="1">
      <alignment horizontal="center" vertical="center"/>
    </xf>
    <xf numFmtId="0" fontId="0" fillId="17" borderId="6" xfId="0" applyFill="1" applyBorder="1" applyAlignment="1">
      <alignment horizontal="center" vertical="center" wrapText="1"/>
    </xf>
    <xf numFmtId="0" fontId="0" fillId="17" borderId="11" xfId="0" applyFill="1" applyBorder="1" applyAlignment="1">
      <alignment horizontal="center" vertical="center" wrapText="1"/>
    </xf>
    <xf numFmtId="0" fontId="48" fillId="17" borderId="7" xfId="0" applyFont="1" applyFill="1" applyBorder="1" applyAlignment="1">
      <alignment horizontal="center" vertical="center" wrapText="1"/>
    </xf>
    <xf numFmtId="0" fontId="48" fillId="0" borderId="12" xfId="0" applyFont="1" applyBorder="1" applyAlignment="1">
      <alignment horizontal="center" vertical="center" wrapText="1"/>
    </xf>
    <xf numFmtId="0" fontId="41" fillId="0" borderId="41" xfId="0" applyFont="1" applyBorder="1" applyAlignment="1">
      <alignment vertical="center" wrapText="1"/>
    </xf>
    <xf numFmtId="0" fontId="0" fillId="16" borderId="9" xfId="0" applyFill="1" applyBorder="1" applyAlignment="1">
      <alignment horizontal="center" vertical="center"/>
    </xf>
    <xf numFmtId="0" fontId="48" fillId="16" borderId="1" xfId="0" applyFont="1" applyFill="1" applyBorder="1" applyAlignment="1">
      <alignment horizontal="center" vertical="center" wrapText="1"/>
    </xf>
    <xf numFmtId="0" fontId="42" fillId="12" borderId="8" xfId="0" applyFont="1" applyFill="1" applyBorder="1" applyAlignment="1">
      <alignment horizontal="center" vertical="center"/>
    </xf>
    <xf numFmtId="0" fontId="42" fillId="12" borderId="5" xfId="0" applyFont="1" applyFill="1" applyBorder="1" applyAlignment="1">
      <alignment horizontal="center" vertical="center"/>
    </xf>
    <xf numFmtId="0" fontId="42" fillId="12" borderId="25" xfId="0" applyFont="1" applyFill="1" applyBorder="1" applyAlignment="1">
      <alignment horizontal="center" vertical="center"/>
    </xf>
    <xf numFmtId="0" fontId="42" fillId="12" borderId="21" xfId="0" applyFont="1" applyFill="1" applyBorder="1" applyAlignment="1">
      <alignment horizontal="center" vertical="center"/>
    </xf>
    <xf numFmtId="0" fontId="42" fillId="12" borderId="27" xfId="0" applyFont="1" applyFill="1" applyBorder="1" applyAlignment="1">
      <alignment horizontal="center" vertical="center"/>
    </xf>
    <xf numFmtId="0" fontId="48" fillId="12" borderId="30" xfId="0" applyFont="1" applyFill="1" applyBorder="1" applyAlignment="1">
      <alignment horizontal="center" vertical="center" wrapText="1"/>
    </xf>
    <xf numFmtId="0" fontId="48" fillId="12" borderId="23" xfId="0" applyFont="1" applyFill="1" applyBorder="1" applyAlignment="1">
      <alignment horizontal="center" vertical="center" wrapText="1"/>
    </xf>
    <xf numFmtId="0" fontId="48" fillId="12" borderId="43" xfId="0" applyFont="1" applyFill="1" applyBorder="1" applyAlignment="1">
      <alignment horizontal="center" vertical="center" wrapText="1"/>
    </xf>
    <xf numFmtId="0" fontId="0" fillId="11" borderId="6" xfId="0" applyFill="1" applyBorder="1" applyAlignment="1">
      <alignment horizontal="center" vertical="center"/>
    </xf>
    <xf numFmtId="0" fontId="0" fillId="11" borderId="9" xfId="0" applyFill="1" applyBorder="1" applyAlignment="1">
      <alignment horizontal="center" vertical="center"/>
    </xf>
    <xf numFmtId="0" fontId="48" fillId="11" borderId="30" xfId="0" applyFont="1" applyFill="1" applyBorder="1" applyAlignment="1">
      <alignment horizontal="center" vertical="center" wrapText="1"/>
    </xf>
    <xf numFmtId="0" fontId="48" fillId="11" borderId="23" xfId="0" applyFont="1" applyFill="1" applyBorder="1" applyAlignment="1">
      <alignment horizontal="center" vertical="center" wrapText="1"/>
    </xf>
    <xf numFmtId="0" fontId="48" fillId="11" borderId="32" xfId="0" applyFont="1" applyFill="1" applyBorder="1" applyAlignment="1">
      <alignment horizontal="center" vertical="center" wrapText="1"/>
    </xf>
    <xf numFmtId="0" fontId="42" fillId="13" borderId="2" xfId="0" applyFont="1" applyFill="1" applyBorder="1" applyAlignment="1">
      <alignment horizontal="center" vertical="center"/>
    </xf>
    <xf numFmtId="0" fontId="42" fillId="13" borderId="5" xfId="0" applyFont="1" applyFill="1" applyBorder="1" applyAlignment="1">
      <alignment horizontal="center" vertical="center"/>
    </xf>
    <xf numFmtId="49" fontId="42" fillId="13" borderId="2" xfId="0" applyNumberFormat="1" applyFont="1" applyFill="1" applyBorder="1" applyAlignment="1">
      <alignment horizontal="center" vertical="center"/>
    </xf>
    <xf numFmtId="49" fontId="42" fillId="13" borderId="5" xfId="0" applyNumberFormat="1" applyFont="1" applyFill="1" applyBorder="1" applyAlignment="1">
      <alignment horizontal="center" vertical="center"/>
    </xf>
    <xf numFmtId="3" fontId="42" fillId="13" borderId="20" xfId="0" applyNumberFormat="1" applyFont="1" applyFill="1" applyBorder="1" applyAlignment="1">
      <alignment horizontal="center" vertical="center"/>
    </xf>
    <xf numFmtId="0" fontId="42" fillId="13" borderId="43" xfId="0" applyFont="1" applyFill="1" applyBorder="1" applyAlignment="1">
      <alignment horizontal="center" vertical="center"/>
    </xf>
    <xf numFmtId="0" fontId="0" fillId="15" borderId="15" xfId="0" applyFill="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48" fillId="15" borderId="14" xfId="0" applyFont="1" applyFill="1" applyBorder="1" applyAlignment="1">
      <alignment horizontal="center" vertical="center" wrapText="1"/>
    </xf>
    <xf numFmtId="0" fontId="0" fillId="15" borderId="19" xfId="0" applyFill="1" applyBorder="1" applyAlignment="1">
      <alignment horizontal="center" vertical="center" wrapText="1"/>
    </xf>
    <xf numFmtId="0" fontId="0" fillId="15" borderId="31" xfId="0" applyFill="1" applyBorder="1" applyAlignment="1">
      <alignment horizontal="center" vertical="center" wrapText="1"/>
    </xf>
    <xf numFmtId="0" fontId="0" fillId="13" borderId="2" xfId="0" applyFill="1" applyBorder="1" applyAlignment="1">
      <alignment horizontal="center" vertical="center"/>
    </xf>
    <xf numFmtId="0" fontId="0" fillId="13" borderId="13" xfId="0" applyFill="1" applyBorder="1" applyAlignment="1">
      <alignment horizontal="center" vertical="center"/>
    </xf>
    <xf numFmtId="0" fontId="48" fillId="14" borderId="30" xfId="0" applyFont="1" applyFill="1" applyBorder="1" applyAlignment="1">
      <alignment horizontal="center" vertical="center" wrapText="1"/>
    </xf>
    <xf numFmtId="0" fontId="48" fillId="14" borderId="32" xfId="0" applyFont="1" applyFill="1" applyBorder="1" applyAlignment="1">
      <alignment horizontal="center" vertical="center" wrapText="1"/>
    </xf>
    <xf numFmtId="0" fontId="48" fillId="13" borderId="20" xfId="0" applyFont="1" applyFill="1" applyBorder="1" applyAlignment="1">
      <alignment horizontal="center" vertical="center" wrapText="1"/>
    </xf>
    <xf numFmtId="0" fontId="48" fillId="13" borderId="32" xfId="0" applyFont="1" applyFill="1" applyBorder="1" applyAlignment="1">
      <alignment horizontal="center" vertical="center" wrapText="1"/>
    </xf>
    <xf numFmtId="0" fontId="43" fillId="0" borderId="3" xfId="0" applyFont="1" applyBorder="1" applyAlignment="1">
      <alignment horizontal="left" vertical="center"/>
    </xf>
    <xf numFmtId="0" fontId="0" fillId="0" borderId="41" xfId="0" applyBorder="1" applyAlignment="1">
      <alignment horizontal="left" vertical="center"/>
    </xf>
    <xf numFmtId="0" fontId="0" fillId="0" borderId="4" xfId="0" applyBorder="1" applyAlignment="1">
      <alignment horizontal="left" vertical="center"/>
    </xf>
    <xf numFmtId="0" fontId="42" fillId="12" borderId="10" xfId="0" applyFont="1" applyFill="1" applyBorder="1" applyAlignment="1">
      <alignment horizontal="center" vertical="center"/>
    </xf>
    <xf numFmtId="49" fontId="42" fillId="12" borderId="2" xfId="0" applyNumberFormat="1" applyFont="1" applyFill="1" applyBorder="1" applyAlignment="1">
      <alignment horizontal="center" vertical="center"/>
    </xf>
    <xf numFmtId="49" fontId="42" fillId="12" borderId="13" xfId="0" applyNumberFormat="1" applyFont="1" applyFill="1" applyBorder="1" applyAlignment="1">
      <alignment horizontal="center" vertical="center"/>
    </xf>
    <xf numFmtId="49" fontId="42" fillId="12" borderId="1" xfId="0" applyNumberFormat="1" applyFont="1" applyFill="1" applyBorder="1" applyAlignment="1">
      <alignment horizontal="center" vertical="center"/>
    </xf>
    <xf numFmtId="3" fontId="50" fillId="0" borderId="33" xfId="0" applyNumberFormat="1" applyFont="1" applyBorder="1" applyAlignment="1">
      <alignment horizontal="center" vertical="center"/>
    </xf>
    <xf numFmtId="3" fontId="50" fillId="0" borderId="0" xfId="0" applyNumberFormat="1" applyFont="1" applyAlignment="1">
      <alignment horizontal="center" vertical="center"/>
    </xf>
    <xf numFmtId="0" fontId="43" fillId="0" borderId="3" xfId="0" applyFont="1" applyBorder="1" applyAlignment="1">
      <alignment horizontal="left" vertical="center" wrapText="1"/>
    </xf>
    <xf numFmtId="0" fontId="0" fillId="0" borderId="41" xfId="0" applyBorder="1" applyAlignment="1">
      <alignment horizontal="left" vertical="center" wrapText="1"/>
    </xf>
    <xf numFmtId="0" fontId="0" fillId="0" borderId="4" xfId="0" applyBorder="1" applyAlignment="1">
      <alignment horizontal="left" vertical="center" wrapText="1"/>
    </xf>
    <xf numFmtId="4" fontId="44" fillId="0" borderId="48" xfId="0" applyNumberFormat="1" applyFont="1" applyBorder="1" applyAlignment="1">
      <alignment horizontal="center" vertical="center" wrapText="1"/>
    </xf>
    <xf numFmtId="4" fontId="44" fillId="0" borderId="47" xfId="0" applyNumberFormat="1" applyFont="1" applyBorder="1" applyAlignment="1">
      <alignment horizontal="center" vertical="center" wrapText="1"/>
    </xf>
    <xf numFmtId="4" fontId="44" fillId="0" borderId="45" xfId="0" applyNumberFormat="1" applyFont="1" applyBorder="1" applyAlignment="1">
      <alignment horizontal="center" vertical="center" wrapText="1"/>
    </xf>
    <xf numFmtId="0" fontId="41" fillId="0" borderId="50" xfId="0" applyFont="1" applyBorder="1" applyAlignment="1">
      <alignment horizontal="left" vertical="center" wrapText="1"/>
    </xf>
    <xf numFmtId="0" fontId="41" fillId="0" borderId="51" xfId="0" applyFont="1" applyBorder="1" applyAlignment="1">
      <alignment horizontal="left" vertical="center" wrapText="1"/>
    </xf>
    <xf numFmtId="0" fontId="41" fillId="0" borderId="4" xfId="0" applyFont="1" applyBorder="1" applyAlignment="1">
      <alignment horizontal="left" wrapText="1"/>
    </xf>
    <xf numFmtId="0" fontId="42" fillId="13" borderId="15" xfId="0" applyFont="1" applyFill="1" applyBorder="1" applyAlignment="1">
      <alignment horizontal="center" vertical="center"/>
    </xf>
    <xf numFmtId="0" fontId="42" fillId="13" borderId="27" xfId="0" applyFont="1" applyFill="1" applyBorder="1" applyAlignment="1">
      <alignment horizontal="center" vertical="center"/>
    </xf>
    <xf numFmtId="0" fontId="42" fillId="13" borderId="2" xfId="0" applyFont="1" applyFill="1" applyBorder="1" applyAlignment="1">
      <alignment horizontal="center" vertical="center" wrapText="1"/>
    </xf>
    <xf numFmtId="0" fontId="42" fillId="13" borderId="5" xfId="0" applyFont="1" applyFill="1" applyBorder="1" applyAlignment="1">
      <alignment horizontal="center" vertical="center" wrapText="1"/>
    </xf>
    <xf numFmtId="0" fontId="41" fillId="0" borderId="4" xfId="0" applyFont="1" applyBorder="1" applyAlignment="1">
      <alignment horizontal="left" vertical="center" wrapText="1"/>
    </xf>
    <xf numFmtId="3" fontId="49" fillId="0" borderId="33" xfId="0" applyNumberFormat="1" applyFont="1" applyBorder="1" applyAlignment="1">
      <alignment horizontal="center" vertical="center" wrapText="1"/>
    </xf>
    <xf numFmtId="14" fontId="0" fillId="0" borderId="33" xfId="0" applyNumberFormat="1" applyBorder="1" applyAlignment="1">
      <alignment horizontal="center"/>
    </xf>
    <xf numFmtId="0" fontId="0" fillId="0" borderId="0" xfId="0" applyAlignment="1">
      <alignment horizontal="center"/>
    </xf>
    <xf numFmtId="14" fontId="17" fillId="0" borderId="33" xfId="0" applyNumberFormat="1" applyFont="1" applyBorder="1" applyAlignment="1">
      <alignment horizontal="center" vertical="center"/>
    </xf>
    <xf numFmtId="0" fontId="17" fillId="0" borderId="0" xfId="0" applyFont="1" applyAlignment="1">
      <alignment horizontal="center" vertical="center"/>
    </xf>
    <xf numFmtId="4" fontId="0" fillId="0" borderId="25" xfId="0" applyNumberFormat="1" applyBorder="1" applyAlignment="1">
      <alignment horizontal="center" vertical="center" wrapText="1"/>
    </xf>
    <xf numFmtId="4" fontId="0" fillId="0" borderId="26" xfId="0" applyNumberFormat="1" applyBorder="1" applyAlignment="1">
      <alignment horizontal="center" vertical="center" wrapText="1"/>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49" fontId="0" fillId="0" borderId="35"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42" xfId="0" applyNumberFormat="1" applyBorder="1" applyAlignment="1">
      <alignment horizontal="center" vertical="center" wrapText="1"/>
    </xf>
    <xf numFmtId="4" fontId="0" fillId="0" borderId="8" xfId="0" applyNumberFormat="1" applyBorder="1" applyAlignment="1">
      <alignment horizontal="center" vertical="center"/>
    </xf>
    <xf numFmtId="4" fontId="0" fillId="0" borderId="13" xfId="0" applyNumberFormat="1" applyBorder="1" applyAlignment="1">
      <alignment horizontal="center" vertical="center"/>
    </xf>
    <xf numFmtId="49" fontId="0" fillId="0" borderId="8"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5"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13" xfId="0" applyNumberFormat="1" applyBorder="1" applyAlignment="1">
      <alignment horizontal="center" vertical="center" wrapText="1"/>
    </xf>
    <xf numFmtId="4" fontId="17" fillId="0" borderId="8" xfId="0" applyNumberFormat="1" applyFont="1" applyBorder="1" applyAlignment="1">
      <alignment horizontal="center" vertical="center"/>
    </xf>
    <xf numFmtId="4" fontId="17" fillId="0" borderId="13" xfId="0" applyNumberFormat="1" applyFont="1" applyBorder="1" applyAlignment="1">
      <alignment horizontal="center" vertical="center"/>
    </xf>
    <xf numFmtId="4" fontId="29" fillId="0" borderId="10" xfId="0" applyNumberFormat="1" applyFont="1" applyBorder="1" applyAlignment="1">
      <alignment horizontal="center" vertical="center"/>
    </xf>
    <xf numFmtId="4" fontId="29" fillId="0" borderId="5" xfId="0" applyNumberFormat="1" applyFont="1" applyBorder="1" applyAlignment="1">
      <alignment horizontal="center" vertical="center"/>
    </xf>
    <xf numFmtId="4" fontId="0" fillId="0" borderId="2" xfId="0" applyNumberFormat="1" applyBorder="1" applyAlignment="1">
      <alignment horizontal="center" vertical="center" wrapText="1"/>
    </xf>
    <xf numFmtId="4" fontId="0" fillId="0" borderId="5" xfId="0" applyNumberFormat="1" applyBorder="1" applyAlignment="1">
      <alignment horizontal="center" vertical="center" wrapText="1"/>
    </xf>
    <xf numFmtId="4" fontId="0" fillId="0" borderId="2" xfId="0" applyNumberFormat="1" applyBorder="1" applyAlignment="1">
      <alignment horizontal="center" vertical="center"/>
    </xf>
    <xf numFmtId="4" fontId="0" fillId="0" borderId="5" xfId="0" applyNumberFormat="1" applyBorder="1" applyAlignment="1">
      <alignment horizontal="center" vertical="center"/>
    </xf>
    <xf numFmtId="4" fontId="0" fillId="0" borderId="21" xfId="0" applyNumberFormat="1" applyBorder="1" applyAlignment="1">
      <alignment horizontal="center" vertical="center" wrapText="1"/>
    </xf>
    <xf numFmtId="4" fontId="0" fillId="0" borderId="27" xfId="0" applyNumberFormat="1"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4" fontId="0" fillId="0" borderId="12"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5" xfId="0" applyFont="1" applyBorder="1" applyAlignment="1">
      <alignment horizontal="center" vertical="center" wrapText="1"/>
    </xf>
    <xf numFmtId="0" fontId="19" fillId="7" borderId="8"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5" xfId="0" applyFont="1" applyFill="1" applyBorder="1" applyAlignment="1">
      <alignment horizontal="center" vertical="center" wrapText="1"/>
    </xf>
    <xf numFmtId="49" fontId="0" fillId="0" borderId="13" xfId="0" applyNumberFormat="1" applyBorder="1" applyAlignment="1">
      <alignment horizontal="center" vertical="center" wrapText="1"/>
    </xf>
    <xf numFmtId="49" fontId="0" fillId="0" borderId="2" xfId="0" applyNumberFormat="1" applyBorder="1" applyAlignment="1">
      <alignment horizontal="center" vertical="center" wrapText="1"/>
    </xf>
    <xf numFmtId="4" fontId="0" fillId="0" borderId="7" xfId="0" applyNumberFormat="1" applyBorder="1" applyAlignment="1">
      <alignment horizontal="center" vertical="center"/>
    </xf>
    <xf numFmtId="0" fontId="0" fillId="0" borderId="1" xfId="0" applyBorder="1" applyAlignment="1">
      <alignment horizontal="center" vertical="center"/>
    </xf>
    <xf numFmtId="49" fontId="0" fillId="0" borderId="7" xfId="0" applyNumberFormat="1" applyBorder="1" applyAlignment="1">
      <alignment horizontal="center" vertical="center" wrapText="1"/>
    </xf>
    <xf numFmtId="49" fontId="17" fillId="0" borderId="7" xfId="0" applyNumberFormat="1" applyFont="1" applyBorder="1" applyAlignment="1">
      <alignment horizontal="center" vertical="center" wrapText="1"/>
    </xf>
    <xf numFmtId="0" fontId="0" fillId="0" borderId="13" xfId="0" applyBorder="1" applyAlignment="1">
      <alignment horizontal="center" vertical="center" wrapText="1"/>
    </xf>
    <xf numFmtId="49" fontId="17" fillId="7" borderId="10" xfId="0" applyNumberFormat="1" applyFont="1" applyFill="1" applyBorder="1" applyAlignment="1">
      <alignment horizontal="center" vertical="center" wrapText="1"/>
    </xf>
    <xf numFmtId="49" fontId="17" fillId="7" borderId="5"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17" fillId="7" borderId="1" xfId="0" applyNumberFormat="1" applyFont="1" applyFill="1" applyBorder="1" applyAlignment="1">
      <alignment horizontal="center" vertical="center" wrapText="1"/>
    </xf>
    <xf numFmtId="49" fontId="17" fillId="7" borderId="12" xfId="0" applyNumberFormat="1" applyFont="1" applyFill="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0" fillId="0" borderId="33" xfId="0" applyBorder="1" applyAlignment="1">
      <alignment horizontal="center" vertical="center" wrapText="1"/>
    </xf>
    <xf numFmtId="0" fontId="0" fillId="3" borderId="1" xfId="0" applyFill="1" applyBorder="1" applyAlignment="1">
      <alignment horizontal="center" vertical="center" wrapText="1"/>
    </xf>
    <xf numFmtId="164" fontId="0" fillId="0" borderId="1" xfId="0" applyNumberFormat="1" applyBorder="1" applyAlignment="1">
      <alignment horizontal="center" vertical="center" wrapText="1"/>
    </xf>
    <xf numFmtId="0" fontId="23" fillId="0" borderId="1" xfId="0" applyFont="1"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164" fontId="0" fillId="0" borderId="2" xfId="0" applyNumberFormat="1" applyBorder="1" applyAlignment="1">
      <alignment horizontal="center" vertical="center"/>
    </xf>
    <xf numFmtId="164" fontId="0" fillId="0" borderId="5" xfId="0" applyNumberFormat="1" applyBorder="1" applyAlignment="1">
      <alignment horizontal="center" vertical="center"/>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23" fillId="0" borderId="14" xfId="0" applyFont="1" applyBorder="1" applyAlignment="1">
      <alignment horizontal="center" vertical="center"/>
    </xf>
    <xf numFmtId="0" fontId="23" fillId="0" borderId="36" xfId="0" applyFont="1" applyBorder="1" applyAlignment="1">
      <alignment horizontal="center" vertical="center"/>
    </xf>
    <xf numFmtId="0" fontId="17" fillId="0" borderId="13" xfId="0" applyFont="1" applyBorder="1" applyAlignment="1">
      <alignment horizontal="center" vertical="center" wrapText="1"/>
    </xf>
    <xf numFmtId="4" fontId="0" fillId="0" borderId="10" xfId="0" applyNumberFormat="1" applyBorder="1" applyAlignment="1">
      <alignment horizontal="center" vertical="center" wrapText="1"/>
    </xf>
    <xf numFmtId="0" fontId="0" fillId="0" borderId="20" xfId="0" applyBorder="1" applyAlignment="1">
      <alignment wrapText="1"/>
    </xf>
    <xf numFmtId="0" fontId="0" fillId="0" borderId="23" xfId="0" applyBorder="1" applyAlignment="1">
      <alignment wrapText="1"/>
    </xf>
    <xf numFmtId="0" fontId="0" fillId="0" borderId="43" xfId="0" applyBorder="1" applyAlignment="1">
      <alignment wrapText="1"/>
    </xf>
    <xf numFmtId="0" fontId="4" fillId="0" borderId="21" xfId="0" applyFont="1" applyBorder="1" applyAlignment="1">
      <alignment horizontal="center" vertical="center" wrapText="1"/>
    </xf>
    <xf numFmtId="0" fontId="4" fillId="0" borderId="26" xfId="0" applyFont="1" applyBorder="1" applyAlignment="1">
      <alignment horizontal="center" vertical="center" wrapText="1"/>
    </xf>
    <xf numFmtId="0" fontId="17" fillId="3" borderId="1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0" borderId="13" xfId="0" applyFont="1" applyBorder="1" applyAlignment="1">
      <alignment horizontal="center" vertical="center"/>
    </xf>
    <xf numFmtId="0" fontId="17" fillId="0" borderId="1" xfId="0" applyFont="1" applyBorder="1" applyAlignment="1">
      <alignment horizontal="center" vertical="center"/>
    </xf>
    <xf numFmtId="0" fontId="17" fillId="3" borderId="2" xfId="0" applyFont="1" applyFill="1" applyBorder="1" applyAlignment="1">
      <alignment horizontal="center" vertical="center" wrapText="1"/>
    </xf>
    <xf numFmtId="164" fontId="17" fillId="0" borderId="2" xfId="0" applyNumberFormat="1" applyFont="1" applyBorder="1" applyAlignment="1">
      <alignment horizontal="center" vertical="center" wrapText="1"/>
    </xf>
    <xf numFmtId="0" fontId="17" fillId="0" borderId="31" xfId="0" applyFont="1" applyBorder="1" applyAlignment="1">
      <alignment horizontal="center" vertical="center"/>
    </xf>
    <xf numFmtId="0" fontId="17" fillId="0" borderId="3" xfId="0" applyFont="1" applyBorder="1" applyAlignment="1">
      <alignment horizontal="center" vertical="center"/>
    </xf>
    <xf numFmtId="0" fontId="17" fillId="0" borderId="14" xfId="0" applyFont="1" applyBorder="1" applyAlignment="1">
      <alignment horizontal="center" vertical="center"/>
    </xf>
    <xf numFmtId="0" fontId="22" fillId="0" borderId="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10" xfId="0" applyFont="1" applyBorder="1" applyAlignment="1">
      <alignment horizontal="center" vertical="center"/>
    </xf>
    <xf numFmtId="0" fontId="22" fillId="0" borderId="5" xfId="0" applyFont="1"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7" xfId="0" applyFont="1" applyBorder="1" applyAlignment="1">
      <alignment horizontal="center" vertical="center" wrapText="1"/>
    </xf>
    <xf numFmtId="164" fontId="0" fillId="0" borderId="30"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0" fillId="0" borderId="32" xfId="0" applyNumberFormat="1" applyBorder="1" applyAlignment="1">
      <alignment horizontal="center" vertical="center" wrapText="1"/>
    </xf>
    <xf numFmtId="0" fontId="0" fillId="3" borderId="25"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6" xfId="0" applyFill="1" applyBorder="1" applyAlignment="1">
      <alignment horizontal="center" vertical="center" wrapText="1"/>
    </xf>
    <xf numFmtId="164" fontId="0" fillId="0" borderId="8"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13" xfId="0" applyNumberFormat="1" applyBorder="1" applyAlignment="1">
      <alignment horizontal="center" vertical="center" wrapText="1"/>
    </xf>
    <xf numFmtId="0" fontId="0" fillId="0" borderId="30"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wrapText="1"/>
    </xf>
    <xf numFmtId="0" fontId="19" fillId="0" borderId="2" xfId="0" applyFont="1" applyBorder="1" applyAlignment="1">
      <alignment horizontal="center" vertical="center" wrapText="1"/>
    </xf>
    <xf numFmtId="0" fontId="0" fillId="3" borderId="29"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9" xfId="0" applyFill="1" applyBorder="1" applyAlignment="1">
      <alignment horizontal="center" vertical="center" wrapText="1"/>
    </xf>
    <xf numFmtId="164" fontId="0" fillId="0" borderId="7" xfId="0" applyNumberFormat="1" applyBorder="1" applyAlignment="1">
      <alignment horizontal="center" vertical="center" wrapText="1"/>
    </xf>
    <xf numFmtId="164" fontId="0" fillId="0" borderId="12" xfId="0" applyNumberForma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wrapText="1"/>
    </xf>
    <xf numFmtId="0" fontId="0" fillId="0" borderId="17" xfId="0" applyBorder="1" applyAlignment="1">
      <alignment wrapText="1"/>
    </xf>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9" fillId="0" borderId="7" xfId="0" applyFont="1" applyBorder="1" applyAlignment="1">
      <alignment horizontal="center" vertical="center" wrapText="1"/>
    </xf>
    <xf numFmtId="0" fontId="4"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0" borderId="0" xfId="0" applyFont="1" applyAlignment="1">
      <alignment horizontal="left"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13" xfId="0" applyFont="1" applyBorder="1" applyAlignment="1">
      <alignment horizontal="center" vertical="center" wrapText="1"/>
    </xf>
    <xf numFmtId="0" fontId="0" fillId="3" borderId="2" xfId="0" applyFill="1" applyBorder="1" applyAlignment="1">
      <alignment horizontal="center" vertical="center" wrapText="1"/>
    </xf>
    <xf numFmtId="164" fontId="0" fillId="0" borderId="2" xfId="0" applyNumberFormat="1" applyBorder="1" applyAlignment="1">
      <alignment horizontal="center" vertical="center" wrapText="1"/>
    </xf>
    <xf numFmtId="0" fontId="14" fillId="0" borderId="0" xfId="0" applyFont="1" applyAlignment="1">
      <alignment horizontal="left" vertical="top" wrapText="1"/>
    </xf>
    <xf numFmtId="164" fontId="0" fillId="0" borderId="6"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15" fillId="0" borderId="0" xfId="0" applyFont="1" applyAlignment="1">
      <alignment horizontal="left" vertical="top" wrapText="1"/>
    </xf>
    <xf numFmtId="0" fontId="6" fillId="0" borderId="8" xfId="0"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top"/>
    </xf>
    <xf numFmtId="0" fontId="6" fillId="0" borderId="10" xfId="0" applyFont="1" applyBorder="1" applyAlignment="1">
      <alignment horizontal="center" vertical="top"/>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34" xfId="0" applyBorder="1" applyAlignment="1">
      <alignment horizontal="center" vertical="center" wrapText="1"/>
    </xf>
    <xf numFmtId="0" fontId="6" fillId="0" borderId="2" xfId="0" applyFont="1" applyBorder="1" applyAlignment="1">
      <alignment horizontal="center" vertical="top" wrapText="1"/>
    </xf>
    <xf numFmtId="0" fontId="6" fillId="0" borderId="10" xfId="0" applyFont="1" applyBorder="1" applyAlignment="1">
      <alignment horizontal="center" vertical="top" wrapText="1"/>
    </xf>
    <xf numFmtId="0" fontId="6" fillId="0" borderId="2" xfId="0" applyFont="1" applyBorder="1" applyAlignment="1">
      <alignment horizontal="left" vertical="top"/>
    </xf>
    <xf numFmtId="0" fontId="6" fillId="0" borderId="10" xfId="0" applyFont="1" applyBorder="1" applyAlignment="1">
      <alignment horizontal="left" vertical="top"/>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0" borderId="1" xfId="0" applyFont="1" applyBorder="1" applyAlignment="1">
      <alignment horizontal="center" vertical="top"/>
    </xf>
    <xf numFmtId="0" fontId="6" fillId="0" borderId="4" xfId="0" applyFont="1" applyBorder="1" applyAlignment="1">
      <alignment horizontal="center" vertical="top"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2" xfId="0" applyFill="1" applyBorder="1" applyAlignment="1">
      <alignment horizontal="center" vertical="center" wrapText="1"/>
    </xf>
    <xf numFmtId="0" fontId="19" fillId="0" borderId="13" xfId="0" applyFont="1" applyBorder="1" applyAlignment="1">
      <alignment horizontal="center" vertical="center" wrapText="1"/>
    </xf>
    <xf numFmtId="2" fontId="30" fillId="0" borderId="1" xfId="0" applyNumberFormat="1" applyFont="1" applyBorder="1" applyAlignment="1">
      <alignment horizontal="left" vertical="center" wrapText="1"/>
    </xf>
    <xf numFmtId="0" fontId="22" fillId="6" borderId="8"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0" fillId="0" borderId="17" xfId="0" applyBorder="1" applyAlignment="1">
      <alignment horizontal="center"/>
    </xf>
    <xf numFmtId="0" fontId="0" fillId="0" borderId="20" xfId="0" applyBorder="1" applyAlignment="1">
      <alignment horizontal="center"/>
    </xf>
    <xf numFmtId="4" fontId="0" fillId="0" borderId="30" xfId="0" applyNumberFormat="1" applyBorder="1" applyAlignment="1">
      <alignment horizontal="center" vertical="center" wrapText="1"/>
    </xf>
    <xf numFmtId="0" fontId="0" fillId="0" borderId="23"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4" fontId="17" fillId="0" borderId="10" xfId="0" applyNumberFormat="1" applyFont="1" applyBorder="1" applyAlignment="1">
      <alignment horizontal="center" vertical="center"/>
    </xf>
    <xf numFmtId="4" fontId="17" fillId="0" borderId="5" xfId="0" applyNumberFormat="1" applyFont="1" applyBorder="1" applyAlignment="1">
      <alignment horizontal="center" vertical="center"/>
    </xf>
    <xf numFmtId="4" fontId="0" fillId="9" borderId="10" xfId="0" applyNumberFormat="1" applyFill="1" applyBorder="1" applyAlignment="1">
      <alignment horizontal="center" vertical="center"/>
    </xf>
    <xf numFmtId="4" fontId="0" fillId="9" borderId="5" xfId="0" applyNumberFormat="1" applyFill="1" applyBorder="1" applyAlignment="1">
      <alignment horizontal="center" vertical="center"/>
    </xf>
    <xf numFmtId="49" fontId="17" fillId="9" borderId="2" xfId="0" applyNumberFormat="1" applyFont="1" applyFill="1" applyBorder="1" applyAlignment="1">
      <alignment horizontal="center" vertical="center" wrapText="1"/>
    </xf>
    <xf numFmtId="49" fontId="17" fillId="9" borderId="5" xfId="0" applyNumberFormat="1" applyFont="1"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5" xfId="0" applyNumberFormat="1" applyFill="1" applyBorder="1" applyAlignment="1">
      <alignment horizontal="center" vertical="center" wrapText="1"/>
    </xf>
    <xf numFmtId="4" fontId="0" fillId="9" borderId="2" xfId="0" applyNumberFormat="1" applyFill="1" applyBorder="1" applyAlignment="1">
      <alignment horizontal="center" vertical="center"/>
    </xf>
    <xf numFmtId="4" fontId="0" fillId="0" borderId="10" xfId="0" applyNumberFormat="1" applyBorder="1" applyAlignment="1">
      <alignment horizontal="center" vertical="center"/>
    </xf>
    <xf numFmtId="49" fontId="0" fillId="0" borderId="25"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4" fillId="0" borderId="8" xfId="0" applyNumberFormat="1" applyFont="1" applyBorder="1" applyAlignment="1">
      <alignment horizontal="center" vertical="center" wrapText="1"/>
    </xf>
    <xf numFmtId="4" fontId="17" fillId="0" borderId="8" xfId="0" applyNumberFormat="1" applyFont="1" applyBorder="1" applyAlignment="1">
      <alignment horizontal="center" vertical="center" wrapText="1"/>
    </xf>
    <xf numFmtId="4" fontId="17" fillId="0" borderId="10" xfId="0" applyNumberFormat="1" applyFont="1" applyBorder="1" applyAlignment="1">
      <alignment horizontal="center" vertical="center" wrapText="1"/>
    </xf>
    <xf numFmtId="4" fontId="17" fillId="0" borderId="5" xfId="0" applyNumberFormat="1" applyFont="1" applyBorder="1" applyAlignment="1">
      <alignment horizontal="center" vertical="center" wrapText="1"/>
    </xf>
    <xf numFmtId="49" fontId="6" fillId="0" borderId="16" xfId="0" applyNumberFormat="1" applyFont="1" applyBorder="1" applyAlignment="1">
      <alignment horizontal="left" vertical="top" wrapText="1"/>
    </xf>
    <xf numFmtId="49" fontId="6" fillId="0" borderId="18" xfId="0" applyNumberFormat="1" applyFont="1" applyBorder="1" applyAlignment="1">
      <alignment horizontal="left" vertical="top" wrapText="1"/>
    </xf>
    <xf numFmtId="49" fontId="6" fillId="0" borderId="7" xfId="0" applyNumberFormat="1" applyFont="1" applyBorder="1" applyAlignment="1">
      <alignment horizontal="center" vertical="center" wrapText="1"/>
    </xf>
    <xf numFmtId="49" fontId="6" fillId="0" borderId="7" xfId="0" applyNumberFormat="1" applyFont="1" applyBorder="1" applyAlignment="1">
      <alignment horizontal="center" vertical="center"/>
    </xf>
    <xf numFmtId="49" fontId="6" fillId="0" borderId="1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12"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0" fillId="7" borderId="2" xfId="0" applyNumberFormat="1" applyFill="1" applyBorder="1" applyAlignment="1">
      <alignment horizontal="center" vertical="center" wrapText="1"/>
    </xf>
    <xf numFmtId="49" fontId="0" fillId="7" borderId="10" xfId="0" applyNumberFormat="1" applyFill="1" applyBorder="1" applyAlignment="1">
      <alignment horizontal="center" vertical="center" wrapText="1"/>
    </xf>
    <xf numFmtId="49" fontId="0" fillId="7" borderId="5" xfId="0" applyNumberFormat="1" applyFill="1" applyBorder="1" applyAlignment="1">
      <alignment horizontal="center" vertical="center" wrapText="1"/>
    </xf>
    <xf numFmtId="4" fontId="17" fillId="0" borderId="13" xfId="0" applyNumberFormat="1" applyFont="1" applyBorder="1" applyAlignment="1">
      <alignment horizontal="center" vertical="center" wrapText="1"/>
    </xf>
    <xf numFmtId="0" fontId="17" fillId="0" borderId="33" xfId="0" applyFont="1" applyBorder="1" applyAlignment="1">
      <alignment horizontal="center" vertical="center" wrapText="1"/>
    </xf>
    <xf numFmtId="49" fontId="0" fillId="4" borderId="20" xfId="0" applyNumberFormat="1" applyFill="1" applyBorder="1" applyAlignment="1">
      <alignment horizontal="left" vertical="center" wrapText="1"/>
    </xf>
    <xf numFmtId="49" fontId="0" fillId="4" borderId="32" xfId="0" applyNumberFormat="1" applyFill="1" applyBorder="1" applyAlignment="1">
      <alignment horizontal="left" vertical="center" wrapText="1"/>
    </xf>
    <xf numFmtId="49" fontId="0" fillId="8" borderId="23" xfId="0" applyNumberFormat="1" applyFill="1" applyBorder="1" applyAlignment="1">
      <alignment horizontal="left" vertical="top" wrapText="1"/>
    </xf>
    <xf numFmtId="49" fontId="0" fillId="8" borderId="32" xfId="0" applyNumberFormat="1" applyFill="1" applyBorder="1" applyAlignment="1">
      <alignment horizontal="left" vertical="top" wrapText="1"/>
    </xf>
    <xf numFmtId="49" fontId="0" fillId="4" borderId="30" xfId="0" applyNumberFormat="1" applyFill="1" applyBorder="1" applyAlignment="1">
      <alignment horizontal="left" vertical="center" wrapText="1"/>
    </xf>
    <xf numFmtId="49" fontId="0" fillId="8" borderId="20" xfId="0" applyNumberFormat="1" applyFill="1" applyBorder="1" applyAlignment="1">
      <alignment horizontal="left" vertical="center" wrapText="1"/>
    </xf>
    <xf numFmtId="49" fontId="0" fillId="8" borderId="32" xfId="0" applyNumberFormat="1" applyFill="1" applyBorder="1" applyAlignment="1">
      <alignment horizontal="left" vertical="center" wrapText="1"/>
    </xf>
    <xf numFmtId="0" fontId="0" fillId="0" borderId="0" xfId="0" applyAlignment="1">
      <alignment horizontal="center" wrapText="1"/>
    </xf>
    <xf numFmtId="4" fontId="0" fillId="8" borderId="2" xfId="0" applyNumberFormat="1" applyFill="1" applyBorder="1" applyAlignment="1">
      <alignment horizontal="center" vertical="center" wrapText="1"/>
    </xf>
    <xf numFmtId="4" fontId="0" fillId="8" borderId="10" xfId="0" applyNumberFormat="1" applyFill="1" applyBorder="1" applyAlignment="1">
      <alignment horizontal="center" vertical="center" wrapText="1"/>
    </xf>
    <xf numFmtId="4" fontId="0" fillId="8" borderId="13"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10"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13" xfId="0" applyNumberFormat="1" applyFill="1" applyBorder="1" applyAlignment="1">
      <alignment horizontal="center" vertical="center" wrapText="1"/>
    </xf>
    <xf numFmtId="4" fontId="0" fillId="4" borderId="1" xfId="0" applyNumberFormat="1" applyFill="1" applyBorder="1" applyAlignment="1">
      <alignment horizontal="center" vertical="center"/>
    </xf>
    <xf numFmtId="4" fontId="17" fillId="8" borderId="2" xfId="0" applyNumberFormat="1" applyFont="1" applyFill="1" applyBorder="1" applyAlignment="1">
      <alignment horizontal="center" vertical="center"/>
    </xf>
    <xf numFmtId="4" fontId="17" fillId="8" borderId="10" xfId="0" applyNumberFormat="1" applyFont="1" applyFill="1" applyBorder="1" applyAlignment="1">
      <alignment horizontal="center" vertical="center"/>
    </xf>
    <xf numFmtId="4" fontId="17" fillId="8" borderId="13" xfId="0" applyNumberFormat="1" applyFont="1" applyFill="1" applyBorder="1" applyAlignment="1">
      <alignment horizontal="center" vertical="center"/>
    </xf>
    <xf numFmtId="4" fontId="17" fillId="8" borderId="1" xfId="0" applyNumberFormat="1"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3" xfId="0" applyFill="1" applyBorder="1" applyAlignment="1">
      <alignment horizontal="center" vertical="center" wrapText="1"/>
    </xf>
    <xf numFmtId="4" fontId="17" fillId="4" borderId="8" xfId="0" applyNumberFormat="1" applyFont="1" applyFill="1" applyBorder="1" applyAlignment="1">
      <alignment horizontal="center" vertical="center"/>
    </xf>
    <xf numFmtId="4" fontId="17" fillId="4" borderId="10" xfId="0" applyNumberFormat="1" applyFont="1" applyFill="1" applyBorder="1" applyAlignment="1">
      <alignment horizontal="center" vertical="center"/>
    </xf>
    <xf numFmtId="4" fontId="17" fillId="4" borderId="13" xfId="0" applyNumberFormat="1" applyFont="1" applyFill="1" applyBorder="1" applyAlignment="1">
      <alignment horizontal="center" vertical="center"/>
    </xf>
    <xf numFmtId="4" fontId="17" fillId="4" borderId="2" xfId="0" applyNumberFormat="1" applyFont="1" applyFill="1" applyBorder="1" applyAlignment="1">
      <alignment horizontal="center" vertical="center"/>
    </xf>
    <xf numFmtId="49" fontId="17" fillId="0" borderId="2"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4" fontId="0" fillId="4" borderId="8" xfId="0" applyNumberFormat="1" applyFill="1" applyBorder="1" applyAlignment="1">
      <alignment horizontal="center" vertical="center"/>
    </xf>
    <xf numFmtId="4" fontId="0" fillId="4" borderId="10" xfId="0" applyNumberFormat="1" applyFill="1" applyBorder="1" applyAlignment="1">
      <alignment horizontal="center" vertical="center"/>
    </xf>
    <xf numFmtId="4" fontId="0" fillId="4" borderId="13" xfId="0" applyNumberFormat="1" applyFill="1" applyBorder="1" applyAlignment="1">
      <alignment horizontal="center" vertical="center"/>
    </xf>
    <xf numFmtId="0" fontId="6" fillId="0" borderId="5" xfId="0" applyFont="1" applyBorder="1" applyAlignment="1">
      <alignment horizontal="left" vertical="top" wrapText="1"/>
    </xf>
    <xf numFmtId="4" fontId="17" fillId="8" borderId="1" xfId="0" applyNumberFormat="1" applyFont="1" applyFill="1" applyBorder="1" applyAlignment="1">
      <alignment horizontal="center" vertical="center"/>
    </xf>
    <xf numFmtId="4" fontId="17" fillId="8" borderId="12" xfId="0" applyNumberFormat="1" applyFont="1" applyFill="1" applyBorder="1" applyAlignment="1">
      <alignment horizontal="center" vertical="center"/>
    </xf>
    <xf numFmtId="4" fontId="17" fillId="8" borderId="12" xfId="0" applyNumberFormat="1" applyFont="1" applyFill="1" applyBorder="1" applyAlignment="1">
      <alignment horizontal="center" vertical="center" wrapText="1"/>
    </xf>
    <xf numFmtId="4" fontId="17" fillId="4" borderId="1" xfId="0" applyNumberFormat="1" applyFont="1" applyFill="1" applyBorder="1" applyAlignment="1">
      <alignment horizontal="center" vertical="center" wrapText="1"/>
    </xf>
    <xf numFmtId="4" fontId="17" fillId="4" borderId="1" xfId="0" applyNumberFormat="1" applyFont="1" applyFill="1" applyBorder="1" applyAlignment="1">
      <alignment horizontal="center" vertical="center"/>
    </xf>
    <xf numFmtId="4" fontId="0" fillId="4" borderId="7" xfId="0" applyNumberFormat="1" applyFill="1" applyBorder="1" applyAlignment="1">
      <alignment horizontal="center" vertical="center"/>
    </xf>
    <xf numFmtId="4" fontId="0" fillId="4" borderId="2" xfId="0" applyNumberFormat="1" applyFill="1" applyBorder="1" applyAlignment="1">
      <alignment horizontal="center" vertical="center"/>
    </xf>
    <xf numFmtId="4" fontId="0" fillId="8" borderId="1" xfId="0" applyNumberFormat="1" applyFill="1" applyBorder="1" applyAlignment="1">
      <alignment horizontal="center" vertical="center" wrapText="1"/>
    </xf>
    <xf numFmtId="4" fontId="0" fillId="8" borderId="12" xfId="0" applyNumberFormat="1" applyFill="1" applyBorder="1" applyAlignment="1">
      <alignment horizontal="center" vertical="center" wrapText="1"/>
    </xf>
    <xf numFmtId="0" fontId="6" fillId="0" borderId="41" xfId="0" applyFont="1" applyBorder="1" applyAlignment="1">
      <alignment horizontal="center" vertical="top" wrapText="1"/>
    </xf>
    <xf numFmtId="0" fontId="6" fillId="0" borderId="3" xfId="0" applyFont="1" applyBorder="1" applyAlignment="1">
      <alignment horizontal="center" vertical="top"/>
    </xf>
    <xf numFmtId="0" fontId="6" fillId="0" borderId="4" xfId="0" applyFont="1" applyBorder="1" applyAlignment="1">
      <alignment horizontal="center" vertical="top"/>
    </xf>
    <xf numFmtId="49" fontId="17" fillId="0" borderId="12" xfId="0" applyNumberFormat="1" applyFont="1" applyBorder="1" applyAlignment="1">
      <alignment horizontal="center" vertical="center" wrapText="1"/>
    </xf>
    <xf numFmtId="0" fontId="0" fillId="8" borderId="5" xfId="0"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49" fontId="0" fillId="4" borderId="8" xfId="0" applyNumberFormat="1" applyFill="1" applyBorder="1" applyAlignment="1">
      <alignment horizontal="center" vertical="center" wrapText="1"/>
    </xf>
    <xf numFmtId="0" fontId="0" fillId="4" borderId="10" xfId="0" applyFill="1" applyBorder="1" applyAlignment="1">
      <alignment horizontal="center" vertical="center" wrapText="1"/>
    </xf>
    <xf numFmtId="4" fontId="0" fillId="4" borderId="1" xfId="0" applyNumberFormat="1" applyFill="1" applyBorder="1" applyAlignment="1">
      <alignment horizontal="center" vertical="center" wrapText="1"/>
    </xf>
    <xf numFmtId="3" fontId="6" fillId="0" borderId="2" xfId="0" applyNumberFormat="1" applyFont="1" applyBorder="1" applyAlignment="1">
      <alignment horizontal="center" vertical="top" wrapText="1"/>
    </xf>
    <xf numFmtId="3" fontId="6" fillId="0" borderId="5" xfId="0" applyNumberFormat="1" applyFont="1" applyBorder="1" applyAlignment="1">
      <alignment horizontal="center" vertical="top" wrapText="1"/>
    </xf>
    <xf numFmtId="0" fontId="6" fillId="0" borderId="5" xfId="0" applyFont="1" applyBorder="1" applyAlignment="1">
      <alignment horizontal="center" vertical="top"/>
    </xf>
    <xf numFmtId="0" fontId="8" fillId="2" borderId="3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6" fillId="0" borderId="13" xfId="0" applyFont="1" applyBorder="1" applyAlignment="1">
      <alignment horizontal="center" vertical="top" wrapText="1"/>
    </xf>
    <xf numFmtId="0" fontId="6" fillId="0" borderId="13" xfId="0" applyFont="1" applyBorder="1" applyAlignment="1">
      <alignment horizontal="left" vertical="top"/>
    </xf>
    <xf numFmtId="0" fontId="17" fillId="2" borderId="33" xfId="0" applyFont="1" applyFill="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7" xfId="0" applyNumberFormat="1" applyFont="1" applyBorder="1" applyAlignment="1">
      <alignment horizontal="center" vertical="center" wrapText="1"/>
    </xf>
    <xf numFmtId="4" fontId="9" fillId="0" borderId="8" xfId="0" applyNumberFormat="1" applyFont="1" applyBorder="1" applyAlignment="1">
      <alignment horizontal="center" vertical="center"/>
    </xf>
    <xf numFmtId="4" fontId="9" fillId="0" borderId="5"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4" borderId="7" xfId="0" applyNumberFormat="1" applyFont="1" applyFill="1" applyBorder="1" applyAlignment="1">
      <alignment horizontal="center" vertical="center" wrapText="1"/>
    </xf>
    <xf numFmtId="49" fontId="9" fillId="4" borderId="12" xfId="0" applyNumberFormat="1" applyFont="1" applyFill="1" applyBorder="1" applyAlignment="1">
      <alignment horizontal="center" vertical="center" wrapText="1"/>
    </xf>
    <xf numFmtId="2" fontId="55" fillId="0" borderId="0" xfId="0" applyNumberFormat="1" applyFont="1" applyAlignment="1">
      <alignment horizontal="center" vertical="center" wrapText="1"/>
    </xf>
    <xf numFmtId="0" fontId="58" fillId="18" borderId="48" xfId="0" applyFont="1" applyFill="1" applyBorder="1" applyAlignment="1">
      <alignment vertical="center" wrapText="1"/>
    </xf>
    <xf numFmtId="0" fontId="58" fillId="18" borderId="45" xfId="0" applyFont="1" applyFill="1" applyBorder="1" applyAlignment="1">
      <alignment vertical="center" wrapText="1"/>
    </xf>
    <xf numFmtId="0" fontId="6" fillId="0" borderId="16" xfId="0" applyFont="1" applyBorder="1" applyAlignment="1">
      <alignment horizontal="center" vertical="top" wrapText="1"/>
    </xf>
    <xf numFmtId="0" fontId="6" fillId="0" borderId="18" xfId="0" applyFont="1" applyBorder="1" applyAlignment="1">
      <alignment horizontal="center" vertical="top" wrapText="1"/>
    </xf>
    <xf numFmtId="49" fontId="4" fillId="3" borderId="16"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8" xfId="0" applyNumberFormat="1" applyFont="1" applyFill="1" applyBorder="1" applyAlignment="1">
      <alignment horizontal="center" vertical="center" wrapText="1"/>
    </xf>
  </cellXfs>
  <cellStyles count="1">
    <cellStyle name="Įprastas"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4_vp_dep\bendras\Stebesenos_rodikliai\Post%202020\VP%20projektai\4%20draft\3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zoomScale="55" zoomScaleNormal="55" workbookViewId="0">
      <selection activeCell="J7" activeCellId="1" sqref="J5 J7"/>
    </sheetView>
  </sheetViews>
  <sheetFormatPr defaultRowHeight="15"/>
  <cols>
    <col min="1" max="1" width="15" customWidth="1"/>
    <col min="2" max="2" width="31.28515625" customWidth="1"/>
    <col min="3" max="3" width="10.7109375" style="241" customWidth="1"/>
    <col min="4" max="4" width="11" style="241" customWidth="1"/>
    <col min="5" max="5" width="15.28515625" style="243" customWidth="1"/>
    <col min="6" max="6" width="12.7109375" style="241" customWidth="1"/>
    <col min="7" max="7" width="12.7109375" style="242" customWidth="1"/>
    <col min="8" max="10" width="23.42578125" style="241" customWidth="1"/>
    <col min="11" max="11" width="54.42578125" style="240"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7109375" bestFit="1" customWidth="1"/>
  </cols>
  <sheetData>
    <row r="1" spans="1:16" ht="18.75">
      <c r="C1" s="598" t="s">
        <v>0</v>
      </c>
      <c r="D1" s="599"/>
      <c r="E1" s="599"/>
      <c r="F1" s="599"/>
      <c r="G1" s="599"/>
      <c r="H1" s="600"/>
      <c r="I1" s="251"/>
      <c r="J1" s="251"/>
      <c r="L1" s="250"/>
    </row>
    <row r="2" spans="1:16" ht="32.25" thickBot="1">
      <c r="C2" s="299" t="s">
        <v>1</v>
      </c>
      <c r="D2" s="299" t="s">
        <v>2</v>
      </c>
      <c r="E2" s="299" t="s">
        <v>3</v>
      </c>
      <c r="F2" s="299" t="s">
        <v>4</v>
      </c>
      <c r="G2" s="300" t="s">
        <v>5</v>
      </c>
      <c r="H2" s="299" t="s">
        <v>6</v>
      </c>
      <c r="I2" s="345" t="s">
        <v>7</v>
      </c>
      <c r="J2" s="345" t="s">
        <v>8</v>
      </c>
      <c r="L2" s="250"/>
    </row>
    <row r="3" spans="1:16" ht="38.25" customHeight="1">
      <c r="A3" s="560" t="s">
        <v>9</v>
      </c>
      <c r="B3" s="562" t="s">
        <v>10</v>
      </c>
      <c r="C3" s="343">
        <v>2</v>
      </c>
      <c r="D3" s="343" t="s">
        <v>11</v>
      </c>
      <c r="E3" s="344" t="s">
        <v>12</v>
      </c>
      <c r="F3" s="343" t="s">
        <v>13</v>
      </c>
      <c r="G3" s="342" t="s">
        <v>14</v>
      </c>
      <c r="H3" s="346">
        <v>103039200</v>
      </c>
      <c r="I3" s="353">
        <f>H3+20897600-10000000</f>
        <v>113936800</v>
      </c>
      <c r="J3" s="353">
        <f>124531822+10000000</f>
        <v>134531822</v>
      </c>
      <c r="K3" s="564" t="s">
        <v>15</v>
      </c>
      <c r="L3" s="610" t="s">
        <v>16</v>
      </c>
      <c r="M3" s="622">
        <v>44105</v>
      </c>
      <c r="N3" s="623"/>
    </row>
    <row r="4" spans="1:16" ht="67.150000000000006" customHeight="1" thickBot="1">
      <c r="A4" s="561"/>
      <c r="B4" s="563"/>
      <c r="C4" s="340">
        <v>2</v>
      </c>
      <c r="D4" s="340" t="s">
        <v>17</v>
      </c>
      <c r="E4" s="341" t="s">
        <v>18</v>
      </c>
      <c r="F4" s="340" t="s">
        <v>13</v>
      </c>
      <c r="G4" s="339" t="s">
        <v>14</v>
      </c>
      <c r="H4" s="347">
        <v>7000000</v>
      </c>
      <c r="I4" s="353">
        <f>H4-600000</f>
        <v>6400000</v>
      </c>
      <c r="J4" s="353">
        <v>6400000</v>
      </c>
      <c r="K4" s="564"/>
      <c r="L4" s="611"/>
      <c r="M4" s="605">
        <v>123936800</v>
      </c>
      <c r="N4" s="606"/>
      <c r="O4" s="3" t="s">
        <v>11</v>
      </c>
      <c r="P4" s="375">
        <f>I3+I8</f>
        <v>123936800</v>
      </c>
    </row>
    <row r="5" spans="1:16" ht="40.5" customHeight="1">
      <c r="A5" s="380" t="s">
        <v>19</v>
      </c>
      <c r="B5" s="379" t="s">
        <v>20</v>
      </c>
      <c r="C5" s="377">
        <v>2</v>
      </c>
      <c r="D5" s="377" t="s">
        <v>17</v>
      </c>
      <c r="E5" s="378" t="s">
        <v>18</v>
      </c>
      <c r="F5" s="377" t="s">
        <v>21</v>
      </c>
      <c r="G5" s="376" t="s">
        <v>22</v>
      </c>
      <c r="H5" s="381">
        <v>122382600</v>
      </c>
      <c r="I5" s="354">
        <f>(H5-615010)</f>
        <v>121767590</v>
      </c>
      <c r="J5" s="354">
        <v>121730794</v>
      </c>
      <c r="K5" s="374" t="s">
        <v>23</v>
      </c>
      <c r="L5" s="611"/>
      <c r="M5" s="605">
        <v>173867590</v>
      </c>
      <c r="N5" s="606"/>
      <c r="O5" s="3" t="s">
        <v>24</v>
      </c>
      <c r="P5" s="375">
        <f>SUM(I5:I7)</f>
        <v>167467590</v>
      </c>
    </row>
    <row r="6" spans="1:16" ht="16.5" customHeight="1">
      <c r="A6" s="565" t="s">
        <v>25</v>
      </c>
      <c r="B6" s="566" t="s">
        <v>26</v>
      </c>
      <c r="C6" s="337">
        <v>2</v>
      </c>
      <c r="D6" s="337" t="s">
        <v>17</v>
      </c>
      <c r="E6" s="338" t="s">
        <v>18</v>
      </c>
      <c r="F6" s="337" t="s">
        <v>21</v>
      </c>
      <c r="G6" s="336" t="s">
        <v>14</v>
      </c>
      <c r="H6" s="335">
        <v>300000</v>
      </c>
      <c r="I6" s="355">
        <v>0</v>
      </c>
      <c r="J6" s="355">
        <v>0</v>
      </c>
      <c r="K6" s="374" t="s">
        <v>15</v>
      </c>
      <c r="L6" s="611"/>
      <c r="M6" s="325"/>
      <c r="N6" s="325"/>
    </row>
    <row r="7" spans="1:16" ht="25.5" customHeight="1">
      <c r="A7" s="565"/>
      <c r="B7" s="566"/>
      <c r="C7" s="337">
        <v>2</v>
      </c>
      <c r="D7" s="337" t="s">
        <v>17</v>
      </c>
      <c r="E7" s="338" t="s">
        <v>18</v>
      </c>
      <c r="F7" s="337" t="s">
        <v>21</v>
      </c>
      <c r="G7" s="336" t="s">
        <v>27</v>
      </c>
      <c r="H7" s="335">
        <v>46000000</v>
      </c>
      <c r="I7" s="355">
        <f>H7-600000+H6</f>
        <v>45700000</v>
      </c>
      <c r="J7" s="355">
        <v>45700000</v>
      </c>
      <c r="K7" s="368" t="s">
        <v>28</v>
      </c>
      <c r="L7" s="611"/>
      <c r="M7" s="325"/>
      <c r="N7" s="334"/>
    </row>
    <row r="8" spans="1:16" ht="25.5" customHeight="1" thickBot="1">
      <c r="A8" s="373" t="s">
        <v>29</v>
      </c>
      <c r="B8" s="372" t="s">
        <v>30</v>
      </c>
      <c r="C8" s="370">
        <v>2</v>
      </c>
      <c r="D8" s="370" t="s">
        <v>11</v>
      </c>
      <c r="E8" s="371" t="s">
        <v>12</v>
      </c>
      <c r="F8" s="370" t="s">
        <v>21</v>
      </c>
      <c r="G8" s="369" t="s">
        <v>31</v>
      </c>
      <c r="H8" s="382">
        <v>8000000</v>
      </c>
      <c r="I8" s="387">
        <v>10000000</v>
      </c>
      <c r="J8" s="387">
        <v>0</v>
      </c>
      <c r="K8" s="368" t="s">
        <v>32</v>
      </c>
      <c r="L8" s="612"/>
      <c r="M8" s="325"/>
      <c r="N8" s="334"/>
    </row>
    <row r="9" spans="1:16" ht="39.75" customHeight="1">
      <c r="A9" s="557" t="s">
        <v>33</v>
      </c>
      <c r="B9" s="572" t="s">
        <v>34</v>
      </c>
      <c r="C9" s="569">
        <v>3</v>
      </c>
      <c r="D9" s="567" t="s">
        <v>11</v>
      </c>
      <c r="E9" s="283" t="s">
        <v>12</v>
      </c>
      <c r="F9" s="333"/>
      <c r="G9" s="332" t="s">
        <v>35</v>
      </c>
      <c r="H9" s="383">
        <v>5000000</v>
      </c>
      <c r="I9" s="326">
        <f>H9+1250000+ 6250000</f>
        <v>12500000</v>
      </c>
      <c r="J9" s="326">
        <v>11908130</v>
      </c>
      <c r="K9" s="314" t="s">
        <v>36</v>
      </c>
      <c r="L9" s="610" t="s">
        <v>37</v>
      </c>
      <c r="M9" s="325"/>
      <c r="N9" s="325"/>
    </row>
    <row r="10" spans="1:16" ht="39.75" customHeight="1" thickBot="1">
      <c r="A10" s="558"/>
      <c r="B10" s="573"/>
      <c r="C10" s="570"/>
      <c r="D10" s="568"/>
      <c r="E10" s="388" t="s">
        <v>38</v>
      </c>
      <c r="F10" s="601" t="s">
        <v>39</v>
      </c>
      <c r="G10" s="389"/>
      <c r="H10" s="390"/>
      <c r="I10" s="326"/>
      <c r="J10" s="326">
        <v>588200</v>
      </c>
      <c r="K10" s="302"/>
      <c r="L10" s="611"/>
      <c r="M10" s="325"/>
      <c r="N10" s="325"/>
    </row>
    <row r="11" spans="1:16" s="328" customFormat="1" ht="59.25" customHeight="1">
      <c r="A11" s="558"/>
      <c r="B11" s="573"/>
      <c r="C11" s="570"/>
      <c r="D11" s="567" t="s">
        <v>11</v>
      </c>
      <c r="E11" s="327" t="s">
        <v>12</v>
      </c>
      <c r="F11" s="601"/>
      <c r="G11" s="602" t="s">
        <v>40</v>
      </c>
      <c r="H11" s="348">
        <v>5000000</v>
      </c>
      <c r="I11" s="326">
        <v>0</v>
      </c>
      <c r="J11" s="326">
        <v>0</v>
      </c>
      <c r="K11" s="330" t="s">
        <v>41</v>
      </c>
      <c r="L11" s="611"/>
      <c r="M11" s="325"/>
      <c r="N11" s="325"/>
    </row>
    <row r="12" spans="1:16" s="328" customFormat="1" ht="59.25" customHeight="1" thickBot="1">
      <c r="A12" s="558"/>
      <c r="B12" s="573"/>
      <c r="C12" s="570"/>
      <c r="D12" s="568"/>
      <c r="E12" s="327" t="s">
        <v>38</v>
      </c>
      <c r="F12" s="601"/>
      <c r="G12" s="603"/>
      <c r="H12" s="348"/>
      <c r="I12" s="326"/>
      <c r="J12" s="326">
        <v>0</v>
      </c>
      <c r="K12" s="330"/>
      <c r="L12" s="611"/>
      <c r="M12" s="325"/>
      <c r="N12" s="325"/>
    </row>
    <row r="13" spans="1:16" s="328" customFormat="1" ht="42" customHeight="1">
      <c r="A13" s="558"/>
      <c r="B13" s="573"/>
      <c r="C13" s="570"/>
      <c r="D13" s="567" t="s">
        <v>11</v>
      </c>
      <c r="E13" s="327" t="s">
        <v>12</v>
      </c>
      <c r="F13" s="601"/>
      <c r="G13" s="604" t="s">
        <v>42</v>
      </c>
      <c r="H13" s="348">
        <v>5000000</v>
      </c>
      <c r="I13" s="326">
        <f>H13+1250000</f>
        <v>6250000</v>
      </c>
      <c r="J13" s="326">
        <v>5960260</v>
      </c>
      <c r="K13" s="329" t="s">
        <v>43</v>
      </c>
      <c r="L13" s="611"/>
      <c r="M13" s="325"/>
      <c r="N13" s="325"/>
    </row>
    <row r="14" spans="1:16" s="328" customFormat="1" ht="42" customHeight="1" thickBot="1">
      <c r="A14" s="558"/>
      <c r="B14" s="573"/>
      <c r="C14" s="570"/>
      <c r="D14" s="568"/>
      <c r="E14" s="391" t="s">
        <v>38</v>
      </c>
      <c r="F14" s="601"/>
      <c r="G14" s="604"/>
      <c r="H14" s="392"/>
      <c r="I14" s="326"/>
      <c r="J14" s="326">
        <v>291200</v>
      </c>
      <c r="K14" s="329"/>
      <c r="L14" s="611"/>
      <c r="M14" s="325"/>
      <c r="N14" s="325"/>
    </row>
    <row r="15" spans="1:16" ht="42" customHeight="1" thickBot="1">
      <c r="A15" s="558"/>
      <c r="B15" s="573"/>
      <c r="C15" s="570"/>
      <c r="D15" s="567" t="s">
        <v>11</v>
      </c>
      <c r="E15" s="367" t="s">
        <v>12</v>
      </c>
      <c r="F15" s="601"/>
      <c r="G15" s="331" t="s">
        <v>44</v>
      </c>
      <c r="H15" s="384">
        <v>5000000</v>
      </c>
      <c r="I15" s="326">
        <f>H15+1250000</f>
        <v>6250000</v>
      </c>
      <c r="J15" s="326">
        <v>5961710</v>
      </c>
      <c r="K15" s="314" t="s">
        <v>45</v>
      </c>
      <c r="L15" s="611"/>
      <c r="M15" s="325"/>
      <c r="N15" s="325"/>
    </row>
    <row r="16" spans="1:16" ht="42" customHeight="1" thickBot="1">
      <c r="A16" s="559"/>
      <c r="B16" s="574"/>
      <c r="C16" s="571"/>
      <c r="D16" s="568"/>
      <c r="E16" s="393"/>
      <c r="F16" s="568"/>
      <c r="G16" s="331"/>
      <c r="H16" s="394"/>
      <c r="I16" s="326"/>
      <c r="J16" s="326">
        <v>290500</v>
      </c>
      <c r="K16" s="314"/>
      <c r="L16" s="611"/>
      <c r="M16" s="325"/>
      <c r="N16" s="325"/>
    </row>
    <row r="17" spans="1:20" ht="14.25" customHeight="1">
      <c r="A17" s="575" t="s">
        <v>46</v>
      </c>
      <c r="B17" s="577" t="s">
        <v>47</v>
      </c>
      <c r="C17" s="366">
        <v>3</v>
      </c>
      <c r="D17" s="364" t="s">
        <v>17</v>
      </c>
      <c r="E17" s="365" t="s">
        <v>18</v>
      </c>
      <c r="F17" s="364" t="s">
        <v>48</v>
      </c>
      <c r="G17" s="395" t="s">
        <v>49</v>
      </c>
      <c r="H17" s="385">
        <v>94000000</v>
      </c>
      <c r="I17" s="356">
        <f>H17-900000+2000000</f>
        <v>95100000</v>
      </c>
      <c r="J17" s="356">
        <f>I17</f>
        <v>95100000</v>
      </c>
      <c r="K17" s="314" t="s">
        <v>50</v>
      </c>
      <c r="L17" s="611"/>
      <c r="M17" s="325"/>
      <c r="N17" s="325"/>
    </row>
    <row r="18" spans="1:20" ht="25.5" customHeight="1">
      <c r="A18" s="576"/>
      <c r="B18" s="578"/>
      <c r="C18" s="277">
        <v>3</v>
      </c>
      <c r="D18" s="275" t="s">
        <v>17</v>
      </c>
      <c r="E18" s="276" t="s">
        <v>18</v>
      </c>
      <c r="F18" s="275" t="s">
        <v>48</v>
      </c>
      <c r="G18" s="274" t="s">
        <v>51</v>
      </c>
      <c r="H18" s="349">
        <v>52290000</v>
      </c>
      <c r="I18" s="356">
        <f>H18-800000</f>
        <v>51490000</v>
      </c>
      <c r="J18" s="356">
        <f>I18</f>
        <v>51490000</v>
      </c>
      <c r="K18" s="314" t="s">
        <v>52</v>
      </c>
      <c r="L18" s="611"/>
      <c r="M18" s="325"/>
      <c r="N18" s="334">
        <f>I17+I18+I19+I24</f>
        <v>158790000</v>
      </c>
      <c r="P18" s="200"/>
      <c r="S18">
        <f>123936800+121767590+45700000+6400000+25000000+90080000+10000000+146790000+242432250+10000000+2000000</f>
        <v>824106640</v>
      </c>
    </row>
    <row r="19" spans="1:20" ht="86.25" customHeight="1">
      <c r="A19" s="576"/>
      <c r="B19" s="579"/>
      <c r="C19" s="277">
        <v>3</v>
      </c>
      <c r="D19" s="275" t="s">
        <v>17</v>
      </c>
      <c r="E19" s="276" t="s">
        <v>18</v>
      </c>
      <c r="F19" s="275" t="s">
        <v>48</v>
      </c>
      <c r="G19" s="274" t="s">
        <v>53</v>
      </c>
      <c r="H19" s="349">
        <v>3000000</v>
      </c>
      <c r="I19" s="356">
        <f>H19-800000</f>
        <v>2200000</v>
      </c>
      <c r="J19" s="356">
        <f>I19</f>
        <v>2200000</v>
      </c>
      <c r="K19" s="320" t="s">
        <v>54</v>
      </c>
      <c r="L19" s="611"/>
      <c r="M19" s="624">
        <v>44105</v>
      </c>
      <c r="N19" s="625"/>
      <c r="P19" s="200"/>
      <c r="S19">
        <f>113936800+10000000+121767590+45700000+6400000+25000000+90080000+10000000+148790000+242432250+10000000</f>
        <v>824106640</v>
      </c>
      <c r="T19" s="112">
        <f>824106640-S19</f>
        <v>0</v>
      </c>
    </row>
    <row r="20" spans="1:20" ht="25.5" customHeight="1">
      <c r="A20" s="586" t="s">
        <v>55</v>
      </c>
      <c r="B20" s="589" t="s">
        <v>56</v>
      </c>
      <c r="C20" s="324">
        <v>3</v>
      </c>
      <c r="D20" s="322" t="s">
        <v>17</v>
      </c>
      <c r="E20" s="323" t="s">
        <v>18</v>
      </c>
      <c r="F20" s="322" t="s">
        <v>48</v>
      </c>
      <c r="G20" s="321" t="s">
        <v>57</v>
      </c>
      <c r="H20" s="350">
        <v>177000000</v>
      </c>
      <c r="I20" s="357">
        <v>63315000</v>
      </c>
      <c r="J20" s="357">
        <v>65530043</v>
      </c>
      <c r="K20" s="314" t="s">
        <v>58</v>
      </c>
      <c r="L20" s="611"/>
      <c r="M20" s="605">
        <v>125080000</v>
      </c>
      <c r="N20" s="606"/>
      <c r="O20" s="3" t="s">
        <v>11</v>
      </c>
      <c r="P20" s="4">
        <f>SUM(I9:I15,I25)</f>
        <v>115080000</v>
      </c>
    </row>
    <row r="21" spans="1:20" ht="36" customHeight="1">
      <c r="A21" s="587"/>
      <c r="B21" s="590"/>
      <c r="C21" s="324">
        <v>3</v>
      </c>
      <c r="D21" s="322" t="s">
        <v>17</v>
      </c>
      <c r="E21" s="323" t="s">
        <v>18</v>
      </c>
      <c r="F21" s="322" t="s">
        <v>48</v>
      </c>
      <c r="G21" s="321" t="s">
        <v>59</v>
      </c>
      <c r="H21" s="350">
        <v>44500000</v>
      </c>
      <c r="I21" s="357">
        <v>147896000</v>
      </c>
      <c r="J21" s="357">
        <v>147844205</v>
      </c>
      <c r="K21" s="320" t="s">
        <v>60</v>
      </c>
      <c r="L21" s="611"/>
      <c r="M21" s="605">
        <v>401222250</v>
      </c>
      <c r="N21" s="606"/>
      <c r="O21" s="3" t="s">
        <v>61</v>
      </c>
      <c r="P21" s="363">
        <f>SUM(I17:I24)</f>
        <v>401222250</v>
      </c>
      <c r="R21" s="200"/>
    </row>
    <row r="22" spans="1:20" ht="15" customHeight="1">
      <c r="A22" s="587"/>
      <c r="B22" s="590"/>
      <c r="C22" s="324">
        <v>3</v>
      </c>
      <c r="D22" s="322" t="s">
        <v>17</v>
      </c>
      <c r="E22" s="323" t="s">
        <v>18</v>
      </c>
      <c r="F22" s="322" t="s">
        <v>48</v>
      </c>
      <c r="G22" s="321" t="s">
        <v>62</v>
      </c>
      <c r="H22" s="350">
        <v>18500000</v>
      </c>
      <c r="I22" s="357">
        <v>26671250</v>
      </c>
      <c r="J22" s="357">
        <v>26661909</v>
      </c>
      <c r="K22" s="320" t="s">
        <v>63</v>
      </c>
      <c r="L22" s="611"/>
    </row>
    <row r="23" spans="1:20">
      <c r="A23" s="588"/>
      <c r="B23" s="591"/>
      <c r="C23" s="324">
        <v>3</v>
      </c>
      <c r="D23" s="322" t="s">
        <v>17</v>
      </c>
      <c r="E23" s="323" t="s">
        <v>18</v>
      </c>
      <c r="F23" s="322" t="s">
        <v>48</v>
      </c>
      <c r="G23" s="321" t="s">
        <v>64</v>
      </c>
      <c r="H23" s="350">
        <v>5000000</v>
      </c>
      <c r="I23" s="357">
        <v>4550000</v>
      </c>
      <c r="J23" s="357">
        <v>2311190</v>
      </c>
      <c r="K23" s="320" t="s">
        <v>65</v>
      </c>
      <c r="L23" s="611"/>
    </row>
    <row r="24" spans="1:20" ht="34.5" thickBot="1">
      <c r="A24" s="362" t="s">
        <v>66</v>
      </c>
      <c r="B24" s="361" t="s">
        <v>67</v>
      </c>
      <c r="C24" s="265">
        <v>3</v>
      </c>
      <c r="D24" s="263" t="s">
        <v>17</v>
      </c>
      <c r="E24" s="264" t="s">
        <v>18</v>
      </c>
      <c r="F24" s="263" t="s">
        <v>48</v>
      </c>
      <c r="G24" s="262" t="s">
        <v>68</v>
      </c>
      <c r="H24" s="351">
        <v>10000000</v>
      </c>
      <c r="I24" s="358">
        <f>H24</f>
        <v>10000000</v>
      </c>
      <c r="J24" s="358">
        <f>I24</f>
        <v>10000000</v>
      </c>
      <c r="K24" s="320" t="s">
        <v>69</v>
      </c>
      <c r="L24" s="611"/>
      <c r="P24" s="200"/>
    </row>
    <row r="25" spans="1:20" ht="135.75" customHeight="1">
      <c r="A25" s="319" t="s">
        <v>70</v>
      </c>
      <c r="B25" s="594" t="s">
        <v>71</v>
      </c>
      <c r="C25" s="318">
        <v>3</v>
      </c>
      <c r="D25" s="316" t="s">
        <v>11</v>
      </c>
      <c r="E25" s="317" t="s">
        <v>12</v>
      </c>
      <c r="F25" s="316" t="s">
        <v>72</v>
      </c>
      <c r="G25" s="315" t="s">
        <v>73</v>
      </c>
      <c r="H25" s="352">
        <v>82017360</v>
      </c>
      <c r="I25" s="359">
        <f>H25+8062640</f>
        <v>90080000</v>
      </c>
      <c r="J25" s="359">
        <v>87958750</v>
      </c>
      <c r="K25" s="314" t="s">
        <v>74</v>
      </c>
      <c r="L25" s="611"/>
      <c r="N25" s="200">
        <f>I20+I21+I22+I23</f>
        <v>242432250</v>
      </c>
    </row>
    <row r="26" spans="1:20" ht="135.75" customHeight="1">
      <c r="A26" s="319"/>
      <c r="B26" s="595"/>
      <c r="C26" s="318">
        <v>3</v>
      </c>
      <c r="D26" s="316" t="s">
        <v>11</v>
      </c>
      <c r="E26" s="317" t="s">
        <v>12</v>
      </c>
      <c r="F26" s="316" t="s">
        <v>72</v>
      </c>
      <c r="G26" s="315" t="s">
        <v>31</v>
      </c>
      <c r="H26" s="386"/>
      <c r="I26" s="359">
        <v>10000000</v>
      </c>
      <c r="J26" s="359">
        <v>10000000</v>
      </c>
      <c r="K26" s="320" t="s">
        <v>32</v>
      </c>
      <c r="L26" s="611"/>
      <c r="N26" s="200"/>
    </row>
    <row r="27" spans="1:20" ht="123.75" customHeight="1">
      <c r="A27" s="592" t="s">
        <v>75</v>
      </c>
      <c r="B27" s="596" t="s">
        <v>76</v>
      </c>
      <c r="C27" s="313">
        <v>3</v>
      </c>
      <c r="D27" s="311" t="s">
        <v>11</v>
      </c>
      <c r="E27" s="312" t="s">
        <v>12</v>
      </c>
      <c r="F27" s="311" t="s">
        <v>72</v>
      </c>
      <c r="G27" s="310" t="s">
        <v>31</v>
      </c>
      <c r="H27" s="309">
        <v>8000000</v>
      </c>
      <c r="I27" s="354">
        <v>0</v>
      </c>
      <c r="J27" s="354"/>
      <c r="K27" s="613" t="s">
        <v>32</v>
      </c>
      <c r="L27" s="611"/>
      <c r="N27">
        <f>123936800+121767590+45700000+6400000+25000000+90080000+10000000+146790000+242432250+10000000+2000000</f>
        <v>824106640</v>
      </c>
    </row>
    <row r="28" spans="1:20" ht="38.25" customHeight="1" thickBot="1">
      <c r="A28" s="593"/>
      <c r="B28" s="597"/>
      <c r="C28" s="308">
        <v>3</v>
      </c>
      <c r="D28" s="306" t="s">
        <v>11</v>
      </c>
      <c r="E28" s="307" t="s">
        <v>38</v>
      </c>
      <c r="F28" s="306" t="s">
        <v>72</v>
      </c>
      <c r="G28" s="305" t="s">
        <v>31</v>
      </c>
      <c r="H28" s="304">
        <v>2000000</v>
      </c>
      <c r="I28" s="303">
        <v>0</v>
      </c>
      <c r="J28" s="360"/>
      <c r="K28" s="614"/>
      <c r="L28" s="612"/>
    </row>
    <row r="29" spans="1:20" ht="15" customHeight="1" thickBot="1">
      <c r="A29" s="61"/>
      <c r="B29" s="301"/>
      <c r="H29" s="252"/>
      <c r="I29" s="252"/>
      <c r="J29" s="252"/>
      <c r="K29" s="302"/>
      <c r="L29" s="250"/>
    </row>
    <row r="30" spans="1:20" ht="18" customHeight="1">
      <c r="A30" s="61"/>
      <c r="B30" s="301"/>
      <c r="G30" s="258" t="s">
        <v>77</v>
      </c>
      <c r="H30" s="257">
        <f>H3</f>
        <v>103039200</v>
      </c>
      <c r="I30" s="257">
        <f>I3+I8</f>
        <v>123936800</v>
      </c>
      <c r="J30" s="257">
        <f>J3+J8</f>
        <v>134531822</v>
      </c>
      <c r="K30" s="621">
        <f>J30+J31</f>
        <v>308362616</v>
      </c>
      <c r="L30" s="250"/>
    </row>
    <row r="31" spans="1:20" ht="18.75" customHeight="1">
      <c r="A31" s="61"/>
      <c r="B31" s="301"/>
      <c r="G31" s="256" t="s">
        <v>78</v>
      </c>
      <c r="H31" s="255">
        <f>H4+H5+H6+H7</f>
        <v>175682600</v>
      </c>
      <c r="I31" s="255">
        <f>I4+I5+I6+I7</f>
        <v>173867590</v>
      </c>
      <c r="J31" s="255">
        <f>J4+J5+J6+J7</f>
        <v>173830794</v>
      </c>
      <c r="K31" s="621"/>
      <c r="L31" s="250"/>
    </row>
    <row r="32" spans="1:20" ht="18" customHeight="1">
      <c r="A32" s="61"/>
      <c r="B32" s="301"/>
      <c r="G32" s="256" t="s">
        <v>79</v>
      </c>
      <c r="H32" s="255">
        <f>H9+H11+H13+H15+H25+H27</f>
        <v>110017360</v>
      </c>
      <c r="I32" s="255">
        <f>I9+I11+I13+I15+I25+I26</f>
        <v>125080000</v>
      </c>
      <c r="J32" s="255">
        <f>SUM(J9:J16,J25:J26)</f>
        <v>122958750</v>
      </c>
      <c r="K32" s="621">
        <f>J32+J33</f>
        <v>524096097</v>
      </c>
      <c r="L32" s="250"/>
    </row>
    <row r="33" spans="1:12" ht="18.600000000000001" customHeight="1" thickBot="1">
      <c r="A33" s="61"/>
      <c r="B33" s="301"/>
      <c r="G33" s="254" t="s">
        <v>80</v>
      </c>
      <c r="H33" s="253">
        <f>H17+H18+H19+H20+H21+H22+H23+H24+H28</f>
        <v>406290000</v>
      </c>
      <c r="I33" s="253">
        <f>I17+I18+I19+I20+I21+I22+I23+I24</f>
        <v>401222250</v>
      </c>
      <c r="J33" s="253">
        <f>J17+J18+J19+J20+J21+J22+J23+J24</f>
        <v>401137347</v>
      </c>
      <c r="K33" s="621"/>
      <c r="L33" s="250"/>
    </row>
    <row r="34" spans="1:12" ht="18.75">
      <c r="A34" s="61"/>
      <c r="B34" s="301"/>
      <c r="H34" s="252"/>
      <c r="I34" s="252">
        <f>SUM(I30:I33)</f>
        <v>824106640</v>
      </c>
      <c r="J34" s="252">
        <f>SUM(J30:J33)</f>
        <v>832458713</v>
      </c>
      <c r="K34" s="412">
        <f>K30+K32</f>
        <v>832458713</v>
      </c>
      <c r="L34" s="250"/>
    </row>
    <row r="35" spans="1:12" ht="25.5" customHeight="1">
      <c r="L35" s="250"/>
    </row>
    <row r="36" spans="1:12" ht="18.75">
      <c r="C36" s="598" t="s">
        <v>81</v>
      </c>
      <c r="D36" s="599"/>
      <c r="E36" s="599"/>
      <c r="F36" s="599"/>
      <c r="G36" s="599"/>
      <c r="H36" s="600"/>
      <c r="I36" s="251"/>
      <c r="J36" s="251"/>
      <c r="L36" s="250"/>
    </row>
    <row r="37" spans="1:12" ht="26.25" thickBot="1">
      <c r="C37" s="299" t="s">
        <v>1</v>
      </c>
      <c r="D37" s="299" t="s">
        <v>2</v>
      </c>
      <c r="E37" s="299" t="s">
        <v>3</v>
      </c>
      <c r="F37" s="299" t="s">
        <v>4</v>
      </c>
      <c r="G37" s="300" t="s">
        <v>5</v>
      </c>
      <c r="H37" s="299" t="s">
        <v>6</v>
      </c>
      <c r="I37" s="247"/>
      <c r="J37" s="247"/>
      <c r="L37" s="250"/>
    </row>
    <row r="38" spans="1:12" ht="19.5" customHeight="1">
      <c r="C38" s="298">
        <v>2</v>
      </c>
      <c r="D38" s="296" t="s">
        <v>11</v>
      </c>
      <c r="E38" s="297" t="s">
        <v>12</v>
      </c>
      <c r="F38" s="296" t="s">
        <v>13</v>
      </c>
      <c r="G38" s="295" t="s">
        <v>82</v>
      </c>
      <c r="H38" s="294">
        <f>H3</f>
        <v>103039200</v>
      </c>
      <c r="I38" s="293"/>
      <c r="J38" s="293"/>
      <c r="K38" s="615" t="s">
        <v>83</v>
      </c>
      <c r="L38" s="250"/>
    </row>
    <row r="39" spans="1:12" ht="38.25" customHeight="1">
      <c r="C39" s="292">
        <v>2</v>
      </c>
      <c r="D39" s="290" t="s">
        <v>17</v>
      </c>
      <c r="E39" s="291" t="s">
        <v>18</v>
      </c>
      <c r="F39" s="290" t="s">
        <v>13</v>
      </c>
      <c r="G39" s="289" t="s">
        <v>82</v>
      </c>
      <c r="H39" s="288">
        <f>H4</f>
        <v>7000000</v>
      </c>
      <c r="I39" s="287"/>
      <c r="J39" s="287"/>
      <c r="K39" s="615"/>
      <c r="L39" s="250"/>
    </row>
    <row r="40" spans="1:12" ht="47.25" customHeight="1">
      <c r="C40" s="616">
        <v>2</v>
      </c>
      <c r="D40" s="580" t="s">
        <v>17</v>
      </c>
      <c r="E40" s="618" t="s">
        <v>18</v>
      </c>
      <c r="F40" s="580" t="s">
        <v>21</v>
      </c>
      <c r="G40" s="582" t="s">
        <v>84</v>
      </c>
      <c r="H40" s="584">
        <f>SUM(H5:H7)</f>
        <v>168682600</v>
      </c>
      <c r="I40" s="286"/>
      <c r="J40" s="286"/>
      <c r="K40" s="620" t="s">
        <v>85</v>
      </c>
      <c r="L40" s="250"/>
    </row>
    <row r="41" spans="1:12" ht="19.5" thickBot="1">
      <c r="C41" s="617"/>
      <c r="D41" s="581"/>
      <c r="E41" s="619"/>
      <c r="F41" s="581"/>
      <c r="G41" s="583"/>
      <c r="H41" s="585"/>
      <c r="I41" s="285"/>
      <c r="J41" s="285"/>
      <c r="K41" s="620"/>
      <c r="L41" s="250"/>
    </row>
    <row r="42" spans="1:12" ht="25.5">
      <c r="C42" s="284">
        <v>3</v>
      </c>
      <c r="D42" s="282" t="s">
        <v>11</v>
      </c>
      <c r="E42" s="283" t="s">
        <v>12</v>
      </c>
      <c r="F42" s="282" t="s">
        <v>39</v>
      </c>
      <c r="G42" s="281" t="s">
        <v>84</v>
      </c>
      <c r="H42" s="280">
        <f>SUM(H9:H15)</f>
        <v>20000000</v>
      </c>
      <c r="I42" s="279"/>
      <c r="J42" s="279"/>
      <c r="K42" s="620"/>
      <c r="L42" s="278"/>
    </row>
    <row r="43" spans="1:12" ht="25.5" customHeight="1">
      <c r="C43" s="277">
        <v>3</v>
      </c>
      <c r="D43" s="275" t="s">
        <v>17</v>
      </c>
      <c r="E43" s="276" t="s">
        <v>18</v>
      </c>
      <c r="F43" s="275" t="s">
        <v>48</v>
      </c>
      <c r="G43" s="274" t="s">
        <v>84</v>
      </c>
      <c r="H43" s="273">
        <f>SUM(H17:H24)</f>
        <v>404290000</v>
      </c>
      <c r="I43" s="272"/>
      <c r="J43" s="272"/>
      <c r="K43" s="620"/>
      <c r="L43" s="259"/>
    </row>
    <row r="44" spans="1:12" ht="25.5">
      <c r="C44" s="271"/>
      <c r="D44" s="269" t="s">
        <v>11</v>
      </c>
      <c r="E44" s="270" t="s">
        <v>12</v>
      </c>
      <c r="F44" s="269" t="s">
        <v>72</v>
      </c>
      <c r="G44" s="268" t="s">
        <v>84</v>
      </c>
      <c r="H44" s="267">
        <f>SUM(H25:H27)</f>
        <v>90017360</v>
      </c>
      <c r="I44" s="266"/>
      <c r="J44" s="266"/>
      <c r="K44" s="620"/>
      <c r="L44" s="259"/>
    </row>
    <row r="45" spans="1:12" ht="19.5" thickBot="1">
      <c r="C45" s="265">
        <v>3</v>
      </c>
      <c r="D45" s="263" t="s">
        <v>17</v>
      </c>
      <c r="E45" s="264" t="s">
        <v>18</v>
      </c>
      <c r="F45" s="263" t="s">
        <v>72</v>
      </c>
      <c r="G45" s="262" t="s">
        <v>84</v>
      </c>
      <c r="H45" s="261">
        <f>H28</f>
        <v>2000000</v>
      </c>
      <c r="I45" s="260"/>
      <c r="J45" s="260"/>
      <c r="K45" s="620"/>
      <c r="L45" s="259"/>
    </row>
    <row r="46" spans="1:12" ht="19.5" thickBot="1">
      <c r="L46" s="250"/>
    </row>
    <row r="47" spans="1:12" ht="18.75">
      <c r="G47" s="258" t="s">
        <v>77</v>
      </c>
      <c r="H47" s="257">
        <f>H38</f>
        <v>103039200</v>
      </c>
      <c r="I47" s="252"/>
      <c r="J47" s="252"/>
      <c r="L47" s="250"/>
    </row>
    <row r="48" spans="1:12" ht="18.75">
      <c r="G48" s="256" t="s">
        <v>78</v>
      </c>
      <c r="H48" s="255">
        <f>H39+H40</f>
        <v>175682600</v>
      </c>
      <c r="I48" s="252"/>
      <c r="J48" s="252"/>
      <c r="L48" s="250"/>
    </row>
    <row r="49" spans="3:12" ht="18.75">
      <c r="G49" s="256" t="s">
        <v>79</v>
      </c>
      <c r="H49" s="255">
        <f>H42+H44</f>
        <v>110017360</v>
      </c>
      <c r="I49" s="252"/>
      <c r="J49" s="252"/>
      <c r="L49" s="250"/>
    </row>
    <row r="50" spans="3:12" ht="19.5" thickBot="1">
      <c r="G50" s="254" t="s">
        <v>80</v>
      </c>
      <c r="H50" s="253">
        <f>H43+H45</f>
        <v>406290000</v>
      </c>
      <c r="I50" s="252"/>
      <c r="J50" s="252"/>
      <c r="L50" s="250"/>
    </row>
    <row r="51" spans="3:12" ht="18.75">
      <c r="L51" s="250"/>
    </row>
    <row r="52" spans="3:12" ht="18.75">
      <c r="C52" s="598" t="s">
        <v>86</v>
      </c>
      <c r="D52" s="599"/>
      <c r="E52" s="599"/>
      <c r="F52" s="599"/>
      <c r="G52" s="599"/>
      <c r="H52" s="600"/>
      <c r="I52" s="251"/>
      <c r="J52" s="251"/>
      <c r="L52" s="250"/>
    </row>
    <row r="53" spans="3:12" ht="25.5">
      <c r="C53" s="248" t="s">
        <v>1</v>
      </c>
      <c r="D53" s="248" t="s">
        <v>2</v>
      </c>
      <c r="E53" s="248" t="s">
        <v>3</v>
      </c>
      <c r="F53" s="248" t="s">
        <v>4</v>
      </c>
      <c r="G53" s="249" t="s">
        <v>5</v>
      </c>
      <c r="H53" s="248" t="s">
        <v>6</v>
      </c>
      <c r="I53" s="247"/>
      <c r="J53" s="247"/>
      <c r="L53" s="250"/>
    </row>
    <row r="54" spans="3:12" ht="18.75">
      <c r="C54" s="244"/>
      <c r="D54" s="244"/>
      <c r="E54" s="246"/>
      <c r="F54" s="244"/>
      <c r="G54" s="245"/>
      <c r="H54" s="244"/>
      <c r="L54" s="250"/>
    </row>
    <row r="55" spans="3:12" ht="18.75">
      <c r="C55" s="244"/>
      <c r="D55" s="244"/>
      <c r="E55" s="246"/>
      <c r="F55" s="244"/>
      <c r="G55" s="245"/>
      <c r="H55" s="244"/>
      <c r="L55" s="250"/>
    </row>
    <row r="56" spans="3:12" ht="18.75">
      <c r="C56" s="244"/>
      <c r="D56" s="244"/>
      <c r="E56" s="246"/>
      <c r="F56" s="244"/>
      <c r="G56" s="245"/>
      <c r="H56" s="244"/>
      <c r="L56" s="250"/>
    </row>
    <row r="57" spans="3:12" ht="18.75">
      <c r="C57" s="244"/>
      <c r="D57" s="244"/>
      <c r="E57" s="246"/>
      <c r="F57" s="244"/>
      <c r="G57" s="245"/>
      <c r="H57" s="244"/>
      <c r="L57" s="250"/>
    </row>
    <row r="58" spans="3:12" ht="18.75">
      <c r="C58" s="244"/>
      <c r="D58" s="244"/>
      <c r="E58" s="246"/>
      <c r="F58" s="244"/>
      <c r="G58" s="245"/>
      <c r="H58" s="244"/>
      <c r="L58" s="250"/>
    </row>
    <row r="59" spans="3:12" ht="18.75">
      <c r="C59" s="244"/>
      <c r="D59" s="244"/>
      <c r="E59" s="246"/>
      <c r="F59" s="244"/>
      <c r="G59" s="245"/>
      <c r="H59" s="244"/>
      <c r="L59" s="250"/>
    </row>
    <row r="60" spans="3:12" ht="18.75">
      <c r="C60" s="244"/>
      <c r="D60" s="244"/>
      <c r="E60" s="246"/>
      <c r="F60" s="244"/>
      <c r="G60" s="245"/>
      <c r="H60" s="244"/>
      <c r="L60" s="250"/>
    </row>
    <row r="61" spans="3:12" ht="18.75">
      <c r="C61" s="244"/>
      <c r="D61" s="244"/>
      <c r="E61" s="246"/>
      <c r="F61" s="244"/>
      <c r="G61" s="245"/>
      <c r="H61" s="244"/>
      <c r="L61" s="250"/>
    </row>
    <row r="62" spans="3:12" ht="18.75">
      <c r="C62" s="244"/>
      <c r="D62" s="244"/>
      <c r="E62" s="246"/>
      <c r="F62" s="244"/>
      <c r="G62" s="245"/>
      <c r="H62" s="244"/>
      <c r="L62" s="250"/>
    </row>
    <row r="63" spans="3:12" ht="18.75">
      <c r="C63" s="244"/>
      <c r="D63" s="244"/>
      <c r="E63" s="246"/>
      <c r="F63" s="244"/>
      <c r="G63" s="245"/>
      <c r="H63" s="244"/>
      <c r="L63" s="250"/>
    </row>
    <row r="64" spans="3:12" ht="18.75">
      <c r="C64" s="244"/>
      <c r="D64" s="244"/>
      <c r="E64" s="246"/>
      <c r="F64" s="244"/>
      <c r="G64" s="245"/>
      <c r="H64" s="244"/>
      <c r="L64" s="250"/>
    </row>
    <row r="65" spans="3:12" ht="18.75">
      <c r="L65" s="250"/>
    </row>
    <row r="66" spans="3:12" ht="18.75">
      <c r="L66" s="250"/>
    </row>
    <row r="67" spans="3:12" ht="18.75">
      <c r="L67" s="250"/>
    </row>
    <row r="68" spans="3:12" ht="18.75">
      <c r="L68" s="250"/>
    </row>
    <row r="69" spans="3:12" ht="18.75">
      <c r="L69" s="250"/>
    </row>
    <row r="70" spans="3:12" ht="18.75">
      <c r="L70" s="250"/>
    </row>
    <row r="71" spans="3:12">
      <c r="C71" s="244"/>
      <c r="D71" s="244"/>
      <c r="E71" s="246"/>
      <c r="F71" s="244"/>
      <c r="G71" s="245"/>
      <c r="H71" s="244"/>
    </row>
    <row r="72" spans="3:12">
      <c r="C72" s="244"/>
      <c r="D72" s="244"/>
      <c r="E72" s="246"/>
      <c r="F72" s="244"/>
      <c r="G72" s="245"/>
      <c r="H72" s="244"/>
    </row>
    <row r="73" spans="3:12">
      <c r="C73" s="244"/>
      <c r="D73" s="244"/>
      <c r="E73" s="246"/>
      <c r="F73" s="244"/>
      <c r="G73" s="245"/>
      <c r="H73" s="244"/>
    </row>
    <row r="76" spans="3:12" ht="15.75" customHeight="1">
      <c r="C76" s="607" t="s">
        <v>87</v>
      </c>
      <c r="D76" s="608"/>
      <c r="E76" s="608"/>
      <c r="F76" s="608"/>
      <c r="G76" s="608"/>
      <c r="H76" s="609"/>
      <c r="I76" s="78"/>
      <c r="J76" s="78"/>
    </row>
    <row r="77" spans="3:12" ht="25.5">
      <c r="C77" s="248" t="s">
        <v>1</v>
      </c>
      <c r="D77" s="248" t="s">
        <v>2</v>
      </c>
      <c r="E77" s="248" t="s">
        <v>3</v>
      </c>
      <c r="F77" s="248" t="s">
        <v>4</v>
      </c>
      <c r="G77" s="249" t="s">
        <v>5</v>
      </c>
      <c r="H77" s="248" t="s">
        <v>6</v>
      </c>
      <c r="I77" s="247"/>
      <c r="J77" s="247"/>
    </row>
    <row r="78" spans="3:12" ht="25.5" customHeight="1">
      <c r="C78" s="244"/>
      <c r="D78" s="244"/>
      <c r="E78" s="246"/>
      <c r="F78" s="244"/>
      <c r="G78" s="245"/>
      <c r="H78" s="244"/>
    </row>
    <row r="79" spans="3:12">
      <c r="C79" s="244"/>
      <c r="D79" s="244"/>
      <c r="E79" s="246"/>
      <c r="F79" s="244"/>
      <c r="G79" s="245"/>
      <c r="H79" s="244"/>
    </row>
    <row r="80" spans="3:12">
      <c r="C80" s="244"/>
      <c r="D80" s="244"/>
      <c r="E80" s="246"/>
      <c r="F80" s="244"/>
      <c r="G80" s="245"/>
      <c r="H80" s="244"/>
    </row>
    <row r="81" spans="3:8">
      <c r="C81" s="244"/>
      <c r="D81" s="244"/>
      <c r="E81" s="246"/>
      <c r="F81" s="244"/>
      <c r="G81" s="245"/>
      <c r="H81" s="244"/>
    </row>
    <row r="82" spans="3:8">
      <c r="C82" s="244"/>
      <c r="D82" s="244"/>
      <c r="E82" s="246"/>
      <c r="F82" s="244"/>
      <c r="G82" s="245"/>
      <c r="H82" s="244"/>
    </row>
    <row r="83" spans="3:8">
      <c r="C83" s="244"/>
      <c r="D83" s="244"/>
      <c r="E83" s="246"/>
      <c r="F83" s="244"/>
      <c r="G83" s="245"/>
      <c r="H83" s="244"/>
    </row>
    <row r="84" spans="3:8">
      <c r="C84" s="244"/>
      <c r="D84" s="244"/>
      <c r="E84" s="246"/>
      <c r="F84" s="244"/>
      <c r="G84" s="245"/>
      <c r="H84" s="244"/>
    </row>
    <row r="85" spans="3:8">
      <c r="C85" s="244"/>
      <c r="D85" s="244"/>
      <c r="E85" s="246"/>
      <c r="F85" s="244"/>
      <c r="G85" s="245"/>
      <c r="H85" s="244"/>
    </row>
    <row r="86" spans="3:8">
      <c r="C86" s="244"/>
      <c r="D86" s="244"/>
      <c r="E86" s="246"/>
      <c r="F86" s="244"/>
      <c r="G86" s="245"/>
      <c r="H86" s="244"/>
    </row>
    <row r="87" spans="3:8">
      <c r="C87" s="244"/>
      <c r="D87" s="244"/>
      <c r="E87" s="246"/>
      <c r="F87" s="244"/>
      <c r="G87" s="245"/>
      <c r="H87" s="244"/>
    </row>
    <row r="88" spans="3:8">
      <c r="C88" s="244"/>
      <c r="D88" s="244"/>
      <c r="E88" s="246"/>
      <c r="F88" s="244"/>
      <c r="G88" s="245"/>
      <c r="H88" s="244"/>
    </row>
  </sheetData>
  <mergeCells count="45">
    <mergeCell ref="M3:N3"/>
    <mergeCell ref="M19:N19"/>
    <mergeCell ref="L3:L8"/>
    <mergeCell ref="M4:N4"/>
    <mergeCell ref="M5:N5"/>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C1:H1"/>
    <mergeCell ref="D9:D10"/>
    <mergeCell ref="F10:F16"/>
    <mergeCell ref="G11:G12"/>
    <mergeCell ref="G13:G14"/>
    <mergeCell ref="A17:A19"/>
    <mergeCell ref="B17:B19"/>
    <mergeCell ref="F40:F41"/>
    <mergeCell ref="G40:G41"/>
    <mergeCell ref="H40:H41"/>
    <mergeCell ref="A20:A23"/>
    <mergeCell ref="B20:B23"/>
    <mergeCell ref="A27:A28"/>
    <mergeCell ref="B25:B26"/>
    <mergeCell ref="B27:B28"/>
    <mergeCell ref="A9:A16"/>
    <mergeCell ref="A3:A4"/>
    <mergeCell ref="B3:B4"/>
    <mergeCell ref="K3:K4"/>
    <mergeCell ref="A6:A7"/>
    <mergeCell ref="B6:B7"/>
    <mergeCell ref="D15:D16"/>
    <mergeCell ref="D13:D14"/>
    <mergeCell ref="D11:D12"/>
    <mergeCell ref="C9:C16"/>
    <mergeCell ref="B9:B1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1"/>
  <sheetViews>
    <sheetView topLeftCell="H39" zoomScale="55" zoomScaleNormal="55" workbookViewId="0">
      <selection activeCell="P42" sqref="P42"/>
    </sheetView>
  </sheetViews>
  <sheetFormatPr defaultColWidth="9.28515625" defaultRowHeight="15"/>
  <cols>
    <col min="1" max="1" width="19.28515625" customWidth="1"/>
    <col min="2" max="2" width="18.28515625" style="62" customWidth="1"/>
    <col min="3" max="3" width="17.5703125" bestFit="1" customWidth="1"/>
    <col min="4" max="4" width="16" customWidth="1"/>
    <col min="5" max="5" width="20.28515625" customWidth="1"/>
    <col min="6" max="6" width="16.42578125" customWidth="1"/>
    <col min="7" max="7" width="19.28515625" customWidth="1"/>
    <col min="8" max="8" width="17.28515625" bestFit="1" customWidth="1"/>
    <col min="9" max="9" width="17.28515625" customWidth="1"/>
    <col min="10" max="10" width="16.42578125" customWidth="1"/>
    <col min="11" max="11" width="15.5703125" bestFit="1" customWidth="1"/>
    <col min="12" max="12" width="13.7109375" customWidth="1"/>
    <col min="13" max="13" width="14.7109375" customWidth="1"/>
    <col min="14" max="14" width="10.28515625" style="61" customWidth="1"/>
    <col min="15" max="15" width="11.7109375" style="61" customWidth="1"/>
    <col min="16" max="16" width="12.28515625" customWidth="1"/>
    <col min="17" max="17" width="26.7109375" customWidth="1"/>
    <col min="18" max="18" width="77.7109375" customWidth="1"/>
    <col min="19" max="19" width="75" style="191" customWidth="1"/>
    <col min="20" max="20" width="9.28515625" style="112"/>
    <col min="21" max="21" width="59.7109375" style="112" customWidth="1"/>
    <col min="22" max="22" width="15.28515625" style="112" bestFit="1" customWidth="1"/>
  </cols>
  <sheetData>
    <row r="1" spans="1:22" s="106" customFormat="1">
      <c r="A1" s="761" t="s">
        <v>88</v>
      </c>
      <c r="B1" s="761"/>
      <c r="C1" s="761"/>
      <c r="D1" s="761"/>
      <c r="E1" s="761"/>
      <c r="I1" s="125" t="s">
        <v>89</v>
      </c>
      <c r="J1" s="125"/>
      <c r="K1" s="125"/>
      <c r="L1" s="125"/>
      <c r="M1" s="125"/>
      <c r="N1" s="125"/>
      <c r="O1" s="125"/>
      <c r="P1" s="125"/>
      <c r="S1" s="405"/>
      <c r="T1" s="122"/>
      <c r="U1" s="122"/>
      <c r="V1" s="122"/>
    </row>
    <row r="2" spans="1:22" s="106" customFormat="1" ht="16.5" customHeight="1">
      <c r="A2" s="106" t="s">
        <v>90</v>
      </c>
      <c r="S2" s="405"/>
      <c r="T2" s="122"/>
      <c r="U2" s="122"/>
      <c r="V2" s="122"/>
    </row>
    <row r="3" spans="1:22" s="106" customFormat="1" ht="16.5" customHeight="1">
      <c r="A3" s="767" t="s">
        <v>91</v>
      </c>
      <c r="B3" s="767"/>
      <c r="C3" s="767"/>
      <c r="D3" s="767"/>
      <c r="E3" s="767"/>
      <c r="F3" s="767"/>
      <c r="G3" s="767"/>
      <c r="J3" s="106" t="s">
        <v>92</v>
      </c>
      <c r="N3" s="107"/>
      <c r="O3" s="107"/>
      <c r="S3" s="405"/>
      <c r="T3" s="122"/>
      <c r="U3" s="122"/>
      <c r="V3" s="122"/>
    </row>
    <row r="4" spans="1:22" s="106" customFormat="1" ht="16.5" customHeight="1">
      <c r="A4" s="771" t="s">
        <v>93</v>
      </c>
      <c r="B4" s="771"/>
      <c r="C4" s="771"/>
      <c r="D4" s="771"/>
      <c r="E4" s="771"/>
      <c r="F4" s="771"/>
      <c r="G4" s="771"/>
      <c r="N4" s="107"/>
      <c r="O4" s="107"/>
      <c r="S4" s="405"/>
      <c r="T4" s="122"/>
      <c r="U4" s="122"/>
      <c r="V4" s="122"/>
    </row>
    <row r="5" spans="1:22" s="106" customFormat="1" ht="16.5" customHeight="1">
      <c r="A5" s="767" t="s">
        <v>94</v>
      </c>
      <c r="B5" s="767"/>
      <c r="C5" s="767"/>
      <c r="D5" s="767"/>
      <c r="E5" s="767"/>
      <c r="F5" s="767"/>
      <c r="G5" s="767"/>
      <c r="N5" s="107"/>
      <c r="O5" s="107"/>
      <c r="S5" s="405"/>
      <c r="T5" s="122"/>
      <c r="U5" s="122"/>
      <c r="V5" s="122"/>
    </row>
    <row r="6" spans="1:22" s="106" customFormat="1" ht="16.5" customHeight="1">
      <c r="A6" s="767" t="s">
        <v>95</v>
      </c>
      <c r="B6" s="767"/>
      <c r="C6" s="767"/>
      <c r="D6" s="767"/>
      <c r="E6" s="767"/>
      <c r="F6" s="767"/>
      <c r="G6" s="767"/>
      <c r="H6" s="767"/>
      <c r="N6" s="107"/>
      <c r="O6" s="107"/>
      <c r="S6" s="405"/>
      <c r="T6" s="122"/>
      <c r="U6" s="122"/>
      <c r="V6" s="122"/>
    </row>
    <row r="7" spans="1:22" s="106" customFormat="1" ht="16.5" customHeight="1">
      <c r="A7" s="767" t="s">
        <v>96</v>
      </c>
      <c r="B7" s="767"/>
      <c r="C7" s="767"/>
      <c r="D7" s="767"/>
      <c r="E7" s="767"/>
      <c r="F7" s="767"/>
      <c r="G7" s="767"/>
      <c r="N7" s="107"/>
      <c r="O7" s="107"/>
      <c r="S7" s="405"/>
      <c r="T7" s="122"/>
      <c r="U7" s="122"/>
      <c r="V7" s="122"/>
    </row>
    <row r="8" spans="1:22" s="106" customFormat="1" ht="16.5" customHeight="1">
      <c r="A8" s="767" t="s">
        <v>97</v>
      </c>
      <c r="B8" s="767"/>
      <c r="C8" s="767"/>
      <c r="D8" s="767"/>
      <c r="E8" s="767"/>
      <c r="F8" s="767"/>
      <c r="G8" s="767"/>
      <c r="N8" s="107"/>
      <c r="O8" s="107"/>
      <c r="S8" s="405"/>
      <c r="T8" s="122"/>
      <c r="U8" s="122"/>
      <c r="V8" s="122"/>
    </row>
    <row r="9" spans="1:22" s="106" customFormat="1" ht="16.5" customHeight="1">
      <c r="A9" s="767" t="s">
        <v>98</v>
      </c>
      <c r="B9" s="767"/>
      <c r="C9" s="767"/>
      <c r="D9" s="767"/>
      <c r="E9" s="767"/>
      <c r="F9" s="767"/>
      <c r="G9" s="767"/>
      <c r="N9" s="107"/>
      <c r="O9" s="107"/>
      <c r="S9" s="405"/>
      <c r="T9" s="122"/>
      <c r="U9" s="122"/>
      <c r="V9" s="122"/>
    </row>
    <row r="10" spans="1:22" ht="15.75" thickBot="1">
      <c r="A10" t="s">
        <v>99</v>
      </c>
    </row>
    <row r="11" spans="1:22" ht="15" customHeight="1">
      <c r="A11" s="776" t="s">
        <v>100</v>
      </c>
      <c r="B11" s="772" t="s">
        <v>101</v>
      </c>
      <c r="C11" s="778" t="s">
        <v>102</v>
      </c>
      <c r="D11" s="786" t="s">
        <v>103</v>
      </c>
      <c r="E11" s="787"/>
      <c r="F11" s="787"/>
      <c r="G11" s="776" t="s">
        <v>104</v>
      </c>
      <c r="H11" s="788" t="s">
        <v>105</v>
      </c>
      <c r="I11" s="788"/>
      <c r="J11" s="782" t="s">
        <v>106</v>
      </c>
      <c r="K11" s="774" t="s">
        <v>107</v>
      </c>
      <c r="L11" s="782" t="s">
        <v>108</v>
      </c>
      <c r="M11" s="787" t="s">
        <v>109</v>
      </c>
      <c r="N11" s="789"/>
      <c r="O11" s="782" t="s">
        <v>110</v>
      </c>
      <c r="P11" s="782" t="s">
        <v>111</v>
      </c>
      <c r="Q11" s="782" t="s">
        <v>112</v>
      </c>
      <c r="R11" s="784" t="s">
        <v>113</v>
      </c>
    </row>
    <row r="12" spans="1:22" ht="65.650000000000006" customHeight="1" thickBot="1">
      <c r="A12" s="777"/>
      <c r="B12" s="773"/>
      <c r="C12" s="779"/>
      <c r="D12" s="1" t="s">
        <v>114</v>
      </c>
      <c r="E12" s="6" t="s">
        <v>115</v>
      </c>
      <c r="F12" s="5" t="s">
        <v>116</v>
      </c>
      <c r="G12" s="777"/>
      <c r="H12" s="1" t="s">
        <v>117</v>
      </c>
      <c r="I12" s="2" t="s">
        <v>118</v>
      </c>
      <c r="J12" s="783"/>
      <c r="K12" s="775"/>
      <c r="L12" s="783"/>
      <c r="M12" s="2" t="s">
        <v>119</v>
      </c>
      <c r="N12" s="2" t="s">
        <v>120</v>
      </c>
      <c r="O12" s="783"/>
      <c r="P12" s="783"/>
      <c r="Q12" s="783"/>
      <c r="R12" s="785"/>
    </row>
    <row r="13" spans="1:22" ht="69.75" customHeight="1">
      <c r="A13" s="726" t="s">
        <v>121</v>
      </c>
      <c r="B13" s="487"/>
      <c r="C13" s="747">
        <v>81711019.799999997</v>
      </c>
      <c r="D13" s="762" t="s">
        <v>122</v>
      </c>
      <c r="E13" s="736">
        <v>49026611.899999999</v>
      </c>
      <c r="F13" s="638">
        <f>E13+(E13*0.3/0.7)</f>
        <v>70038017</v>
      </c>
      <c r="G13" s="802"/>
      <c r="H13" s="87" t="s">
        <v>123</v>
      </c>
      <c r="I13" s="26" t="s">
        <v>124</v>
      </c>
      <c r="J13" s="665" t="s">
        <v>125</v>
      </c>
      <c r="K13" s="660" t="s">
        <v>17</v>
      </c>
      <c r="L13" s="27" t="s">
        <v>126</v>
      </c>
      <c r="M13" s="66">
        <v>0</v>
      </c>
      <c r="N13" s="66">
        <v>2021</v>
      </c>
      <c r="O13" s="85" t="s">
        <v>127</v>
      </c>
      <c r="P13" s="85" t="s">
        <v>128</v>
      </c>
      <c r="Q13" s="67" t="s">
        <v>129</v>
      </c>
      <c r="R13" s="63"/>
    </row>
    <row r="14" spans="1:22" ht="75">
      <c r="A14" s="703"/>
      <c r="B14" s="488"/>
      <c r="C14" s="688"/>
      <c r="D14" s="763"/>
      <c r="E14" s="737"/>
      <c r="F14" s="699"/>
      <c r="G14" s="803"/>
      <c r="H14" s="20" t="s">
        <v>130</v>
      </c>
      <c r="I14" s="28" t="s">
        <v>131</v>
      </c>
      <c r="J14" s="666"/>
      <c r="K14" s="661"/>
      <c r="L14" s="29" t="s">
        <v>132</v>
      </c>
      <c r="M14" s="23" t="s">
        <v>133</v>
      </c>
      <c r="N14" s="13">
        <v>2021</v>
      </c>
      <c r="O14" s="24" t="s">
        <v>127</v>
      </c>
      <c r="P14" s="24" t="s">
        <v>128</v>
      </c>
      <c r="Q14" s="68" t="s">
        <v>129</v>
      </c>
      <c r="R14" s="64"/>
    </row>
    <row r="15" spans="1:22" ht="75" customHeight="1">
      <c r="A15" s="703"/>
      <c r="B15" s="488"/>
      <c r="C15" s="688"/>
      <c r="D15" s="763"/>
      <c r="E15" s="737"/>
      <c r="F15" s="699"/>
      <c r="G15" s="803"/>
      <c r="H15" s="20" t="s">
        <v>134</v>
      </c>
      <c r="I15" s="28" t="s">
        <v>135</v>
      </c>
      <c r="J15" s="666"/>
      <c r="K15" s="661"/>
      <c r="L15" s="29" t="s">
        <v>126</v>
      </c>
      <c r="M15" s="13">
        <v>0</v>
      </c>
      <c r="N15" s="7" t="s">
        <v>127</v>
      </c>
      <c r="O15" s="24" t="s">
        <v>128</v>
      </c>
      <c r="P15" s="22" t="s">
        <v>128</v>
      </c>
      <c r="Q15" s="68" t="s">
        <v>129</v>
      </c>
      <c r="R15" s="64"/>
    </row>
    <row r="16" spans="1:22" ht="60.75" thickBot="1">
      <c r="A16" s="703"/>
      <c r="B16" s="488"/>
      <c r="C16" s="688"/>
      <c r="D16" s="763"/>
      <c r="E16" s="737"/>
      <c r="F16" s="699"/>
      <c r="G16" s="803"/>
      <c r="H16" s="20" t="s">
        <v>136</v>
      </c>
      <c r="I16" s="28" t="s">
        <v>137</v>
      </c>
      <c r="J16" s="666"/>
      <c r="K16" s="661"/>
      <c r="L16" s="28" t="s">
        <v>138</v>
      </c>
      <c r="M16" s="13">
        <v>0</v>
      </c>
      <c r="N16" s="7" t="s">
        <v>127</v>
      </c>
      <c r="O16" s="7" t="s">
        <v>139</v>
      </c>
      <c r="P16" s="22" t="s">
        <v>128</v>
      </c>
      <c r="Q16" s="68" t="s">
        <v>129</v>
      </c>
      <c r="R16" s="64"/>
    </row>
    <row r="17" spans="1:18" ht="45.75" thickBot="1">
      <c r="A17" s="703"/>
      <c r="B17" s="488"/>
      <c r="C17" s="688"/>
      <c r="D17" s="764"/>
      <c r="E17" s="738"/>
      <c r="F17" s="674"/>
      <c r="G17" s="804"/>
      <c r="H17" s="489" t="s">
        <v>140</v>
      </c>
      <c r="I17" s="32" t="s">
        <v>141</v>
      </c>
      <c r="J17" s="667"/>
      <c r="K17" s="662"/>
      <c r="L17" s="34" t="s">
        <v>142</v>
      </c>
      <c r="M17" s="109" t="s">
        <v>128</v>
      </c>
      <c r="N17" s="15">
        <v>2021</v>
      </c>
      <c r="O17" s="16" t="s">
        <v>127</v>
      </c>
      <c r="P17" s="16" t="s">
        <v>128</v>
      </c>
      <c r="Q17" s="65" t="s">
        <v>129</v>
      </c>
      <c r="R17" s="73"/>
    </row>
    <row r="18" spans="1:18" ht="81.75" customHeight="1">
      <c r="A18" s="703"/>
      <c r="B18" s="488"/>
      <c r="C18" s="737"/>
      <c r="D18" s="765" t="s">
        <v>143</v>
      </c>
      <c r="E18" s="766">
        <v>32684407.899999999</v>
      </c>
      <c r="F18" s="644">
        <f>E18+(E18*0.3/0.7)</f>
        <v>46692011.285714284</v>
      </c>
      <c r="G18" s="805"/>
      <c r="H18" s="87" t="s">
        <v>123</v>
      </c>
      <c r="I18" s="26" t="s">
        <v>124</v>
      </c>
      <c r="J18" s="665" t="s">
        <v>125</v>
      </c>
      <c r="K18" s="660" t="s">
        <v>17</v>
      </c>
      <c r="L18" s="27" t="s">
        <v>126</v>
      </c>
      <c r="M18" s="66">
        <v>0</v>
      </c>
      <c r="N18" s="66">
        <v>2021</v>
      </c>
      <c r="O18" s="85" t="s">
        <v>127</v>
      </c>
      <c r="P18" s="85" t="s">
        <v>128</v>
      </c>
      <c r="Q18" s="67" t="s">
        <v>129</v>
      </c>
      <c r="R18" s="63"/>
    </row>
    <row r="19" spans="1:18" ht="75">
      <c r="A19" s="703"/>
      <c r="B19" s="488"/>
      <c r="C19" s="737"/>
      <c r="D19" s="722"/>
      <c r="E19" s="722"/>
      <c r="F19" s="722"/>
      <c r="G19" s="806"/>
      <c r="H19" s="20" t="s">
        <v>130</v>
      </c>
      <c r="I19" s="28" t="s">
        <v>131</v>
      </c>
      <c r="J19" s="666"/>
      <c r="K19" s="661"/>
      <c r="L19" s="29" t="s">
        <v>132</v>
      </c>
      <c r="M19" s="23" t="s">
        <v>133</v>
      </c>
      <c r="N19" s="13">
        <v>2021</v>
      </c>
      <c r="O19" s="24" t="s">
        <v>127</v>
      </c>
      <c r="P19" s="24" t="s">
        <v>128</v>
      </c>
      <c r="Q19" s="68" t="s">
        <v>129</v>
      </c>
      <c r="R19" s="64"/>
    </row>
    <row r="20" spans="1:18" ht="82.15" customHeight="1">
      <c r="A20" s="703"/>
      <c r="B20" s="488"/>
      <c r="C20" s="737"/>
      <c r="D20" s="722"/>
      <c r="E20" s="722"/>
      <c r="F20" s="722"/>
      <c r="G20" s="806"/>
      <c r="H20" s="20" t="s">
        <v>134</v>
      </c>
      <c r="I20" s="28" t="s">
        <v>135</v>
      </c>
      <c r="J20" s="666"/>
      <c r="K20" s="661"/>
      <c r="L20" s="29" t="s">
        <v>126</v>
      </c>
      <c r="M20" s="13">
        <v>0</v>
      </c>
      <c r="N20" s="7" t="s">
        <v>127</v>
      </c>
      <c r="O20" s="24" t="s">
        <v>128</v>
      </c>
      <c r="P20" s="22" t="s">
        <v>128</v>
      </c>
      <c r="Q20" s="68" t="s">
        <v>129</v>
      </c>
      <c r="R20" s="64"/>
    </row>
    <row r="21" spans="1:18" ht="60">
      <c r="A21" s="703"/>
      <c r="B21" s="488"/>
      <c r="C21" s="737"/>
      <c r="D21" s="722"/>
      <c r="E21" s="722"/>
      <c r="F21" s="722"/>
      <c r="G21" s="806"/>
      <c r="H21" s="20" t="s">
        <v>136</v>
      </c>
      <c r="I21" s="28" t="s">
        <v>137</v>
      </c>
      <c r="J21" s="666"/>
      <c r="K21" s="661"/>
      <c r="L21" s="28" t="s">
        <v>138</v>
      </c>
      <c r="M21" s="13">
        <v>0</v>
      </c>
      <c r="N21" s="7" t="s">
        <v>127</v>
      </c>
      <c r="O21" s="7" t="s">
        <v>139</v>
      </c>
      <c r="P21" s="22" t="s">
        <v>128</v>
      </c>
      <c r="Q21" s="68" t="s">
        <v>129</v>
      </c>
      <c r="R21" s="64"/>
    </row>
    <row r="22" spans="1:18" ht="45.75" thickBot="1">
      <c r="A22" s="729"/>
      <c r="B22" s="488"/>
      <c r="C22" s="737"/>
      <c r="D22" s="722"/>
      <c r="E22" s="722"/>
      <c r="F22" s="722"/>
      <c r="G22" s="806"/>
      <c r="H22" s="490" t="s">
        <v>140</v>
      </c>
      <c r="I22" s="30" t="s">
        <v>141</v>
      </c>
      <c r="J22" s="667"/>
      <c r="K22" s="662"/>
      <c r="L22" s="31" t="s">
        <v>142</v>
      </c>
      <c r="M22" s="110" t="s">
        <v>128</v>
      </c>
      <c r="N22" s="69">
        <v>2021</v>
      </c>
      <c r="O22" s="86" t="s">
        <v>127</v>
      </c>
      <c r="P22" s="86" t="s">
        <v>128</v>
      </c>
      <c r="Q22" s="72" t="s">
        <v>129</v>
      </c>
      <c r="R22" s="70"/>
    </row>
    <row r="23" spans="1:18" ht="113.25" customHeight="1" thickBot="1">
      <c r="A23" s="790" t="s">
        <v>144</v>
      </c>
      <c r="B23" s="491"/>
      <c r="C23" s="768">
        <v>15014039</v>
      </c>
      <c r="D23" s="793" t="s">
        <v>145</v>
      </c>
      <c r="E23" s="747">
        <v>3002807.8</v>
      </c>
      <c r="F23" s="628">
        <f>E23+(E23*0.3/0.7)</f>
        <v>4289725.4285714282</v>
      </c>
      <c r="G23" s="749"/>
      <c r="H23" s="704" t="s">
        <v>134</v>
      </c>
      <c r="I23" s="796" t="s">
        <v>135</v>
      </c>
      <c r="J23" s="665" t="s">
        <v>125</v>
      </c>
      <c r="K23" s="660" t="s">
        <v>17</v>
      </c>
      <c r="L23" s="796" t="s">
        <v>126</v>
      </c>
      <c r="M23" s="18">
        <v>0</v>
      </c>
      <c r="N23" s="17" t="s">
        <v>127</v>
      </c>
      <c r="O23" s="33" t="s">
        <v>128</v>
      </c>
      <c r="P23" s="83" t="s">
        <v>128</v>
      </c>
      <c r="Q23" s="19" t="s">
        <v>129</v>
      </c>
      <c r="R23" s="71"/>
    </row>
    <row r="24" spans="1:18" ht="12.6" hidden="1" customHeight="1">
      <c r="A24" s="791"/>
      <c r="B24" s="492"/>
      <c r="C24" s="769"/>
      <c r="D24" s="794"/>
      <c r="E24" s="688"/>
      <c r="F24" s="629"/>
      <c r="G24" s="750"/>
      <c r="H24" s="727"/>
      <c r="I24" s="651"/>
      <c r="J24" s="666"/>
      <c r="K24" s="661"/>
      <c r="L24" s="651"/>
      <c r="M24" s="13">
        <v>0</v>
      </c>
      <c r="N24" s="7" t="s">
        <v>127</v>
      </c>
      <c r="O24" s="24" t="s">
        <v>128</v>
      </c>
      <c r="P24" s="22" t="s">
        <v>128</v>
      </c>
      <c r="Q24" s="68" t="s">
        <v>146</v>
      </c>
      <c r="R24" s="64"/>
    </row>
    <row r="25" spans="1:18" ht="1.1499999999999999" hidden="1" customHeight="1">
      <c r="A25" s="791"/>
      <c r="B25" s="492"/>
      <c r="C25" s="769"/>
      <c r="D25" s="794"/>
      <c r="E25" s="688"/>
      <c r="F25" s="629"/>
      <c r="G25" s="750"/>
      <c r="H25" s="727"/>
      <c r="I25" s="651"/>
      <c r="J25" s="666"/>
      <c r="K25" s="661"/>
      <c r="L25" s="651"/>
      <c r="M25" s="13">
        <v>0</v>
      </c>
      <c r="N25" s="7" t="s">
        <v>127</v>
      </c>
      <c r="O25" s="24" t="s">
        <v>128</v>
      </c>
      <c r="P25" s="22" t="s">
        <v>128</v>
      </c>
      <c r="Q25" s="68" t="s">
        <v>146</v>
      </c>
      <c r="R25" s="64"/>
    </row>
    <row r="26" spans="1:18" ht="78" customHeight="1" thickBot="1">
      <c r="A26" s="791"/>
      <c r="B26" s="492"/>
      <c r="C26" s="770"/>
      <c r="D26" s="795"/>
      <c r="E26" s="748"/>
      <c r="F26" s="653"/>
      <c r="G26" s="751"/>
      <c r="H26" s="489" t="s">
        <v>140</v>
      </c>
      <c r="I26" s="32" t="s">
        <v>141</v>
      </c>
      <c r="J26" s="667"/>
      <c r="K26" s="662"/>
      <c r="L26" s="34" t="s">
        <v>142</v>
      </c>
      <c r="M26" s="111" t="s">
        <v>128</v>
      </c>
      <c r="N26" s="15">
        <v>2021</v>
      </c>
      <c r="O26" s="16" t="s">
        <v>127</v>
      </c>
      <c r="P26" s="16" t="s">
        <v>128</v>
      </c>
      <c r="Q26" s="65" t="s">
        <v>129</v>
      </c>
      <c r="R26" s="73"/>
    </row>
    <row r="27" spans="1:18" ht="58.15" customHeight="1">
      <c r="A27" s="791"/>
      <c r="B27" s="492"/>
      <c r="C27" s="768"/>
      <c r="D27" s="744" t="s">
        <v>147</v>
      </c>
      <c r="E27" s="747">
        <v>6005615.5999999996</v>
      </c>
      <c r="F27" s="628">
        <f>E27+(E27*0.3/0.7)</f>
        <v>8579450.8571428563</v>
      </c>
      <c r="G27" s="749"/>
      <c r="H27" s="726" t="s">
        <v>134</v>
      </c>
      <c r="I27" s="755" t="s">
        <v>135</v>
      </c>
      <c r="J27" s="665" t="s">
        <v>125</v>
      </c>
      <c r="K27" s="660" t="s">
        <v>17</v>
      </c>
      <c r="L27" s="755" t="s">
        <v>126</v>
      </c>
      <c r="M27" s="650">
        <v>0</v>
      </c>
      <c r="N27" s="756" t="s">
        <v>127</v>
      </c>
      <c r="O27" s="756" t="s">
        <v>128</v>
      </c>
      <c r="P27" s="650" t="s">
        <v>128</v>
      </c>
      <c r="Q27" s="628" t="s">
        <v>129</v>
      </c>
      <c r="R27" s="752"/>
    </row>
    <row r="28" spans="1:18" ht="15.6" customHeight="1">
      <c r="A28" s="791"/>
      <c r="B28" s="492"/>
      <c r="C28" s="769"/>
      <c r="D28" s="745"/>
      <c r="E28" s="688"/>
      <c r="F28" s="629"/>
      <c r="G28" s="750"/>
      <c r="H28" s="703"/>
      <c r="I28" s="754"/>
      <c r="J28" s="666"/>
      <c r="K28" s="661"/>
      <c r="L28" s="754"/>
      <c r="M28" s="651"/>
      <c r="N28" s="717"/>
      <c r="O28" s="717"/>
      <c r="P28" s="651"/>
      <c r="Q28" s="629"/>
      <c r="R28" s="753"/>
    </row>
    <row r="29" spans="1:18" ht="15" customHeight="1" thickBot="1">
      <c r="A29" s="791"/>
      <c r="B29" s="492"/>
      <c r="C29" s="769"/>
      <c r="D29" s="745"/>
      <c r="E29" s="688"/>
      <c r="F29" s="629"/>
      <c r="G29" s="750"/>
      <c r="H29" s="704"/>
      <c r="I29" s="754"/>
      <c r="J29" s="666"/>
      <c r="K29" s="661"/>
      <c r="L29" s="754"/>
      <c r="M29" s="651"/>
      <c r="N29" s="717"/>
      <c r="O29" s="717"/>
      <c r="P29" s="651"/>
      <c r="Q29" s="629"/>
      <c r="R29" s="753"/>
    </row>
    <row r="30" spans="1:18" ht="75" customHeight="1" thickBot="1">
      <c r="A30" s="791"/>
      <c r="B30" s="492"/>
      <c r="C30" s="770"/>
      <c r="D30" s="746"/>
      <c r="E30" s="748"/>
      <c r="F30" s="653"/>
      <c r="G30" s="751"/>
      <c r="H30" s="489" t="s">
        <v>140</v>
      </c>
      <c r="I30" s="32" t="s">
        <v>141</v>
      </c>
      <c r="J30" s="667"/>
      <c r="K30" s="662"/>
      <c r="L30" s="34" t="s">
        <v>142</v>
      </c>
      <c r="M30" s="111" t="s">
        <v>128</v>
      </c>
      <c r="N30" s="15">
        <v>2021</v>
      </c>
      <c r="O30" s="16" t="s">
        <v>128</v>
      </c>
      <c r="P30" s="16" t="s">
        <v>128</v>
      </c>
      <c r="Q30" s="65" t="s">
        <v>129</v>
      </c>
      <c r="R30" s="73"/>
    </row>
    <row r="31" spans="1:18" ht="65.650000000000006" customHeight="1">
      <c r="A31" s="791"/>
      <c r="B31" s="492"/>
      <c r="C31" s="768"/>
      <c r="D31" s="744" t="s">
        <v>148</v>
      </c>
      <c r="E31" s="747">
        <v>6005615.5999999996</v>
      </c>
      <c r="F31" s="628">
        <f>E31+(E31*0.3/0.7)</f>
        <v>8579450.8571428563</v>
      </c>
      <c r="G31" s="749"/>
      <c r="H31" s="757" t="s">
        <v>140</v>
      </c>
      <c r="I31" s="755" t="s">
        <v>141</v>
      </c>
      <c r="J31" s="665" t="s">
        <v>125</v>
      </c>
      <c r="K31" s="660" t="s">
        <v>17</v>
      </c>
      <c r="L31" s="758" t="s">
        <v>142</v>
      </c>
      <c r="M31" s="759" t="s">
        <v>128</v>
      </c>
      <c r="N31" s="650">
        <v>2021</v>
      </c>
      <c r="O31" s="756" t="s">
        <v>127</v>
      </c>
      <c r="P31" s="650" t="s">
        <v>128</v>
      </c>
      <c r="Q31" s="67" t="s">
        <v>129</v>
      </c>
      <c r="R31" s="752"/>
    </row>
    <row r="32" spans="1:18" ht="52.5" hidden="1" customHeight="1">
      <c r="A32" s="791"/>
      <c r="B32" s="492"/>
      <c r="C32" s="769"/>
      <c r="D32" s="745"/>
      <c r="E32" s="688"/>
      <c r="F32" s="629"/>
      <c r="G32" s="750"/>
      <c r="H32" s="727"/>
      <c r="I32" s="651"/>
      <c r="J32" s="666"/>
      <c r="K32" s="661"/>
      <c r="L32" s="651"/>
      <c r="M32" s="760"/>
      <c r="N32" s="651"/>
      <c r="O32" s="717"/>
      <c r="P32" s="651"/>
      <c r="Q32" s="68" t="s">
        <v>146</v>
      </c>
      <c r="R32" s="753"/>
    </row>
    <row r="33" spans="1:37" ht="59.1" customHeight="1">
      <c r="A33" s="791"/>
      <c r="B33" s="492"/>
      <c r="C33" s="769"/>
      <c r="D33" s="745"/>
      <c r="E33" s="688"/>
      <c r="F33" s="629"/>
      <c r="G33" s="750"/>
      <c r="H33" s="727" t="s">
        <v>134</v>
      </c>
      <c r="I33" s="754" t="s">
        <v>135</v>
      </c>
      <c r="J33" s="666"/>
      <c r="K33" s="661"/>
      <c r="L33" s="754" t="s">
        <v>126</v>
      </c>
      <c r="M33" s="651">
        <v>0</v>
      </c>
      <c r="N33" s="651" t="s">
        <v>127</v>
      </c>
      <c r="O33" s="717" t="s">
        <v>128</v>
      </c>
      <c r="P33" s="651" t="s">
        <v>128</v>
      </c>
      <c r="Q33" s="629" t="s">
        <v>129</v>
      </c>
      <c r="R33" s="753"/>
    </row>
    <row r="34" spans="1:37" ht="15.75" thickBot="1">
      <c r="A34" s="792"/>
      <c r="B34" s="493"/>
      <c r="C34" s="770"/>
      <c r="D34" s="746"/>
      <c r="E34" s="748"/>
      <c r="F34" s="653"/>
      <c r="G34" s="751"/>
      <c r="H34" s="728"/>
      <c r="I34" s="716"/>
      <c r="J34" s="667"/>
      <c r="K34" s="662"/>
      <c r="L34" s="716"/>
      <c r="M34" s="716"/>
      <c r="N34" s="716"/>
      <c r="O34" s="718"/>
      <c r="P34" s="716"/>
      <c r="Q34" s="716"/>
      <c r="R34" s="700"/>
    </row>
    <row r="35" spans="1:37" ht="75" customHeight="1">
      <c r="A35" s="726" t="s">
        <v>149</v>
      </c>
      <c r="B35" s="494"/>
      <c r="C35" s="730">
        <v>32049198.600000001</v>
      </c>
      <c r="D35" s="733" t="s">
        <v>147</v>
      </c>
      <c r="E35" s="736">
        <v>32049198.600000001</v>
      </c>
      <c r="F35" s="638">
        <f>E35+(E35*0.3/0.7)</f>
        <v>45784569.428571433</v>
      </c>
      <c r="G35" s="739"/>
      <c r="H35" s="87" t="s">
        <v>130</v>
      </c>
      <c r="I35" s="26" t="s">
        <v>131</v>
      </c>
      <c r="J35" s="665" t="s">
        <v>125</v>
      </c>
      <c r="K35" s="660" t="s">
        <v>17</v>
      </c>
      <c r="L35" s="35" t="s">
        <v>132</v>
      </c>
      <c r="M35" s="82" t="s">
        <v>133</v>
      </c>
      <c r="N35" s="66">
        <v>2021</v>
      </c>
      <c r="O35" s="85" t="s">
        <v>127</v>
      </c>
      <c r="P35" s="85" t="s">
        <v>128</v>
      </c>
      <c r="Q35" s="67" t="s">
        <v>129</v>
      </c>
      <c r="R35" s="63"/>
    </row>
    <row r="36" spans="1:37" ht="75">
      <c r="A36" s="703"/>
      <c r="B36" s="495"/>
      <c r="C36" s="731"/>
      <c r="D36" s="734"/>
      <c r="E36" s="737"/>
      <c r="F36" s="699"/>
      <c r="G36" s="740"/>
      <c r="H36" s="20" t="s">
        <v>123</v>
      </c>
      <c r="I36" s="28" t="s">
        <v>124</v>
      </c>
      <c r="J36" s="666"/>
      <c r="K36" s="661"/>
      <c r="L36" s="29" t="s">
        <v>126</v>
      </c>
      <c r="M36" s="13">
        <v>0</v>
      </c>
      <c r="N36" s="13">
        <v>2021</v>
      </c>
      <c r="O36" s="24" t="s">
        <v>127</v>
      </c>
      <c r="P36" s="24" t="s">
        <v>128</v>
      </c>
      <c r="Q36" s="68" t="s">
        <v>129</v>
      </c>
      <c r="R36" s="64"/>
    </row>
    <row r="37" spans="1:37" ht="14.65" customHeight="1">
      <c r="A37" s="727"/>
      <c r="B37" s="495"/>
      <c r="C37" s="731"/>
      <c r="D37" s="734"/>
      <c r="E37" s="737"/>
      <c r="F37" s="699"/>
      <c r="G37" s="740"/>
      <c r="H37" s="690" t="s">
        <v>134</v>
      </c>
      <c r="I37" s="743" t="s">
        <v>135</v>
      </c>
      <c r="J37" s="666"/>
      <c r="K37" s="661"/>
      <c r="L37" s="719" t="s">
        <v>126</v>
      </c>
      <c r="M37" s="716">
        <v>0</v>
      </c>
      <c r="N37" s="718" t="s">
        <v>127</v>
      </c>
      <c r="O37" s="718" t="s">
        <v>128</v>
      </c>
      <c r="P37" s="716" t="s">
        <v>128</v>
      </c>
      <c r="Q37" s="644" t="s">
        <v>129</v>
      </c>
      <c r="R37" s="700"/>
    </row>
    <row r="38" spans="1:37" ht="22.5" customHeight="1">
      <c r="A38" s="728"/>
      <c r="B38" s="495"/>
      <c r="C38" s="731"/>
      <c r="D38" s="734"/>
      <c r="E38" s="737"/>
      <c r="F38" s="699"/>
      <c r="G38" s="740"/>
      <c r="H38" s="742"/>
      <c r="I38" s="661"/>
      <c r="J38" s="666"/>
      <c r="K38" s="661"/>
      <c r="L38" s="720"/>
      <c r="M38" s="722"/>
      <c r="N38" s="724"/>
      <c r="O38" s="724"/>
      <c r="P38" s="722"/>
      <c r="Q38" s="699"/>
      <c r="R38" s="701"/>
    </row>
    <row r="39" spans="1:37" ht="27.75" customHeight="1">
      <c r="A39" s="703"/>
      <c r="B39" s="495"/>
      <c r="C39" s="731"/>
      <c r="D39" s="734"/>
      <c r="E39" s="737"/>
      <c r="F39" s="699"/>
      <c r="G39" s="740"/>
      <c r="H39" s="742"/>
      <c r="I39" s="661"/>
      <c r="J39" s="666"/>
      <c r="K39" s="661"/>
      <c r="L39" s="720"/>
      <c r="M39" s="722"/>
      <c r="N39" s="724"/>
      <c r="O39" s="724"/>
      <c r="P39" s="722"/>
      <c r="Q39" s="699"/>
      <c r="R39" s="701"/>
    </row>
    <row r="40" spans="1:37" ht="66.75" customHeight="1" thickBot="1">
      <c r="A40" s="729"/>
      <c r="B40" s="495"/>
      <c r="C40" s="732"/>
      <c r="D40" s="735"/>
      <c r="E40" s="738"/>
      <c r="F40" s="639"/>
      <c r="G40" s="741"/>
      <c r="H40" s="691"/>
      <c r="I40" s="662"/>
      <c r="J40" s="667"/>
      <c r="K40" s="662"/>
      <c r="L40" s="721"/>
      <c r="M40" s="723"/>
      <c r="N40" s="725"/>
      <c r="O40" s="725"/>
      <c r="P40" s="723"/>
      <c r="Q40" s="645"/>
      <c r="R40" s="702"/>
    </row>
    <row r="41" spans="1:37" ht="112.15" customHeight="1">
      <c r="A41" s="630" t="s">
        <v>95</v>
      </c>
      <c r="B41" s="626">
        <f>F41</f>
        <v>126618185.41176471</v>
      </c>
      <c r="C41" s="633">
        <f>0.8*'Intervencijų lėšos (2)'!J3</f>
        <v>107625457.60000001</v>
      </c>
      <c r="D41" s="635" t="s">
        <v>150</v>
      </c>
      <c r="E41" s="638">
        <f>C41/0.85*0.15</f>
        <v>18992727.81176471</v>
      </c>
      <c r="F41" s="633">
        <f>C41+E41</f>
        <v>126618185.41176471</v>
      </c>
      <c r="G41" s="640">
        <f>F41</f>
        <v>126618185.41176471</v>
      </c>
      <c r="H41" s="118" t="s">
        <v>151</v>
      </c>
      <c r="I41" s="132" t="s">
        <v>152</v>
      </c>
      <c r="J41" s="635" t="s">
        <v>153</v>
      </c>
      <c r="K41" s="635" t="s">
        <v>154</v>
      </c>
      <c r="L41" s="132" t="s">
        <v>155</v>
      </c>
      <c r="M41" s="132" t="s">
        <v>127</v>
      </c>
      <c r="N41" s="132" t="s">
        <v>156</v>
      </c>
      <c r="O41" s="156">
        <f>P41*0.1</f>
        <v>158.2727317647059</v>
      </c>
      <c r="P41" s="156">
        <f>G41/80000</f>
        <v>1582.727317647059</v>
      </c>
      <c r="Q41" s="132" t="s">
        <v>157</v>
      </c>
      <c r="R41" s="402" t="s">
        <v>158</v>
      </c>
      <c r="S41" s="433" t="s">
        <v>159</v>
      </c>
      <c r="T41" s="176"/>
      <c r="U41" s="176"/>
      <c r="V41" s="176"/>
      <c r="W41" s="135"/>
      <c r="X41" s="135"/>
      <c r="Y41" s="135"/>
      <c r="Z41" s="135"/>
      <c r="AA41" s="135"/>
      <c r="AB41" s="10"/>
      <c r="AC41" s="10"/>
      <c r="AD41" s="10"/>
      <c r="AE41" s="10"/>
      <c r="AF41" s="10"/>
      <c r="AG41" s="10"/>
      <c r="AH41" s="10"/>
      <c r="AI41" s="10"/>
      <c r="AJ41" s="10"/>
      <c r="AK41" s="10"/>
    </row>
    <row r="42" spans="1:37" ht="202.15" customHeight="1">
      <c r="A42" s="631"/>
      <c r="B42" s="627"/>
      <c r="C42" s="634"/>
      <c r="D42" s="636"/>
      <c r="E42" s="639"/>
      <c r="F42" s="634"/>
      <c r="G42" s="641"/>
      <c r="H42" s="116" t="s">
        <v>140</v>
      </c>
      <c r="I42" s="117" t="s">
        <v>141</v>
      </c>
      <c r="J42" s="674"/>
      <c r="K42" s="668"/>
      <c r="L42" s="34" t="s">
        <v>142</v>
      </c>
      <c r="M42" s="413">
        <f>6.21/1000*0.955</f>
        <v>5.9305499999999997E-3</v>
      </c>
      <c r="N42" s="133" t="s">
        <v>156</v>
      </c>
      <c r="O42" s="137" t="s">
        <v>127</v>
      </c>
      <c r="P42" s="413">
        <f>131.51/1000*0.955</f>
        <v>0.12559204999999998</v>
      </c>
      <c r="Q42" s="133" t="s">
        <v>157</v>
      </c>
      <c r="R42" s="428" t="s">
        <v>160</v>
      </c>
      <c r="S42" s="434" t="s">
        <v>161</v>
      </c>
      <c r="T42" s="176"/>
      <c r="U42" s="176"/>
      <c r="V42" s="176"/>
      <c r="W42" s="135"/>
      <c r="X42" s="135"/>
      <c r="Y42" s="135"/>
      <c r="Z42" s="135"/>
      <c r="AA42" s="135"/>
      <c r="AB42" s="10"/>
      <c r="AC42" s="10"/>
      <c r="AD42" s="10"/>
      <c r="AE42" s="10"/>
      <c r="AF42" s="10"/>
      <c r="AG42" s="10"/>
      <c r="AH42" s="10"/>
      <c r="AI42" s="10"/>
      <c r="AJ42" s="10"/>
      <c r="AK42" s="10"/>
    </row>
    <row r="43" spans="1:37" ht="97.9" customHeight="1">
      <c r="A43" s="631"/>
      <c r="B43" s="648">
        <f>F43</f>
        <v>6023529.4117647056</v>
      </c>
      <c r="C43" s="642">
        <f>0.8*'Intervencijų lėšos (2)'!J4</f>
        <v>5120000</v>
      </c>
      <c r="D43" s="636"/>
      <c r="E43" s="644">
        <f>(C43*100/85)-C43</f>
        <v>903529.41176470555</v>
      </c>
      <c r="F43" s="646">
        <f>C43+E43</f>
        <v>6023529.4117647056</v>
      </c>
      <c r="G43" s="646">
        <f>F43</f>
        <v>6023529.4117647056</v>
      </c>
      <c r="H43" s="116" t="s">
        <v>162</v>
      </c>
      <c r="I43" s="133" t="s">
        <v>152</v>
      </c>
      <c r="J43" s="675" t="s">
        <v>125</v>
      </c>
      <c r="K43" s="669" t="s">
        <v>163</v>
      </c>
      <c r="L43" s="133" t="s">
        <v>155</v>
      </c>
      <c r="M43" s="133" t="s">
        <v>127</v>
      </c>
      <c r="N43" s="133" t="s">
        <v>156</v>
      </c>
      <c r="O43" s="108">
        <f>P43*0.1</f>
        <v>7.5294117647058831</v>
      </c>
      <c r="P43" s="108">
        <f>G43/80000</f>
        <v>75.294117647058826</v>
      </c>
      <c r="Q43" s="133" t="s">
        <v>157</v>
      </c>
      <c r="R43" s="429" t="s">
        <v>164</v>
      </c>
      <c r="S43" s="433" t="s">
        <v>165</v>
      </c>
      <c r="T43" s="176"/>
      <c r="U43" s="176"/>
      <c r="V43" s="176"/>
      <c r="W43" s="135"/>
      <c r="X43" s="135"/>
      <c r="Y43" s="135"/>
      <c r="Z43" s="135"/>
      <c r="AA43" s="135"/>
      <c r="AB43" s="10"/>
      <c r="AC43" s="10"/>
      <c r="AD43" s="10"/>
      <c r="AE43" s="10"/>
      <c r="AF43" s="10"/>
      <c r="AG43" s="10"/>
      <c r="AH43" s="10"/>
      <c r="AI43" s="10"/>
      <c r="AJ43" s="10"/>
      <c r="AK43" s="10"/>
    </row>
    <row r="44" spans="1:37" ht="168.6" customHeight="1" thickBot="1">
      <c r="A44" s="632"/>
      <c r="B44" s="649"/>
      <c r="C44" s="643"/>
      <c r="D44" s="637"/>
      <c r="E44" s="645"/>
      <c r="F44" s="647"/>
      <c r="G44" s="647"/>
      <c r="H44" s="138" t="s">
        <v>166</v>
      </c>
      <c r="I44" s="134" t="s">
        <v>141</v>
      </c>
      <c r="J44" s="676"/>
      <c r="K44" s="637"/>
      <c r="L44" s="31" t="s">
        <v>142</v>
      </c>
      <c r="M44" s="414">
        <f>6.21/1000*0.045</f>
        <v>2.7944999999999999E-4</v>
      </c>
      <c r="N44" s="134" t="s">
        <v>156</v>
      </c>
      <c r="O44" s="234" t="s">
        <v>127</v>
      </c>
      <c r="P44" s="414">
        <f>131.51/1000*0.045</f>
        <v>5.9179499999999991E-3</v>
      </c>
      <c r="Q44" s="134" t="s">
        <v>157</v>
      </c>
      <c r="R44" s="430" t="s">
        <v>167</v>
      </c>
      <c r="S44" s="435" t="s">
        <v>168</v>
      </c>
      <c r="T44" s="176"/>
      <c r="U44" s="423"/>
      <c r="V44" s="235"/>
      <c r="W44" s="135"/>
      <c r="X44" s="135"/>
      <c r="Y44" s="135"/>
      <c r="Z44" s="135"/>
      <c r="AA44" s="135"/>
      <c r="AB44" s="10"/>
      <c r="AC44" s="10"/>
      <c r="AD44" s="10"/>
      <c r="AE44" s="10"/>
      <c r="AF44" s="10"/>
      <c r="AG44" s="10"/>
      <c r="AH44" s="10"/>
      <c r="AI44" s="10"/>
      <c r="AJ44" s="10"/>
      <c r="AK44" s="10"/>
    </row>
    <row r="45" spans="1:37" ht="78" customHeight="1" thickBot="1">
      <c r="A45" s="657" t="s">
        <v>96</v>
      </c>
      <c r="B45" s="628">
        <f>F45</f>
        <v>31654546.352941178</v>
      </c>
      <c r="C45" s="670">
        <f>0.2*'Intervencijų lėšos (2)'!J3</f>
        <v>26906364.400000002</v>
      </c>
      <c r="D45" s="650" t="s">
        <v>150</v>
      </c>
      <c r="E45" s="628">
        <f>C45/0.85*0.15</f>
        <v>4748181.9529411774</v>
      </c>
      <c r="F45" s="670">
        <f>C45+E45</f>
        <v>31654546.352941178</v>
      </c>
      <c r="G45" s="670">
        <f>F45</f>
        <v>31654546.352941178</v>
      </c>
      <c r="H45" s="118" t="s">
        <v>140</v>
      </c>
      <c r="I45" s="132" t="s">
        <v>141</v>
      </c>
      <c r="J45" s="672" t="s">
        <v>153</v>
      </c>
      <c r="K45" s="673" t="s">
        <v>154</v>
      </c>
      <c r="L45" s="233" t="s">
        <v>142</v>
      </c>
      <c r="M45" s="132"/>
      <c r="N45" s="132" t="s">
        <v>156</v>
      </c>
      <c r="O45" s="67" t="s">
        <v>127</v>
      </c>
      <c r="P45" s="132"/>
      <c r="Q45" s="132" t="s">
        <v>157</v>
      </c>
      <c r="R45" s="431" t="s">
        <v>169</v>
      </c>
      <c r="S45" s="797" t="s">
        <v>170</v>
      </c>
      <c r="T45" s="176"/>
      <c r="U45" s="176"/>
      <c r="V45" s="176"/>
      <c r="W45" s="135"/>
      <c r="X45" s="135"/>
      <c r="Y45" s="135"/>
      <c r="Z45" s="135"/>
      <c r="AA45" s="135"/>
      <c r="AB45" s="10"/>
      <c r="AC45" s="10"/>
      <c r="AD45" s="10"/>
      <c r="AE45" s="10"/>
      <c r="AF45" s="10"/>
      <c r="AG45" s="10"/>
      <c r="AH45" s="10"/>
      <c r="AI45" s="10"/>
      <c r="AJ45" s="10"/>
      <c r="AK45" s="10"/>
    </row>
    <row r="46" spans="1:37" ht="109.5" customHeight="1" thickBot="1">
      <c r="A46" s="658"/>
      <c r="B46" s="629"/>
      <c r="C46" s="671"/>
      <c r="D46" s="651"/>
      <c r="E46" s="629"/>
      <c r="F46" s="654"/>
      <c r="G46" s="671"/>
      <c r="H46" s="116" t="s">
        <v>171</v>
      </c>
      <c r="I46" s="133" t="s">
        <v>172</v>
      </c>
      <c r="J46" s="651"/>
      <c r="K46" s="532"/>
      <c r="L46" s="133" t="s">
        <v>173</v>
      </c>
      <c r="M46" s="133"/>
      <c r="N46" s="133"/>
      <c r="O46" s="68"/>
      <c r="P46" s="133"/>
      <c r="Q46" s="133" t="s">
        <v>157</v>
      </c>
      <c r="R46" s="431" t="s">
        <v>169</v>
      </c>
      <c r="S46" s="797"/>
      <c r="T46" s="176"/>
      <c r="U46" s="176"/>
      <c r="V46" s="176"/>
      <c r="W46" s="135"/>
      <c r="X46" s="135"/>
      <c r="Y46" s="135"/>
      <c r="Z46" s="135"/>
      <c r="AA46" s="135"/>
      <c r="AB46" s="10"/>
      <c r="AC46" s="10"/>
      <c r="AD46" s="10"/>
      <c r="AE46" s="10"/>
      <c r="AF46" s="10"/>
      <c r="AG46" s="10"/>
      <c r="AH46" s="10"/>
      <c r="AI46" s="10"/>
      <c r="AJ46" s="10"/>
      <c r="AK46" s="10"/>
    </row>
    <row r="47" spans="1:37" ht="109.5" customHeight="1" thickBot="1">
      <c r="A47" s="658"/>
      <c r="B47" s="629">
        <f>F47</f>
        <v>1505882.3529411764</v>
      </c>
      <c r="C47" s="654">
        <f>0.2*'Intervencijų lėšos (2)'!J4</f>
        <v>1280000</v>
      </c>
      <c r="D47" s="651"/>
      <c r="E47" s="629">
        <f>C47/0.85*0.15</f>
        <v>225882.35294117648</v>
      </c>
      <c r="F47" s="654">
        <f>C47+E47</f>
        <v>1505882.3529411764</v>
      </c>
      <c r="G47" s="654">
        <f>F47</f>
        <v>1505882.3529411764</v>
      </c>
      <c r="H47" s="116" t="s">
        <v>140</v>
      </c>
      <c r="I47" s="133" t="s">
        <v>141</v>
      </c>
      <c r="J47" s="679" t="s">
        <v>125</v>
      </c>
      <c r="K47" s="677" t="s">
        <v>163</v>
      </c>
      <c r="L47" s="126" t="s">
        <v>142</v>
      </c>
      <c r="M47" s="133"/>
      <c r="N47" s="133"/>
      <c r="O47" s="68"/>
      <c r="P47" s="133"/>
      <c r="Q47" s="133" t="s">
        <v>157</v>
      </c>
      <c r="R47" s="431" t="s">
        <v>169</v>
      </c>
      <c r="S47" s="797"/>
      <c r="T47" s="176"/>
      <c r="U47" s="176"/>
      <c r="V47" s="176"/>
      <c r="W47" s="135"/>
      <c r="X47" s="135"/>
      <c r="Y47" s="135"/>
      <c r="Z47" s="135"/>
      <c r="AA47" s="135"/>
      <c r="AB47" s="10"/>
      <c r="AC47" s="10"/>
      <c r="AD47" s="10"/>
      <c r="AE47" s="10"/>
      <c r="AF47" s="10"/>
      <c r="AG47" s="10"/>
      <c r="AH47" s="10"/>
      <c r="AI47" s="10"/>
      <c r="AJ47" s="10"/>
      <c r="AK47" s="10"/>
    </row>
    <row r="48" spans="1:37" ht="109.5" customHeight="1" thickBot="1">
      <c r="A48" s="659"/>
      <c r="B48" s="653"/>
      <c r="C48" s="656"/>
      <c r="D48" s="652"/>
      <c r="E48" s="653"/>
      <c r="F48" s="656"/>
      <c r="G48" s="655"/>
      <c r="H48" s="138" t="s">
        <v>171</v>
      </c>
      <c r="I48" s="134" t="s">
        <v>172</v>
      </c>
      <c r="J48" s="680"/>
      <c r="K48" s="678"/>
      <c r="L48" s="134" t="s">
        <v>174</v>
      </c>
      <c r="M48" s="134"/>
      <c r="N48" s="134"/>
      <c r="O48" s="72"/>
      <c r="P48" s="134"/>
      <c r="Q48" s="134" t="s">
        <v>157</v>
      </c>
      <c r="R48" s="432" t="s">
        <v>169</v>
      </c>
      <c r="S48" s="797"/>
      <c r="T48" s="176"/>
      <c r="U48" s="176"/>
      <c r="V48" s="176"/>
      <c r="W48" s="135"/>
      <c r="X48" s="135"/>
      <c r="Y48" s="135"/>
      <c r="Z48" s="135"/>
      <c r="AA48" s="135"/>
      <c r="AB48" s="10"/>
      <c r="AC48" s="10"/>
      <c r="AD48" s="10"/>
      <c r="AE48" s="10"/>
      <c r="AF48" s="10"/>
      <c r="AG48" s="10"/>
      <c r="AH48" s="10"/>
      <c r="AI48" s="10"/>
      <c r="AJ48" s="10"/>
      <c r="AK48" s="10"/>
    </row>
    <row r="49" spans="1:18" ht="75">
      <c r="A49" s="703" t="s">
        <v>175</v>
      </c>
      <c r="B49" s="488"/>
      <c r="C49" s="681">
        <v>46197043</v>
      </c>
      <c r="D49" s="705" t="s">
        <v>176</v>
      </c>
      <c r="E49" s="681">
        <v>11549260.699999999</v>
      </c>
      <c r="F49" s="639">
        <f>E49+(E49*0.3/0.7)</f>
        <v>16498943.857142856</v>
      </c>
      <c r="G49" s="707"/>
      <c r="H49" s="184" t="s">
        <v>130</v>
      </c>
      <c r="I49" s="183" t="s">
        <v>131</v>
      </c>
      <c r="J49" s="666" t="s">
        <v>125</v>
      </c>
      <c r="K49" s="661" t="s">
        <v>17</v>
      </c>
      <c r="L49" s="185" t="s">
        <v>132</v>
      </c>
      <c r="M49" s="21" t="s">
        <v>133</v>
      </c>
      <c r="N49" s="18">
        <v>2021</v>
      </c>
      <c r="O49" s="33" t="s">
        <v>127</v>
      </c>
      <c r="P49" s="33" t="s">
        <v>128</v>
      </c>
      <c r="Q49" s="19" t="s">
        <v>129</v>
      </c>
      <c r="R49" s="71"/>
    </row>
    <row r="50" spans="1:18" ht="75">
      <c r="A50" s="703"/>
      <c r="B50" s="488"/>
      <c r="C50" s="682"/>
      <c r="D50" s="706"/>
      <c r="E50" s="682"/>
      <c r="F50" s="629"/>
      <c r="G50" s="708"/>
      <c r="H50" s="101" t="s">
        <v>123</v>
      </c>
      <c r="I50" s="28" t="s">
        <v>124</v>
      </c>
      <c r="J50" s="666"/>
      <c r="K50" s="661"/>
      <c r="L50" s="29" t="s">
        <v>126</v>
      </c>
      <c r="M50" s="13">
        <v>0</v>
      </c>
      <c r="N50" s="13">
        <v>2021</v>
      </c>
      <c r="O50" s="24" t="s">
        <v>127</v>
      </c>
      <c r="P50" s="24" t="s">
        <v>128</v>
      </c>
      <c r="Q50" s="68" t="s">
        <v>129</v>
      </c>
      <c r="R50" s="64"/>
    </row>
    <row r="51" spans="1:18" ht="74.650000000000006" customHeight="1">
      <c r="A51" s="703"/>
      <c r="B51" s="488"/>
      <c r="C51" s="682"/>
      <c r="D51" s="706"/>
      <c r="E51" s="682"/>
      <c r="F51" s="629"/>
      <c r="G51" s="708"/>
      <c r="H51" s="780" t="s">
        <v>134</v>
      </c>
      <c r="I51" s="754" t="s">
        <v>135</v>
      </c>
      <c r="J51" s="666"/>
      <c r="K51" s="661"/>
      <c r="L51" s="714" t="s">
        <v>126</v>
      </c>
      <c r="M51" s="651">
        <v>0</v>
      </c>
      <c r="N51" s="717" t="s">
        <v>127</v>
      </c>
      <c r="O51" s="717" t="s">
        <v>128</v>
      </c>
      <c r="P51" s="651" t="s">
        <v>128</v>
      </c>
      <c r="Q51" s="629" t="s">
        <v>129</v>
      </c>
      <c r="R51" s="800"/>
    </row>
    <row r="52" spans="1:18" ht="15.75" thickBot="1">
      <c r="A52" s="703"/>
      <c r="B52" s="488"/>
      <c r="C52" s="682"/>
      <c r="D52" s="706"/>
      <c r="E52" s="682"/>
      <c r="F52" s="629"/>
      <c r="G52" s="708"/>
      <c r="H52" s="781"/>
      <c r="I52" s="716"/>
      <c r="J52" s="667"/>
      <c r="K52" s="662"/>
      <c r="L52" s="715"/>
      <c r="M52" s="716"/>
      <c r="N52" s="718"/>
      <c r="O52" s="718"/>
      <c r="P52" s="716"/>
      <c r="Q52" s="716"/>
      <c r="R52" s="801"/>
    </row>
    <row r="53" spans="1:18" ht="75">
      <c r="A53" s="703"/>
      <c r="B53" s="488"/>
      <c r="C53" s="683"/>
      <c r="D53" s="706" t="s">
        <v>177</v>
      </c>
      <c r="E53" s="682">
        <v>9239408.5999999996</v>
      </c>
      <c r="F53" s="629">
        <f>E53+(E53*0.3/0.7)</f>
        <v>13199155.142857142</v>
      </c>
      <c r="G53" s="708"/>
      <c r="H53" s="100" t="s">
        <v>123</v>
      </c>
      <c r="I53" s="26" t="s">
        <v>124</v>
      </c>
      <c r="J53" s="665" t="s">
        <v>125</v>
      </c>
      <c r="K53" s="660" t="s">
        <v>17</v>
      </c>
      <c r="L53" s="27" t="s">
        <v>126</v>
      </c>
      <c r="M53" s="66">
        <v>0</v>
      </c>
      <c r="N53" s="66">
        <v>2021</v>
      </c>
      <c r="O53" s="85" t="s">
        <v>127</v>
      </c>
      <c r="P53" s="85" t="s">
        <v>128</v>
      </c>
      <c r="Q53" s="67" t="s">
        <v>129</v>
      </c>
      <c r="R53" s="63"/>
    </row>
    <row r="54" spans="1:18" ht="75">
      <c r="A54" s="703"/>
      <c r="B54" s="488"/>
      <c r="C54" s="683"/>
      <c r="D54" s="706"/>
      <c r="E54" s="682"/>
      <c r="F54" s="629"/>
      <c r="G54" s="708"/>
      <c r="H54" s="101" t="s">
        <v>130</v>
      </c>
      <c r="I54" s="28" t="s">
        <v>131</v>
      </c>
      <c r="J54" s="666"/>
      <c r="K54" s="661"/>
      <c r="L54" s="84" t="s">
        <v>132</v>
      </c>
      <c r="M54" s="23" t="s">
        <v>133</v>
      </c>
      <c r="N54" s="13">
        <v>2021</v>
      </c>
      <c r="O54" s="24" t="s">
        <v>127</v>
      </c>
      <c r="P54" s="24" t="s">
        <v>128</v>
      </c>
      <c r="Q54" s="68" t="s">
        <v>129</v>
      </c>
      <c r="R54" s="64"/>
    </row>
    <row r="55" spans="1:18" ht="52.15" customHeight="1" thickBot="1">
      <c r="A55" s="703"/>
      <c r="B55" s="488"/>
      <c r="C55" s="683"/>
      <c r="D55" s="706"/>
      <c r="E55" s="682"/>
      <c r="F55" s="629"/>
      <c r="G55" s="708"/>
      <c r="H55" s="102" t="s">
        <v>134</v>
      </c>
      <c r="I55" s="38" t="s">
        <v>135</v>
      </c>
      <c r="J55" s="666"/>
      <c r="K55" s="661"/>
      <c r="L55" s="36" t="s">
        <v>126</v>
      </c>
      <c r="M55" s="13">
        <v>0</v>
      </c>
      <c r="N55" s="13">
        <v>2021</v>
      </c>
      <c r="O55" s="24" t="s">
        <v>128</v>
      </c>
      <c r="P55" s="22" t="s">
        <v>128</v>
      </c>
      <c r="Q55" s="68" t="s">
        <v>129</v>
      </c>
      <c r="R55" s="64"/>
    </row>
    <row r="56" spans="1:18" ht="45.75" thickBot="1">
      <c r="A56" s="703"/>
      <c r="B56" s="488"/>
      <c r="C56" s="683"/>
      <c r="D56" s="706"/>
      <c r="E56" s="682"/>
      <c r="F56" s="629"/>
      <c r="G56" s="708"/>
      <c r="H56" s="103" t="s">
        <v>140</v>
      </c>
      <c r="I56" s="39" t="s">
        <v>141</v>
      </c>
      <c r="J56" s="667"/>
      <c r="K56" s="662"/>
      <c r="L56" s="39" t="s">
        <v>142</v>
      </c>
      <c r="M56" s="111" t="s">
        <v>128</v>
      </c>
      <c r="N56" s="15">
        <v>2021</v>
      </c>
      <c r="O56" s="16" t="s">
        <v>127</v>
      </c>
      <c r="P56" s="16" t="s">
        <v>128</v>
      </c>
      <c r="Q56" s="65" t="s">
        <v>129</v>
      </c>
      <c r="R56" s="73"/>
    </row>
    <row r="57" spans="1:18" ht="75">
      <c r="A57" s="703"/>
      <c r="B57" s="488"/>
      <c r="C57" s="684"/>
      <c r="D57" s="706" t="s">
        <v>178</v>
      </c>
      <c r="E57" s="682">
        <v>11549260.699999999</v>
      </c>
      <c r="F57" s="629">
        <f>E57+(E57*0.3/0.7)</f>
        <v>16498943.857142856</v>
      </c>
      <c r="G57" s="711"/>
      <c r="H57" s="90" t="s">
        <v>130</v>
      </c>
      <c r="I57" s="91" t="s">
        <v>131</v>
      </c>
      <c r="J57" s="665" t="s">
        <v>125</v>
      </c>
      <c r="K57" s="660" t="s">
        <v>17</v>
      </c>
      <c r="L57" s="40" t="s">
        <v>132</v>
      </c>
      <c r="M57" s="82" t="s">
        <v>133</v>
      </c>
      <c r="N57" s="66">
        <v>2021</v>
      </c>
      <c r="O57" s="85" t="s">
        <v>127</v>
      </c>
      <c r="P57" s="85" t="s">
        <v>128</v>
      </c>
      <c r="Q57" s="67" t="s">
        <v>129</v>
      </c>
      <c r="R57" s="63"/>
    </row>
    <row r="58" spans="1:18" ht="75">
      <c r="A58" s="703"/>
      <c r="B58" s="488"/>
      <c r="C58" s="685"/>
      <c r="D58" s="706"/>
      <c r="E58" s="682"/>
      <c r="F58" s="629"/>
      <c r="G58" s="712"/>
      <c r="H58" s="88" t="s">
        <v>123</v>
      </c>
      <c r="I58" s="38" t="s">
        <v>124</v>
      </c>
      <c r="J58" s="666"/>
      <c r="K58" s="661"/>
      <c r="L58" s="36" t="s">
        <v>126</v>
      </c>
      <c r="M58" s="13">
        <v>0</v>
      </c>
      <c r="N58" s="13">
        <v>2021</v>
      </c>
      <c r="O58" s="24" t="s">
        <v>127</v>
      </c>
      <c r="P58" s="24" t="s">
        <v>128</v>
      </c>
      <c r="Q58" s="68" t="s">
        <v>129</v>
      </c>
      <c r="R58" s="64"/>
    </row>
    <row r="59" spans="1:18" ht="105.75" thickBot="1">
      <c r="A59" s="703"/>
      <c r="B59" s="488"/>
      <c r="C59" s="685"/>
      <c r="D59" s="706"/>
      <c r="E59" s="682"/>
      <c r="F59" s="629"/>
      <c r="G59" s="712"/>
      <c r="H59" s="88" t="s">
        <v>134</v>
      </c>
      <c r="I59" s="38" t="s">
        <v>135</v>
      </c>
      <c r="J59" s="666"/>
      <c r="K59" s="661"/>
      <c r="L59" s="36" t="s">
        <v>126</v>
      </c>
      <c r="M59" s="37">
        <v>0</v>
      </c>
      <c r="N59" s="13">
        <v>2021</v>
      </c>
      <c r="O59" s="24" t="s">
        <v>128</v>
      </c>
      <c r="P59" s="22" t="s">
        <v>128</v>
      </c>
      <c r="Q59" s="68" t="s">
        <v>129</v>
      </c>
      <c r="R59" s="64"/>
    </row>
    <row r="60" spans="1:18" ht="45.75" thickBot="1">
      <c r="A60" s="703"/>
      <c r="B60" s="488"/>
      <c r="C60" s="685"/>
      <c r="D60" s="709"/>
      <c r="E60" s="710"/>
      <c r="F60" s="644"/>
      <c r="G60" s="713"/>
      <c r="H60" s="89" t="s">
        <v>140</v>
      </c>
      <c r="I60" s="39" t="s">
        <v>141</v>
      </c>
      <c r="J60" s="667"/>
      <c r="K60" s="662"/>
      <c r="L60" s="39" t="s">
        <v>142</v>
      </c>
      <c r="M60" s="111" t="s">
        <v>128</v>
      </c>
      <c r="N60" s="15">
        <v>2021</v>
      </c>
      <c r="O60" s="16" t="s">
        <v>127</v>
      </c>
      <c r="P60" s="16" t="s">
        <v>128</v>
      </c>
      <c r="Q60" s="65" t="s">
        <v>129</v>
      </c>
      <c r="R60" s="73"/>
    </row>
    <row r="61" spans="1:18" ht="83.25" customHeight="1">
      <c r="A61" s="703"/>
      <c r="B61" s="488"/>
      <c r="C61" s="684"/>
      <c r="D61" s="687" t="s">
        <v>145</v>
      </c>
      <c r="E61" s="688">
        <v>13859112.9</v>
      </c>
      <c r="F61" s="629">
        <f>E61+(E61*0.3/0.7)</f>
        <v>19798732.714285716</v>
      </c>
      <c r="G61" s="689"/>
      <c r="H61" s="104" t="s">
        <v>130</v>
      </c>
      <c r="I61" s="91" t="s">
        <v>131</v>
      </c>
      <c r="J61" s="665" t="s">
        <v>125</v>
      </c>
      <c r="K61" s="660" t="s">
        <v>17</v>
      </c>
      <c r="L61" s="40" t="s">
        <v>132</v>
      </c>
      <c r="M61" s="82" t="s">
        <v>133</v>
      </c>
      <c r="N61" s="66">
        <v>2021</v>
      </c>
      <c r="O61" s="85" t="s">
        <v>127</v>
      </c>
      <c r="P61" s="85" t="s">
        <v>128</v>
      </c>
      <c r="Q61" s="67" t="s">
        <v>129</v>
      </c>
      <c r="R61" s="63"/>
    </row>
    <row r="62" spans="1:18" ht="71.650000000000006" customHeight="1">
      <c r="A62" s="703"/>
      <c r="B62" s="488"/>
      <c r="C62" s="685"/>
      <c r="D62" s="687"/>
      <c r="E62" s="688"/>
      <c r="F62" s="629"/>
      <c r="G62" s="689"/>
      <c r="H62" s="102" t="s">
        <v>123</v>
      </c>
      <c r="I62" s="38" t="s">
        <v>124</v>
      </c>
      <c r="J62" s="666"/>
      <c r="K62" s="661"/>
      <c r="L62" s="36" t="s">
        <v>126</v>
      </c>
      <c r="M62" s="13">
        <v>0</v>
      </c>
      <c r="N62" s="13">
        <v>2021</v>
      </c>
      <c r="O62" s="24" t="s">
        <v>127</v>
      </c>
      <c r="P62" s="24" t="s">
        <v>128</v>
      </c>
      <c r="Q62" s="68" t="s">
        <v>129</v>
      </c>
      <c r="R62" s="92"/>
    </row>
    <row r="63" spans="1:18" ht="71.650000000000006" customHeight="1" thickBot="1">
      <c r="A63" s="703"/>
      <c r="B63" s="488"/>
      <c r="C63" s="685"/>
      <c r="D63" s="651"/>
      <c r="E63" s="651"/>
      <c r="F63" s="651"/>
      <c r="G63" s="651"/>
      <c r="H63" s="102" t="s">
        <v>134</v>
      </c>
      <c r="I63" s="38" t="s">
        <v>135</v>
      </c>
      <c r="J63" s="666"/>
      <c r="K63" s="661"/>
      <c r="L63" s="36" t="s">
        <v>126</v>
      </c>
      <c r="M63" s="37">
        <v>0</v>
      </c>
      <c r="N63" s="13">
        <v>2021</v>
      </c>
      <c r="O63" s="24" t="s">
        <v>128</v>
      </c>
      <c r="P63" s="22" t="s">
        <v>128</v>
      </c>
      <c r="Q63" s="68" t="s">
        <v>129</v>
      </c>
      <c r="R63" s="42"/>
    </row>
    <row r="64" spans="1:18" ht="71.650000000000006" customHeight="1" thickBot="1">
      <c r="A64" s="704"/>
      <c r="B64" s="496"/>
      <c r="C64" s="698"/>
      <c r="D64" s="651"/>
      <c r="E64" s="651"/>
      <c r="F64" s="651"/>
      <c r="G64" s="651"/>
      <c r="H64" s="103" t="s">
        <v>140</v>
      </c>
      <c r="I64" s="39" t="s">
        <v>141</v>
      </c>
      <c r="J64" s="667"/>
      <c r="K64" s="662"/>
      <c r="L64" s="39" t="s">
        <v>142</v>
      </c>
      <c r="M64" s="111" t="s">
        <v>128</v>
      </c>
      <c r="N64" s="41">
        <v>2021</v>
      </c>
      <c r="O64" s="16" t="s">
        <v>127</v>
      </c>
      <c r="P64" s="16" t="s">
        <v>128</v>
      </c>
      <c r="Q64" s="65" t="s">
        <v>129</v>
      </c>
      <c r="R64" s="93"/>
    </row>
    <row r="65" spans="1:18" ht="60" customHeight="1">
      <c r="A65" s="690" t="s">
        <v>179</v>
      </c>
      <c r="B65" s="130"/>
      <c r="C65" s="692">
        <v>51971673.399999999</v>
      </c>
      <c r="D65" s="694" t="s">
        <v>180</v>
      </c>
      <c r="E65" s="692">
        <v>51971673.399999999</v>
      </c>
      <c r="F65" s="646">
        <f>E65+(E65*0.3/0.7)</f>
        <v>74245247.714285716</v>
      </c>
      <c r="G65" s="696"/>
      <c r="H65" s="94" t="s">
        <v>181</v>
      </c>
      <c r="I65" s="95" t="s">
        <v>182</v>
      </c>
      <c r="J65" s="798" t="s">
        <v>183</v>
      </c>
      <c r="K65" s="663" t="s">
        <v>11</v>
      </c>
      <c r="L65" s="96" t="s">
        <v>184</v>
      </c>
      <c r="M65" s="97">
        <v>0</v>
      </c>
      <c r="N65" s="97">
        <v>2021</v>
      </c>
      <c r="O65" s="97"/>
      <c r="P65" s="97"/>
      <c r="Q65" s="67" t="s">
        <v>129</v>
      </c>
      <c r="R65" s="98"/>
    </row>
    <row r="66" spans="1:18" ht="79.5" customHeight="1" thickBot="1">
      <c r="A66" s="691"/>
      <c r="B66" s="136"/>
      <c r="C66" s="693"/>
      <c r="D66" s="695"/>
      <c r="E66" s="693"/>
      <c r="F66" s="647"/>
      <c r="G66" s="697"/>
      <c r="H66" s="99" t="s">
        <v>181</v>
      </c>
      <c r="I66" s="46" t="s">
        <v>185</v>
      </c>
      <c r="J66" s="799"/>
      <c r="K66" s="664"/>
      <c r="L66" s="47" t="s">
        <v>186</v>
      </c>
      <c r="M66" s="45">
        <v>0</v>
      </c>
      <c r="N66" s="45">
        <v>2021</v>
      </c>
      <c r="O66" s="45"/>
      <c r="P66" s="45"/>
      <c r="Q66" s="72" t="s">
        <v>129</v>
      </c>
      <c r="R66" s="48"/>
    </row>
    <row r="67" spans="1:18">
      <c r="C67" s="160">
        <f>C41+C45</f>
        <v>134531822</v>
      </c>
      <c r="D67" s="75"/>
      <c r="E67" s="76"/>
      <c r="F67" s="61"/>
      <c r="G67" s="61"/>
      <c r="H67" s="49"/>
      <c r="I67" s="50"/>
      <c r="J67" s="50"/>
      <c r="K67" s="49"/>
      <c r="L67" s="77"/>
    </row>
    <row r="68" spans="1:18">
      <c r="C68" s="160">
        <f>C41+C45</f>
        <v>134531822</v>
      </c>
      <c r="D68" s="75"/>
      <c r="E68" s="76"/>
      <c r="F68" s="61"/>
      <c r="G68" s="61"/>
      <c r="H68" s="49"/>
      <c r="I68" s="50"/>
      <c r="J68" s="50"/>
      <c r="K68" s="49"/>
    </row>
    <row r="69" spans="1:18">
      <c r="C69" s="160"/>
      <c r="D69" s="75"/>
      <c r="E69" s="76"/>
      <c r="F69" s="61"/>
      <c r="G69" s="61"/>
      <c r="H69" s="49"/>
      <c r="I69" s="50"/>
      <c r="J69" s="50"/>
      <c r="K69" s="49"/>
    </row>
    <row r="70" spans="1:18">
      <c r="A70" s="686"/>
      <c r="C70" s="74"/>
      <c r="D70" s="75"/>
      <c r="E70" s="76"/>
      <c r="F70" s="61"/>
      <c r="G70" s="61"/>
      <c r="H70" s="49"/>
      <c r="I70" s="50"/>
      <c r="J70" s="50"/>
      <c r="K70" s="49"/>
    </row>
    <row r="71" spans="1:18">
      <c r="A71" s="686"/>
      <c r="C71" s="74"/>
      <c r="D71" s="75"/>
      <c r="E71" s="76"/>
      <c r="F71" s="61"/>
      <c r="G71" s="61"/>
      <c r="H71" s="49"/>
      <c r="I71" s="50"/>
      <c r="J71" s="50"/>
      <c r="K71" s="49"/>
    </row>
    <row r="72" spans="1:18">
      <c r="A72" s="686"/>
      <c r="C72" s="74"/>
      <c r="D72" s="75"/>
      <c r="E72" s="76"/>
      <c r="F72" s="61"/>
      <c r="G72" s="61"/>
      <c r="H72" s="49"/>
      <c r="I72" s="50"/>
      <c r="J72" s="50"/>
      <c r="K72" s="49"/>
    </row>
    <row r="73" spans="1:18">
      <c r="A73" s="78"/>
      <c r="C73" s="74"/>
      <c r="D73" s="75"/>
      <c r="E73" s="76"/>
      <c r="F73" s="61"/>
      <c r="G73" s="61"/>
      <c r="H73" s="49"/>
      <c r="I73" s="50"/>
      <c r="J73" s="50"/>
      <c r="K73" s="49"/>
    </row>
    <row r="74" spans="1:18">
      <c r="A74" s="78"/>
      <c r="C74" s="74"/>
      <c r="D74" s="75"/>
      <c r="E74" s="76"/>
      <c r="F74" s="61"/>
      <c r="G74" s="61"/>
      <c r="H74" s="49"/>
      <c r="I74" s="50"/>
      <c r="J74" s="50"/>
      <c r="K74" s="49"/>
    </row>
    <row r="75" spans="1:18">
      <c r="C75" s="74"/>
      <c r="D75" s="75"/>
      <c r="E75" s="76"/>
      <c r="F75" s="61"/>
      <c r="G75" s="61"/>
      <c r="H75" s="49"/>
      <c r="I75" s="50"/>
      <c r="J75" s="50"/>
      <c r="K75" s="49"/>
    </row>
    <row r="76" spans="1:18">
      <c r="C76" s="74"/>
      <c r="D76" s="75"/>
      <c r="E76" s="76"/>
      <c r="F76" s="61"/>
      <c r="G76" s="61"/>
      <c r="H76" s="49"/>
      <c r="I76" s="50"/>
      <c r="J76" s="50"/>
      <c r="K76" s="49"/>
    </row>
    <row r="77" spans="1:18">
      <c r="A77" s="79"/>
      <c r="B77" s="80"/>
      <c r="C77" s="74"/>
      <c r="D77" s="75"/>
      <c r="E77" s="76"/>
      <c r="F77" s="61"/>
      <c r="G77" s="61"/>
      <c r="H77" s="49"/>
      <c r="I77" s="50"/>
      <c r="J77" s="50"/>
      <c r="K77" s="49"/>
    </row>
    <row r="78" spans="1:18" ht="45">
      <c r="A78" s="14" t="s">
        <v>187</v>
      </c>
      <c r="B78" s="25" t="s">
        <v>188</v>
      </c>
      <c r="C78" s="14" t="s">
        <v>189</v>
      </c>
      <c r="D78" s="14" t="s">
        <v>190</v>
      </c>
      <c r="E78" s="14" t="s">
        <v>3</v>
      </c>
      <c r="F78" s="14" t="s">
        <v>2</v>
      </c>
      <c r="G78" s="14" t="s">
        <v>191</v>
      </c>
      <c r="H78" s="14" t="s">
        <v>192</v>
      </c>
      <c r="I78" s="14" t="s">
        <v>193</v>
      </c>
      <c r="J78" s="50"/>
      <c r="K78" s="49"/>
    </row>
    <row r="79" spans="1:18" ht="60">
      <c r="A79" s="14" t="s">
        <v>166</v>
      </c>
      <c r="B79" s="25" t="s">
        <v>194</v>
      </c>
      <c r="C79" s="14" t="s">
        <v>195</v>
      </c>
      <c r="D79" s="51">
        <v>0</v>
      </c>
      <c r="E79" s="52" t="s">
        <v>196</v>
      </c>
      <c r="F79" s="14" t="s">
        <v>17</v>
      </c>
      <c r="G79" s="52">
        <v>2021</v>
      </c>
      <c r="H79" s="14"/>
      <c r="I79" s="14"/>
      <c r="J79" s="50"/>
      <c r="K79" s="49"/>
    </row>
    <row r="80" spans="1:18" ht="60">
      <c r="A80" s="13" t="s">
        <v>197</v>
      </c>
      <c r="B80" s="497" t="s">
        <v>198</v>
      </c>
      <c r="C80" s="498" t="s">
        <v>126</v>
      </c>
      <c r="D80" s="51">
        <v>0</v>
      </c>
      <c r="E80" s="52" t="s">
        <v>196</v>
      </c>
      <c r="F80" s="53" t="s">
        <v>17</v>
      </c>
      <c r="G80" s="52">
        <v>2021</v>
      </c>
      <c r="H80" s="53"/>
      <c r="I80" s="53"/>
    </row>
    <row r="81" spans="1:15" ht="75">
      <c r="A81" s="13" t="s">
        <v>199</v>
      </c>
      <c r="B81" s="497" t="s">
        <v>200</v>
      </c>
      <c r="C81" s="498" t="s">
        <v>201</v>
      </c>
      <c r="D81" s="52">
        <v>0</v>
      </c>
      <c r="E81" s="52" t="s">
        <v>196</v>
      </c>
      <c r="F81" s="52" t="s">
        <v>17</v>
      </c>
      <c r="G81" s="53">
        <v>2021</v>
      </c>
      <c r="H81" s="53"/>
      <c r="I81" s="53"/>
      <c r="J81" s="81"/>
    </row>
    <row r="82" spans="1:15" ht="30">
      <c r="A82" s="13" t="s">
        <v>202</v>
      </c>
      <c r="B82" s="497" t="s">
        <v>203</v>
      </c>
      <c r="C82" s="498" t="s">
        <v>126</v>
      </c>
      <c r="D82" s="52">
        <v>0</v>
      </c>
      <c r="E82" s="52" t="s">
        <v>196</v>
      </c>
      <c r="F82" s="52" t="s">
        <v>17</v>
      </c>
      <c r="G82" s="53">
        <v>2021</v>
      </c>
      <c r="H82" s="53"/>
      <c r="I82" s="53"/>
      <c r="J82" s="81"/>
      <c r="K82" s="81"/>
    </row>
    <row r="83" spans="1:15" ht="45">
      <c r="A83" s="15" t="s">
        <v>204</v>
      </c>
      <c r="B83" s="499" t="s">
        <v>205</v>
      </c>
      <c r="C83" s="500" t="s">
        <v>205</v>
      </c>
      <c r="D83" s="54">
        <v>0</v>
      </c>
      <c r="E83" s="54" t="s">
        <v>196</v>
      </c>
      <c r="F83" s="54" t="s">
        <v>17</v>
      </c>
      <c r="G83" s="55">
        <v>2021</v>
      </c>
      <c r="H83" s="23" t="s">
        <v>133</v>
      </c>
      <c r="I83" s="55"/>
      <c r="J83" s="81"/>
      <c r="N83"/>
      <c r="O83"/>
    </row>
    <row r="84" spans="1:15" ht="45">
      <c r="A84" s="43" t="s">
        <v>181</v>
      </c>
      <c r="B84" s="56" t="s">
        <v>182</v>
      </c>
      <c r="C84" s="57" t="s">
        <v>184</v>
      </c>
      <c r="D84" s="58">
        <v>0</v>
      </c>
      <c r="E84" s="44" t="s">
        <v>206</v>
      </c>
      <c r="F84" s="59" t="s">
        <v>11</v>
      </c>
      <c r="G84" s="8">
        <v>2021</v>
      </c>
      <c r="H84" s="43"/>
      <c r="I84" s="43"/>
      <c r="J84" s="81"/>
      <c r="N84"/>
      <c r="O84"/>
    </row>
    <row r="85" spans="1:15" ht="45">
      <c r="A85" s="43" t="s">
        <v>181</v>
      </c>
      <c r="B85" s="56" t="s">
        <v>185</v>
      </c>
      <c r="C85" s="57" t="s">
        <v>186</v>
      </c>
      <c r="D85" s="8">
        <v>0</v>
      </c>
      <c r="E85" s="8" t="s">
        <v>206</v>
      </c>
      <c r="F85" s="43" t="s">
        <v>11</v>
      </c>
      <c r="G85" s="43">
        <v>2021</v>
      </c>
      <c r="H85" s="44"/>
      <c r="I85" s="60"/>
      <c r="J85" s="81"/>
      <c r="N85"/>
      <c r="O85"/>
    </row>
    <row r="86" spans="1:15" ht="60">
      <c r="A86" s="13" t="s">
        <v>140</v>
      </c>
      <c r="B86" s="499" t="s">
        <v>194</v>
      </c>
      <c r="C86" s="500" t="s">
        <v>195</v>
      </c>
      <c r="D86" s="236">
        <f>M42+M45</f>
        <v>5.9305499999999997E-3</v>
      </c>
      <c r="E86" s="186" t="s">
        <v>206</v>
      </c>
      <c r="F86" s="171" t="s">
        <v>154</v>
      </c>
      <c r="G86" s="128">
        <v>2021</v>
      </c>
      <c r="H86" s="171" t="s">
        <v>127</v>
      </c>
      <c r="I86" s="190">
        <f>P42+P45</f>
        <v>0.12559204999999998</v>
      </c>
      <c r="J86" s="651" t="s">
        <v>207</v>
      </c>
      <c r="N86"/>
      <c r="O86"/>
    </row>
    <row r="87" spans="1:15" ht="60">
      <c r="A87" s="13" t="s">
        <v>140</v>
      </c>
      <c r="B87" s="497" t="s">
        <v>194</v>
      </c>
      <c r="C87" s="501" t="s">
        <v>195</v>
      </c>
      <c r="D87" s="236">
        <f>M44+M47</f>
        <v>2.7944999999999999E-4</v>
      </c>
      <c r="E87" s="186" t="s">
        <v>196</v>
      </c>
      <c r="F87" s="171" t="s">
        <v>17</v>
      </c>
      <c r="G87" s="128">
        <v>2021</v>
      </c>
      <c r="H87" s="171" t="s">
        <v>127</v>
      </c>
      <c r="I87" s="190">
        <f>P44+P47</f>
        <v>5.9179499999999991E-3</v>
      </c>
      <c r="J87" s="651"/>
      <c r="N87"/>
      <c r="O87"/>
    </row>
    <row r="88" spans="1:15" ht="60">
      <c r="A88" s="13" t="s">
        <v>162</v>
      </c>
      <c r="B88" s="133" t="s">
        <v>152</v>
      </c>
      <c r="C88" s="133" t="s">
        <v>155</v>
      </c>
      <c r="D88" s="68" t="s">
        <v>127</v>
      </c>
      <c r="E88" s="171" t="s">
        <v>196</v>
      </c>
      <c r="F88" s="171" t="s">
        <v>154</v>
      </c>
      <c r="G88" s="128">
        <v>2021</v>
      </c>
      <c r="H88" s="181">
        <f>O41</f>
        <v>158.2727317647059</v>
      </c>
      <c r="I88" s="181">
        <f>P41</f>
        <v>1582.727317647059</v>
      </c>
      <c r="J88" s="651"/>
      <c r="N88"/>
      <c r="O88"/>
    </row>
    <row r="89" spans="1:15" ht="60">
      <c r="A89" s="13" t="s">
        <v>162</v>
      </c>
      <c r="B89" s="145" t="s">
        <v>152</v>
      </c>
      <c r="C89" s="145" t="s">
        <v>155</v>
      </c>
      <c r="D89" s="68" t="s">
        <v>127</v>
      </c>
      <c r="E89" s="171" t="s">
        <v>196</v>
      </c>
      <c r="F89" s="171" t="s">
        <v>17</v>
      </c>
      <c r="G89" s="128">
        <v>2021</v>
      </c>
      <c r="H89" s="181">
        <f>O43</f>
        <v>7.5294117647058831</v>
      </c>
      <c r="I89" s="181">
        <f>P43</f>
        <v>75.294117647058826</v>
      </c>
      <c r="J89" s="651"/>
      <c r="N89"/>
      <c r="O89"/>
    </row>
    <row r="90" spans="1:15" ht="90">
      <c r="A90" s="13" t="s">
        <v>171</v>
      </c>
      <c r="B90" s="173" t="s">
        <v>172</v>
      </c>
      <c r="C90" s="174" t="s">
        <v>208</v>
      </c>
      <c r="D90" s="68" t="s">
        <v>127</v>
      </c>
      <c r="E90" s="171" t="s">
        <v>196</v>
      </c>
      <c r="F90" s="171" t="s">
        <v>17</v>
      </c>
      <c r="G90" s="128">
        <v>2021</v>
      </c>
      <c r="H90" s="68" t="str">
        <f>O45</f>
        <v>n/a</v>
      </c>
      <c r="I90" s="181">
        <f>P46</f>
        <v>0</v>
      </c>
      <c r="J90" s="651"/>
      <c r="N90"/>
      <c r="O90"/>
    </row>
    <row r="91" spans="1:15" ht="90">
      <c r="A91" s="13" t="s">
        <v>171</v>
      </c>
      <c r="B91" s="173" t="s">
        <v>172</v>
      </c>
      <c r="C91" s="174" t="s">
        <v>208</v>
      </c>
      <c r="D91" s="68" t="s">
        <v>127</v>
      </c>
      <c r="E91" s="171" t="s">
        <v>196</v>
      </c>
      <c r="F91" s="171" t="s">
        <v>17</v>
      </c>
      <c r="G91" s="128">
        <v>2021</v>
      </c>
      <c r="H91" s="68">
        <f>O46</f>
        <v>0</v>
      </c>
      <c r="I91" s="181">
        <f>P48</f>
        <v>0</v>
      </c>
      <c r="J91" s="651"/>
      <c r="N91"/>
      <c r="O91"/>
    </row>
    <row r="92" spans="1:15">
      <c r="B92" s="179"/>
      <c r="C92" s="178"/>
      <c r="D92" s="187"/>
      <c r="E92" s="188"/>
      <c r="F92" s="188"/>
      <c r="G92" s="4"/>
      <c r="H92" s="189"/>
      <c r="I92" s="189"/>
      <c r="N92"/>
      <c r="O92"/>
    </row>
    <row r="93" spans="1:15">
      <c r="B93" s="179"/>
      <c r="C93" s="178"/>
      <c r="D93" s="187"/>
      <c r="E93" s="188"/>
      <c r="F93" s="188"/>
      <c r="G93" s="4"/>
      <c r="H93" s="189"/>
      <c r="I93" s="189"/>
      <c r="N93"/>
      <c r="O93"/>
    </row>
    <row r="94" spans="1:15">
      <c r="B94" s="179"/>
      <c r="C94" s="177"/>
      <c r="D94" s="11"/>
      <c r="E94" s="180"/>
      <c r="F94" s="13"/>
      <c r="G94" s="3"/>
      <c r="H94" s="12"/>
      <c r="I94" s="12"/>
      <c r="N94"/>
      <c r="O94"/>
    </row>
    <row r="95" spans="1:15">
      <c r="B95" s="179"/>
      <c r="C95" s="177"/>
      <c r="D95" s="11"/>
      <c r="E95" s="180"/>
      <c r="F95" s="13"/>
      <c r="G95" s="3"/>
      <c r="H95" s="12"/>
      <c r="I95" s="12"/>
      <c r="N95"/>
      <c r="O95"/>
    </row>
    <row r="96" spans="1:15">
      <c r="B96" s="179"/>
      <c r="C96" s="177"/>
      <c r="D96" s="11"/>
      <c r="E96" s="180"/>
      <c r="F96" s="13"/>
      <c r="G96" s="3"/>
      <c r="H96" s="12"/>
      <c r="I96" s="12"/>
      <c r="N96"/>
      <c r="O96"/>
    </row>
    <row r="97" spans="2:15">
      <c r="B97" s="179"/>
      <c r="C97" s="105"/>
      <c r="D97" s="11"/>
      <c r="E97" s="180"/>
      <c r="F97" s="13"/>
      <c r="G97" s="3"/>
      <c r="H97" s="12"/>
      <c r="I97" s="12"/>
      <c r="N97"/>
      <c r="O97"/>
    </row>
    <row r="98" spans="2:15">
      <c r="B98" s="179"/>
      <c r="C98" s="3"/>
      <c r="D98" s="3"/>
      <c r="E98" s="3"/>
      <c r="F98" s="3"/>
      <c r="G98" s="3"/>
      <c r="H98" s="3"/>
      <c r="I98" s="3"/>
      <c r="N98"/>
      <c r="O98"/>
    </row>
    <row r="99" spans="2:15">
      <c r="B99" s="179"/>
      <c r="C99" s="3"/>
      <c r="D99" s="3"/>
      <c r="E99" s="3"/>
      <c r="F99" s="3"/>
      <c r="G99" s="3"/>
      <c r="H99" s="3"/>
      <c r="I99" s="3"/>
      <c r="N99"/>
      <c r="O99"/>
    </row>
    <row r="100" spans="2:15">
      <c r="C100" s="79"/>
      <c r="D100" s="79"/>
      <c r="E100" s="79"/>
      <c r="F100" s="79"/>
      <c r="G100" s="79"/>
      <c r="H100" s="79"/>
      <c r="I100" s="79"/>
      <c r="N100"/>
      <c r="O100"/>
    </row>
    <row r="101" spans="2:15">
      <c r="N101"/>
      <c r="O101"/>
    </row>
    <row r="102" spans="2:15">
      <c r="N102"/>
      <c r="O102"/>
    </row>
    <row r="103" spans="2:15">
      <c r="C103" s="81"/>
      <c r="N103"/>
      <c r="O103"/>
    </row>
    <row r="104" spans="2:15">
      <c r="N104"/>
      <c r="O104"/>
    </row>
    <row r="105" spans="2:15">
      <c r="C105" s="81"/>
      <c r="N105"/>
      <c r="O105"/>
    </row>
    <row r="106" spans="2:15">
      <c r="N106"/>
      <c r="O106"/>
    </row>
    <row r="107" spans="2:15">
      <c r="N107"/>
      <c r="O107"/>
    </row>
    <row r="108" spans="2:15">
      <c r="N108"/>
      <c r="O108"/>
    </row>
    <row r="109" spans="2:15">
      <c r="N109"/>
      <c r="O109"/>
    </row>
    <row r="110" spans="2:15">
      <c r="N110"/>
      <c r="O110"/>
    </row>
    <row r="111" spans="2:15">
      <c r="N111"/>
      <c r="O111"/>
    </row>
  </sheetData>
  <mergeCells count="186">
    <mergeCell ref="S45:S48"/>
    <mergeCell ref="I27:I29"/>
    <mergeCell ref="G23:G26"/>
    <mergeCell ref="H23:H25"/>
    <mergeCell ref="I23:I25"/>
    <mergeCell ref="J65:J66"/>
    <mergeCell ref="J86:J91"/>
    <mergeCell ref="J13:J17"/>
    <mergeCell ref="J18:J22"/>
    <mergeCell ref="J23:J26"/>
    <mergeCell ref="J27:J30"/>
    <mergeCell ref="J31:J34"/>
    <mergeCell ref="J35:J40"/>
    <mergeCell ref="J49:J52"/>
    <mergeCell ref="J53:J56"/>
    <mergeCell ref="J57:J60"/>
    <mergeCell ref="R51:R52"/>
    <mergeCell ref="G13:G17"/>
    <mergeCell ref="G18:G22"/>
    <mergeCell ref="O27:O29"/>
    <mergeCell ref="P27:P29"/>
    <mergeCell ref="Q27:Q29"/>
    <mergeCell ref="R27:R29"/>
    <mergeCell ref="O31:O32"/>
    <mergeCell ref="K11:K12"/>
    <mergeCell ref="A11:A12"/>
    <mergeCell ref="C11:C12"/>
    <mergeCell ref="G11:G12"/>
    <mergeCell ref="H51:H52"/>
    <mergeCell ref="I51:I52"/>
    <mergeCell ref="Q11:Q12"/>
    <mergeCell ref="R11:R12"/>
    <mergeCell ref="D11:F11"/>
    <mergeCell ref="H11:I11"/>
    <mergeCell ref="J11:J12"/>
    <mergeCell ref="M11:N11"/>
    <mergeCell ref="O11:O12"/>
    <mergeCell ref="L11:L12"/>
    <mergeCell ref="P11:P12"/>
    <mergeCell ref="A23:A34"/>
    <mergeCell ref="D23:D26"/>
    <mergeCell ref="E23:E26"/>
    <mergeCell ref="F23:F26"/>
    <mergeCell ref="G27:G30"/>
    <mergeCell ref="C13:C17"/>
    <mergeCell ref="L23:L25"/>
    <mergeCell ref="L33:L34"/>
    <mergeCell ref="C31:C34"/>
    <mergeCell ref="A1:E1"/>
    <mergeCell ref="A13:A22"/>
    <mergeCell ref="D13:D17"/>
    <mergeCell ref="E13:E17"/>
    <mergeCell ref="F13:F17"/>
    <mergeCell ref="D18:D22"/>
    <mergeCell ref="E18:E22"/>
    <mergeCell ref="F18:F22"/>
    <mergeCell ref="D27:D30"/>
    <mergeCell ref="E27:E30"/>
    <mergeCell ref="F27:F30"/>
    <mergeCell ref="A3:G3"/>
    <mergeCell ref="A5:G5"/>
    <mergeCell ref="A6:H6"/>
    <mergeCell ref="A7:G7"/>
    <mergeCell ref="A8:G8"/>
    <mergeCell ref="A9:G9"/>
    <mergeCell ref="C18:C22"/>
    <mergeCell ref="C23:C26"/>
    <mergeCell ref="C27:C30"/>
    <mergeCell ref="A4:G4"/>
    <mergeCell ref="B11:B12"/>
    <mergeCell ref="R31:R32"/>
    <mergeCell ref="R33:R34"/>
    <mergeCell ref="Q33:Q34"/>
    <mergeCell ref="H33:H34"/>
    <mergeCell ref="I33:I34"/>
    <mergeCell ref="L27:L29"/>
    <mergeCell ref="M27:M29"/>
    <mergeCell ref="N27:N29"/>
    <mergeCell ref="H27:H29"/>
    <mergeCell ref="H31:H32"/>
    <mergeCell ref="I31:I32"/>
    <mergeCell ref="L31:L32"/>
    <mergeCell ref="M31:M32"/>
    <mergeCell ref="N31:N32"/>
    <mergeCell ref="O37:O40"/>
    <mergeCell ref="P37:P40"/>
    <mergeCell ref="M33:M34"/>
    <mergeCell ref="N33:N34"/>
    <mergeCell ref="O33:O34"/>
    <mergeCell ref="P33:P34"/>
    <mergeCell ref="A35:A40"/>
    <mergeCell ref="C35:C40"/>
    <mergeCell ref="D35:D40"/>
    <mergeCell ref="E35:E40"/>
    <mergeCell ref="F35:F40"/>
    <mergeCell ref="G35:G40"/>
    <mergeCell ref="H37:H40"/>
    <mergeCell ref="I37:I40"/>
    <mergeCell ref="D31:D34"/>
    <mergeCell ref="E31:E34"/>
    <mergeCell ref="F31:F34"/>
    <mergeCell ref="G31:G34"/>
    <mergeCell ref="P31:P32"/>
    <mergeCell ref="Q37:Q40"/>
    <mergeCell ref="R37:R40"/>
    <mergeCell ref="A49:A64"/>
    <mergeCell ref="D49:D52"/>
    <mergeCell ref="E49:E52"/>
    <mergeCell ref="F49:F52"/>
    <mergeCell ref="G49:G52"/>
    <mergeCell ref="D53:D56"/>
    <mergeCell ref="E53:E56"/>
    <mergeCell ref="F53:F56"/>
    <mergeCell ref="G53:G56"/>
    <mergeCell ref="D57:D60"/>
    <mergeCell ref="E57:E60"/>
    <mergeCell ref="F57:F60"/>
    <mergeCell ref="G57:G60"/>
    <mergeCell ref="L51:L52"/>
    <mergeCell ref="M51:M52"/>
    <mergeCell ref="N51:N52"/>
    <mergeCell ref="O51:O52"/>
    <mergeCell ref="P51:P52"/>
    <mergeCell ref="Q51:Q52"/>
    <mergeCell ref="L37:L40"/>
    <mergeCell ref="M37:M40"/>
    <mergeCell ref="N37:N40"/>
    <mergeCell ref="A70:A72"/>
    <mergeCell ref="D61:D64"/>
    <mergeCell ref="E61:E64"/>
    <mergeCell ref="F61:F64"/>
    <mergeCell ref="G61:G64"/>
    <mergeCell ref="A65:A66"/>
    <mergeCell ref="C65:C66"/>
    <mergeCell ref="D65:D66"/>
    <mergeCell ref="E65:E66"/>
    <mergeCell ref="F65:F66"/>
    <mergeCell ref="G65:G66"/>
    <mergeCell ref="C61:C64"/>
    <mergeCell ref="K13:K17"/>
    <mergeCell ref="K18:K22"/>
    <mergeCell ref="K23:K26"/>
    <mergeCell ref="K27:K30"/>
    <mergeCell ref="K31:K34"/>
    <mergeCell ref="K35:K40"/>
    <mergeCell ref="K49:K52"/>
    <mergeCell ref="K53:K56"/>
    <mergeCell ref="K57:K60"/>
    <mergeCell ref="K61:K64"/>
    <mergeCell ref="K65:K66"/>
    <mergeCell ref="J61:J64"/>
    <mergeCell ref="K41:K42"/>
    <mergeCell ref="K43:K44"/>
    <mergeCell ref="C45:C46"/>
    <mergeCell ref="E45:E46"/>
    <mergeCell ref="F45:F46"/>
    <mergeCell ref="G45:G46"/>
    <mergeCell ref="J45:J46"/>
    <mergeCell ref="K45:K46"/>
    <mergeCell ref="J41:J42"/>
    <mergeCell ref="J43:J44"/>
    <mergeCell ref="K47:K48"/>
    <mergeCell ref="J47:J48"/>
    <mergeCell ref="C47:C48"/>
    <mergeCell ref="C49:C52"/>
    <mergeCell ref="C53:C56"/>
    <mergeCell ref="C57:C60"/>
    <mergeCell ref="B41:B42"/>
    <mergeCell ref="B45:B46"/>
    <mergeCell ref="A41:A44"/>
    <mergeCell ref="C41:C42"/>
    <mergeCell ref="D41:D44"/>
    <mergeCell ref="E41:E42"/>
    <mergeCell ref="F41:F42"/>
    <mergeCell ref="G41:G42"/>
    <mergeCell ref="C43:C44"/>
    <mergeCell ref="E43:E44"/>
    <mergeCell ref="F43:F44"/>
    <mergeCell ref="G43:G44"/>
    <mergeCell ref="B43:B44"/>
    <mergeCell ref="D45:D48"/>
    <mergeCell ref="E47:E48"/>
    <mergeCell ref="G47:G48"/>
    <mergeCell ref="F47:F48"/>
    <mergeCell ref="A45:A48"/>
    <mergeCell ref="B47:B48"/>
  </mergeCells>
  <phoneticPr fontId="37" type="noConversion"/>
  <pageMargins left="0.7" right="0.7" top="0.75" bottom="0.75" header="0.3" footer="0.3"/>
  <pageSetup paperSize="8" scale="37"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1"/>
  <sheetViews>
    <sheetView topLeftCell="A6" zoomScale="55" zoomScaleNormal="55" workbookViewId="0">
      <selection activeCell="P42" sqref="P42"/>
    </sheetView>
  </sheetViews>
  <sheetFormatPr defaultRowHeight="15"/>
  <cols>
    <col min="1" max="1" width="24.5703125" customWidth="1"/>
    <col min="2" max="2" width="17.7109375" customWidth="1"/>
    <col min="3" max="3" width="17.28515625" customWidth="1"/>
    <col min="4" max="4" width="15.28515625" customWidth="1"/>
    <col min="5" max="5" width="17.28515625" customWidth="1"/>
    <col min="6" max="6" width="14.71093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7109375" customWidth="1"/>
    <col min="17" max="17" width="37" customWidth="1"/>
    <col min="18" max="18" width="92.7109375" customWidth="1"/>
    <col min="19" max="19" width="81" customWidth="1"/>
    <col min="20" max="20" width="60.5703125" customWidth="1"/>
    <col min="21" max="21" width="14.28515625" style="112" bestFit="1" customWidth="1"/>
    <col min="22" max="23" width="8.7109375" style="112"/>
    <col min="24" max="24" width="10.42578125" bestFit="1" customWidth="1"/>
  </cols>
  <sheetData>
    <row r="1" spans="1:37">
      <c r="A1" s="9" t="s">
        <v>209</v>
      </c>
      <c r="L1" s="124" t="s">
        <v>210</v>
      </c>
    </row>
    <row r="2" spans="1:37">
      <c r="A2" t="s">
        <v>211</v>
      </c>
    </row>
    <row r="3" spans="1:37">
      <c r="A3" t="s">
        <v>212</v>
      </c>
    </row>
    <row r="4" spans="1:37" ht="15.75" thickBot="1">
      <c r="A4" s="9" t="s">
        <v>207</v>
      </c>
    </row>
    <row r="5" spans="1:37" ht="15" customHeight="1">
      <c r="A5" s="831" t="s">
        <v>213</v>
      </c>
      <c r="B5" s="772" t="s">
        <v>101</v>
      </c>
      <c r="C5" s="778" t="s">
        <v>102</v>
      </c>
      <c r="D5" s="826" t="s">
        <v>103</v>
      </c>
      <c r="E5" s="826"/>
      <c r="F5" s="826"/>
      <c r="G5" s="829" t="s">
        <v>104</v>
      </c>
      <c r="H5" s="827" t="s">
        <v>214</v>
      </c>
      <c r="I5" s="827"/>
      <c r="J5" s="826" t="s">
        <v>3</v>
      </c>
      <c r="K5" s="826" t="s">
        <v>2</v>
      </c>
      <c r="L5" s="826" t="s">
        <v>189</v>
      </c>
      <c r="M5" s="826" t="s">
        <v>215</v>
      </c>
      <c r="N5" s="826"/>
      <c r="O5" s="829" t="s">
        <v>192</v>
      </c>
      <c r="P5" s="826" t="s">
        <v>193</v>
      </c>
      <c r="Q5" s="826" t="s">
        <v>216</v>
      </c>
      <c r="R5" s="824" t="s">
        <v>217</v>
      </c>
      <c r="S5" s="135"/>
      <c r="T5" s="135"/>
      <c r="U5" s="176"/>
      <c r="V5" s="176"/>
      <c r="W5" s="176"/>
      <c r="X5" s="135"/>
      <c r="Y5" s="135"/>
      <c r="Z5" s="135"/>
      <c r="AA5" s="135"/>
      <c r="AB5" s="10"/>
      <c r="AC5" s="10"/>
      <c r="AD5" s="10"/>
      <c r="AE5" s="10"/>
      <c r="AF5" s="10"/>
      <c r="AG5" s="10"/>
      <c r="AH5" s="10"/>
      <c r="AI5" s="10"/>
      <c r="AJ5" s="10"/>
      <c r="AK5" s="10"/>
    </row>
    <row r="6" spans="1:37" ht="84" customHeight="1" thickBot="1">
      <c r="A6" s="832"/>
      <c r="B6" s="773"/>
      <c r="C6" s="779"/>
      <c r="D6" s="141" t="s">
        <v>114</v>
      </c>
      <c r="E6" s="142" t="s">
        <v>115</v>
      </c>
      <c r="F6" s="143" t="s">
        <v>218</v>
      </c>
      <c r="G6" s="830"/>
      <c r="H6" s="141" t="s">
        <v>187</v>
      </c>
      <c r="I6" s="141" t="s">
        <v>188</v>
      </c>
      <c r="J6" s="828"/>
      <c r="K6" s="828"/>
      <c r="L6" s="828"/>
      <c r="M6" s="141" t="s">
        <v>219</v>
      </c>
      <c r="N6" s="141" t="s">
        <v>220</v>
      </c>
      <c r="O6" s="830"/>
      <c r="P6" s="828"/>
      <c r="Q6" s="828"/>
      <c r="R6" s="825"/>
      <c r="S6" s="135"/>
      <c r="T6" s="135"/>
      <c r="U6" s="176"/>
      <c r="V6" s="176"/>
      <c r="W6" s="176"/>
      <c r="X6" s="135"/>
      <c r="Y6" s="135"/>
      <c r="Z6" s="135"/>
      <c r="AA6" s="135"/>
      <c r="AB6" s="10"/>
      <c r="AC6" s="10"/>
      <c r="AD6" s="10"/>
      <c r="AE6" s="10"/>
      <c r="AF6" s="10"/>
      <c r="AG6" s="10"/>
      <c r="AH6" s="10"/>
      <c r="AI6" s="10"/>
      <c r="AJ6" s="10"/>
      <c r="AK6" s="10"/>
    </row>
    <row r="7" spans="1:37" ht="115.15" customHeight="1">
      <c r="A7" s="817" t="s">
        <v>211</v>
      </c>
      <c r="B7" s="633">
        <f>F7</f>
        <v>143212698.82352942</v>
      </c>
      <c r="C7" s="640">
        <f>'Intervencijų lėšos (2)'!J5</f>
        <v>121730794</v>
      </c>
      <c r="D7" s="820" t="s">
        <v>221</v>
      </c>
      <c r="E7" s="821">
        <f>C7/0.85*0.15</f>
        <v>21481904.823529411</v>
      </c>
      <c r="F7" s="640">
        <f>C7+E7</f>
        <v>143212698.82352942</v>
      </c>
      <c r="G7" s="640">
        <f>F7</f>
        <v>143212698.82352942</v>
      </c>
      <c r="H7" s="118" t="s">
        <v>140</v>
      </c>
      <c r="I7" s="119" t="s">
        <v>141</v>
      </c>
      <c r="J7" s="833" t="s">
        <v>125</v>
      </c>
      <c r="K7" s="635" t="s">
        <v>163</v>
      </c>
      <c r="L7" s="132" t="s">
        <v>222</v>
      </c>
      <c r="M7" s="232">
        <f>60.96/1000</f>
        <v>6.096E-2</v>
      </c>
      <c r="N7" s="132" t="s">
        <v>156</v>
      </c>
      <c r="O7" s="193" t="s">
        <v>127</v>
      </c>
      <c r="P7" s="232">
        <f>223.54/1000</f>
        <v>0.22353999999999999</v>
      </c>
      <c r="Q7" s="132" t="s">
        <v>157</v>
      </c>
      <c r="R7" s="402" t="s">
        <v>223</v>
      </c>
      <c r="S7" s="424" t="s">
        <v>224</v>
      </c>
      <c r="T7" s="135"/>
      <c r="U7" s="176"/>
      <c r="V7" s="176"/>
      <c r="W7" s="176"/>
      <c r="X7" s="135"/>
      <c r="Y7" s="135"/>
      <c r="Z7" s="135"/>
      <c r="AA7" s="135"/>
      <c r="AB7" s="10"/>
      <c r="AC7" s="10"/>
      <c r="AD7" s="10"/>
      <c r="AE7" s="10"/>
      <c r="AF7" s="10"/>
      <c r="AG7" s="10"/>
      <c r="AH7" s="10"/>
      <c r="AI7" s="10"/>
      <c r="AJ7" s="10"/>
      <c r="AK7" s="10"/>
    </row>
    <row r="8" spans="1:37" ht="88.9" customHeight="1">
      <c r="A8" s="818"/>
      <c r="B8" s="816"/>
      <c r="C8" s="807"/>
      <c r="D8" s="636"/>
      <c r="E8" s="822"/>
      <c r="F8" s="807"/>
      <c r="G8" s="807"/>
      <c r="H8" s="133" t="s">
        <v>171</v>
      </c>
      <c r="I8" s="133" t="s">
        <v>225</v>
      </c>
      <c r="J8" s="834"/>
      <c r="K8" s="636"/>
      <c r="L8" s="133" t="s">
        <v>173</v>
      </c>
      <c r="M8" s="133" t="s">
        <v>127</v>
      </c>
      <c r="N8" s="172" t="s">
        <v>156</v>
      </c>
      <c r="O8" s="108">
        <f>P8*0.1</f>
        <v>5.1000000000000005</v>
      </c>
      <c r="P8" s="108">
        <f>ROUND(G7*0.67/1900000,0)</f>
        <v>51</v>
      </c>
      <c r="Q8" s="133" t="s">
        <v>157</v>
      </c>
      <c r="R8" s="403" t="s">
        <v>226</v>
      </c>
      <c r="S8" s="425" t="s">
        <v>227</v>
      </c>
      <c r="T8" s="415"/>
      <c r="U8" s="176"/>
      <c r="V8" s="176"/>
      <c r="W8" s="176"/>
      <c r="X8" s="135"/>
      <c r="Y8" s="135"/>
      <c r="Z8" s="135"/>
      <c r="AA8" s="135"/>
      <c r="AB8" s="10"/>
      <c r="AC8" s="10"/>
      <c r="AD8" s="10"/>
      <c r="AE8" s="10"/>
      <c r="AF8" s="10"/>
      <c r="AG8" s="10"/>
      <c r="AH8" s="10"/>
      <c r="AI8" s="10"/>
      <c r="AJ8" s="10"/>
      <c r="AK8" s="10"/>
    </row>
    <row r="9" spans="1:37" ht="78.599999999999994" customHeight="1" thickBot="1">
      <c r="A9" s="819"/>
      <c r="B9" s="647"/>
      <c r="C9" s="808"/>
      <c r="D9" s="637"/>
      <c r="E9" s="823"/>
      <c r="F9" s="808"/>
      <c r="G9" s="808"/>
      <c r="H9" s="144" t="s">
        <v>171</v>
      </c>
      <c r="I9" s="144" t="s">
        <v>228</v>
      </c>
      <c r="J9" s="835"/>
      <c r="K9" s="637"/>
      <c r="L9" s="144" t="s">
        <v>173</v>
      </c>
      <c r="M9" s="144" t="s">
        <v>127</v>
      </c>
      <c r="N9" s="192" t="s">
        <v>156</v>
      </c>
      <c r="O9" s="416">
        <f>P9*0.1</f>
        <v>2.5</v>
      </c>
      <c r="P9" s="417">
        <f>ROUND(G7*0.33/1900000,0)</f>
        <v>25</v>
      </c>
      <c r="Q9" s="144" t="s">
        <v>157</v>
      </c>
      <c r="R9" s="418" t="s">
        <v>229</v>
      </c>
      <c r="S9" s="425" t="s">
        <v>230</v>
      </c>
      <c r="T9" s="415"/>
      <c r="U9" s="176"/>
      <c r="V9" s="176"/>
      <c r="W9" s="176"/>
      <c r="X9" s="135"/>
      <c r="Y9" s="135"/>
      <c r="Z9" s="135"/>
      <c r="AA9" s="135"/>
      <c r="AB9" s="10"/>
      <c r="AC9" s="10"/>
      <c r="AD9" s="10"/>
      <c r="AE9" s="10"/>
      <c r="AF9" s="10"/>
      <c r="AG9" s="10"/>
      <c r="AH9" s="10"/>
      <c r="AI9" s="10"/>
      <c r="AJ9" s="10"/>
      <c r="AK9" s="10"/>
    </row>
    <row r="10" spans="1:37" ht="91.15" customHeight="1" thickBot="1">
      <c r="A10" s="817" t="s">
        <v>212</v>
      </c>
      <c r="B10" s="633">
        <f>F10</f>
        <v>53764705.882352941</v>
      </c>
      <c r="C10" s="633">
        <v>45700000</v>
      </c>
      <c r="D10" s="820" t="s">
        <v>231</v>
      </c>
      <c r="E10" s="821">
        <f>C10/0.85*0.15</f>
        <v>8064705.8823529407</v>
      </c>
      <c r="F10" s="633">
        <f>C10+E10</f>
        <v>53764705.882352941</v>
      </c>
      <c r="G10" s="633">
        <f>F10</f>
        <v>53764705.882352941</v>
      </c>
      <c r="H10" s="132" t="s">
        <v>232</v>
      </c>
      <c r="I10" s="132" t="s">
        <v>233</v>
      </c>
      <c r="J10" s="833" t="s">
        <v>125</v>
      </c>
      <c r="K10" s="635" t="s">
        <v>163</v>
      </c>
      <c r="L10" s="119" t="s">
        <v>234</v>
      </c>
      <c r="M10" s="132" t="s">
        <v>127</v>
      </c>
      <c r="N10" s="119" t="s">
        <v>156</v>
      </c>
      <c r="O10" s="156">
        <f>P10*0.1</f>
        <v>990</v>
      </c>
      <c r="P10" s="119" t="s">
        <v>235</v>
      </c>
      <c r="Q10" s="132" t="s">
        <v>157</v>
      </c>
      <c r="R10" s="139" t="s">
        <v>236</v>
      </c>
      <c r="S10" s="426" t="s">
        <v>237</v>
      </c>
      <c r="T10" s="140"/>
      <c r="U10" s="176"/>
      <c r="V10" s="176"/>
      <c r="W10" s="176"/>
      <c r="X10" s="135"/>
      <c r="Y10" s="135"/>
      <c r="Z10" s="135"/>
      <c r="AA10" s="135"/>
      <c r="AB10" s="10"/>
      <c r="AC10" s="10"/>
      <c r="AD10" s="10"/>
      <c r="AE10" s="10"/>
      <c r="AF10" s="10"/>
      <c r="AG10" s="10"/>
      <c r="AH10" s="10"/>
      <c r="AI10" s="10"/>
      <c r="AJ10" s="10"/>
      <c r="AK10" s="10"/>
    </row>
    <row r="11" spans="1:37" ht="72" customHeight="1">
      <c r="A11" s="818"/>
      <c r="B11" s="816"/>
      <c r="C11" s="816"/>
      <c r="D11" s="636"/>
      <c r="E11" s="822"/>
      <c r="F11" s="816"/>
      <c r="G11" s="816"/>
      <c r="H11" s="133" t="s">
        <v>140</v>
      </c>
      <c r="I11" s="133" t="s">
        <v>141</v>
      </c>
      <c r="J11" s="834"/>
      <c r="K11" s="722"/>
      <c r="L11" s="132" t="s">
        <v>222</v>
      </c>
      <c r="M11" s="145" t="s">
        <v>238</v>
      </c>
      <c r="N11" s="117" t="s">
        <v>156</v>
      </c>
      <c r="O11" s="146" t="s">
        <v>127</v>
      </c>
      <c r="P11" s="419">
        <f>99*0.005/1000</f>
        <v>4.95E-4</v>
      </c>
      <c r="Q11" s="133" t="s">
        <v>157</v>
      </c>
      <c r="R11" s="159" t="s">
        <v>239</v>
      </c>
      <c r="S11" s="427" t="s">
        <v>240</v>
      </c>
      <c r="T11" s="140"/>
      <c r="U11" s="176"/>
      <c r="V11" s="176"/>
      <c r="W11" s="176"/>
      <c r="X11" s="135"/>
      <c r="Y11" s="135"/>
      <c r="Z11" s="135"/>
      <c r="AA11" s="135"/>
      <c r="AB11" s="10"/>
      <c r="AC11" s="10"/>
      <c r="AD11" s="10"/>
      <c r="AE11" s="10"/>
      <c r="AF11" s="10"/>
      <c r="AG11" s="10"/>
      <c r="AH11" s="10"/>
      <c r="AI11" s="10"/>
      <c r="AJ11" s="10"/>
      <c r="AK11" s="10"/>
    </row>
    <row r="12" spans="1:37" ht="103.15" customHeight="1" thickBot="1">
      <c r="A12" s="818"/>
      <c r="B12" s="816"/>
      <c r="C12" s="634"/>
      <c r="D12" s="668"/>
      <c r="E12" s="836"/>
      <c r="F12" s="634"/>
      <c r="G12" s="634"/>
      <c r="H12" s="117" t="s">
        <v>241</v>
      </c>
      <c r="I12" s="117" t="s">
        <v>242</v>
      </c>
      <c r="J12" s="835"/>
      <c r="K12" s="674"/>
      <c r="L12" s="117" t="s">
        <v>243</v>
      </c>
      <c r="M12" s="117" t="s">
        <v>238</v>
      </c>
      <c r="N12" s="117" t="s">
        <v>156</v>
      </c>
      <c r="O12" s="420" t="s">
        <v>127</v>
      </c>
      <c r="P12" s="230">
        <f>39013*99</f>
        <v>3862287</v>
      </c>
      <c r="Q12" s="117" t="s">
        <v>244</v>
      </c>
      <c r="R12" s="231" t="s">
        <v>245</v>
      </c>
      <c r="S12" s="135" t="s">
        <v>246</v>
      </c>
      <c r="T12" s="135"/>
      <c r="U12" s="176"/>
      <c r="V12" s="176"/>
      <c r="W12" s="176"/>
      <c r="X12" s="176"/>
      <c r="Y12" s="135"/>
      <c r="Z12" s="135"/>
      <c r="AA12" s="135"/>
      <c r="AB12" s="10"/>
      <c r="AC12" s="10"/>
      <c r="AD12" s="10"/>
      <c r="AE12" s="10"/>
      <c r="AF12" s="10"/>
      <c r="AG12" s="10"/>
      <c r="AH12" s="10"/>
      <c r="AI12" s="10"/>
      <c r="AJ12" s="10"/>
      <c r="AK12" s="10"/>
    </row>
    <row r="13" spans="1:37" ht="42" hidden="1" customHeight="1">
      <c r="A13" s="818"/>
      <c r="B13" s="157"/>
      <c r="C13" s="809">
        <f>'[1]Intervencijų lėšos'!I8</f>
        <v>10000000</v>
      </c>
      <c r="D13" s="811" t="s">
        <v>150</v>
      </c>
      <c r="E13" s="813">
        <f>(C13*100/70)-C13</f>
        <v>4285714.2857142854</v>
      </c>
      <c r="F13" s="815">
        <f>C13+E13</f>
        <v>14285714.285714285</v>
      </c>
      <c r="G13" s="148">
        <f>F13</f>
        <v>14285714.285714285</v>
      </c>
      <c r="H13" s="149" t="s">
        <v>166</v>
      </c>
      <c r="I13" s="149" t="s">
        <v>194</v>
      </c>
      <c r="J13" s="150" t="s">
        <v>18</v>
      </c>
      <c r="K13" s="150" t="s">
        <v>17</v>
      </c>
      <c r="L13" s="149" t="s">
        <v>195</v>
      </c>
      <c r="M13" s="149"/>
      <c r="N13" s="149"/>
      <c r="O13" s="151"/>
      <c r="P13" s="149"/>
      <c r="Q13" s="149" t="s">
        <v>157</v>
      </c>
      <c r="R13" s="147"/>
      <c r="S13" s="135"/>
      <c r="T13" s="135"/>
      <c r="U13" s="176"/>
      <c r="V13" s="176"/>
      <c r="W13" s="176"/>
      <c r="X13" s="135"/>
      <c r="Y13" s="135"/>
      <c r="Z13" s="135"/>
      <c r="AA13" s="135"/>
      <c r="AB13" s="10"/>
      <c r="AC13" s="10"/>
      <c r="AD13" s="10"/>
      <c r="AE13" s="10"/>
      <c r="AF13" s="10"/>
      <c r="AG13" s="10"/>
      <c r="AH13" s="10"/>
      <c r="AI13" s="10"/>
      <c r="AJ13" s="10"/>
      <c r="AK13" s="10"/>
    </row>
    <row r="14" spans="1:37" ht="35.65" hidden="1" customHeight="1">
      <c r="A14" s="819"/>
      <c r="B14" s="158"/>
      <c r="C14" s="810"/>
      <c r="D14" s="812"/>
      <c r="E14" s="814"/>
      <c r="F14" s="810"/>
      <c r="G14" s="152"/>
      <c r="H14" s="153"/>
      <c r="I14" s="153"/>
      <c r="J14" s="153"/>
      <c r="K14" s="153"/>
      <c r="L14" s="153"/>
      <c r="M14" s="153"/>
      <c r="N14" s="153"/>
      <c r="O14" s="154"/>
      <c r="P14" s="153"/>
      <c r="Q14" s="153" t="s">
        <v>157</v>
      </c>
      <c r="R14" s="155"/>
      <c r="S14" s="135"/>
      <c r="T14" s="135"/>
      <c r="U14" s="176"/>
      <c r="V14" s="176"/>
      <c r="W14" s="176"/>
      <c r="X14" s="135"/>
      <c r="Y14" s="135"/>
      <c r="Z14" s="135"/>
      <c r="AA14" s="135"/>
      <c r="AB14" s="10"/>
      <c r="AC14" s="10"/>
      <c r="AD14" s="10"/>
      <c r="AE14" s="10"/>
      <c r="AF14" s="10"/>
      <c r="AG14" s="10"/>
      <c r="AH14" s="10"/>
      <c r="AI14" s="10"/>
      <c r="AJ14" s="10"/>
      <c r="AK14" s="10"/>
    </row>
    <row r="15" spans="1:37">
      <c r="B15" s="112"/>
      <c r="C15" s="112">
        <f>C10+C7</f>
        <v>167430794</v>
      </c>
    </row>
    <row r="16" spans="1:37">
      <c r="C16" s="112"/>
    </row>
    <row r="17" spans="1:22">
      <c r="C17" s="112">
        <f>C7+C10</f>
        <v>167430794</v>
      </c>
    </row>
    <row r="20" spans="1:22" customFormat="1" ht="45">
      <c r="A20" s="14" t="s">
        <v>187</v>
      </c>
      <c r="B20" s="25" t="s">
        <v>188</v>
      </c>
      <c r="C20" s="14" t="s">
        <v>189</v>
      </c>
      <c r="D20" s="14" t="s">
        <v>190</v>
      </c>
      <c r="E20" s="14" t="s">
        <v>3</v>
      </c>
      <c r="F20" s="14" t="s">
        <v>2</v>
      </c>
      <c r="G20" s="14" t="s">
        <v>191</v>
      </c>
      <c r="H20" s="14" t="s">
        <v>192</v>
      </c>
      <c r="I20" s="14" t="s">
        <v>193</v>
      </c>
      <c r="J20" s="50"/>
      <c r="K20" s="49"/>
      <c r="N20" s="61"/>
      <c r="O20" s="61"/>
      <c r="T20" s="112"/>
      <c r="U20" s="112"/>
      <c r="V20" s="112"/>
    </row>
    <row r="21" spans="1:22" customFormat="1" ht="60">
      <c r="A21" s="13" t="s">
        <v>140</v>
      </c>
      <c r="B21" s="497" t="s">
        <v>194</v>
      </c>
      <c r="C21" s="501" t="s">
        <v>195</v>
      </c>
      <c r="D21" s="137">
        <f>M7+M11</f>
        <v>6.096E-2</v>
      </c>
      <c r="E21" s="52" t="s">
        <v>196</v>
      </c>
      <c r="F21" s="171" t="s">
        <v>17</v>
      </c>
      <c r="G21" s="13">
        <v>2021</v>
      </c>
      <c r="H21" s="13" t="s">
        <v>127</v>
      </c>
      <c r="I21" s="190">
        <f>P7+P11</f>
        <v>0.22403499999999998</v>
      </c>
      <c r="J21" s="651" t="s">
        <v>207</v>
      </c>
      <c r="S21" t="s">
        <v>247</v>
      </c>
      <c r="T21" s="112"/>
      <c r="U21" s="112"/>
      <c r="V21" s="112"/>
    </row>
    <row r="22" spans="1:22" customFormat="1" ht="45">
      <c r="A22" s="133" t="s">
        <v>171</v>
      </c>
      <c r="B22" s="133" t="s">
        <v>248</v>
      </c>
      <c r="C22" s="133" t="s">
        <v>208</v>
      </c>
      <c r="D22" s="68" t="s">
        <v>127</v>
      </c>
      <c r="E22" s="13" t="s">
        <v>196</v>
      </c>
      <c r="F22" s="13" t="s">
        <v>17</v>
      </c>
      <c r="G22" s="13">
        <v>2021</v>
      </c>
      <c r="H22" s="181">
        <f t="shared" ref="H22:I24" si="0">O8</f>
        <v>5.1000000000000005</v>
      </c>
      <c r="I22" s="181">
        <f t="shared" si="0"/>
        <v>51</v>
      </c>
      <c r="J22" s="651"/>
      <c r="T22" s="112"/>
      <c r="U22" s="112"/>
      <c r="V22" s="112"/>
    </row>
    <row r="23" spans="1:22" customFormat="1" ht="70.900000000000006" customHeight="1">
      <c r="A23" s="133" t="s">
        <v>171</v>
      </c>
      <c r="B23" s="133" t="s">
        <v>249</v>
      </c>
      <c r="C23" s="174" t="s">
        <v>208</v>
      </c>
      <c r="D23" s="68" t="s">
        <v>127</v>
      </c>
      <c r="E23" s="13" t="s">
        <v>196</v>
      </c>
      <c r="F23" s="13" t="s">
        <v>17</v>
      </c>
      <c r="G23" s="13">
        <v>2021</v>
      </c>
      <c r="H23" s="181">
        <f t="shared" si="0"/>
        <v>2.5</v>
      </c>
      <c r="I23" s="181">
        <f t="shared" si="0"/>
        <v>25</v>
      </c>
      <c r="J23" s="651"/>
      <c r="T23" s="112"/>
      <c r="U23" s="112"/>
      <c r="V23" s="112"/>
    </row>
    <row r="24" spans="1:22" customFormat="1" ht="90">
      <c r="A24" s="133" t="s">
        <v>232</v>
      </c>
      <c r="B24" s="133" t="s">
        <v>233</v>
      </c>
      <c r="C24" s="172" t="s">
        <v>234</v>
      </c>
      <c r="D24" s="68" t="str">
        <f>M10</f>
        <v>n/a</v>
      </c>
      <c r="E24" s="13" t="s">
        <v>196</v>
      </c>
      <c r="F24" s="13" t="s">
        <v>17</v>
      </c>
      <c r="G24" s="13">
        <v>2021</v>
      </c>
      <c r="H24" s="181">
        <f t="shared" si="0"/>
        <v>990</v>
      </c>
      <c r="I24" s="181" t="str">
        <f t="shared" si="0"/>
        <v>9900</v>
      </c>
      <c r="J24" s="651"/>
      <c r="T24" s="112"/>
      <c r="U24" s="112"/>
      <c r="V24" s="112"/>
    </row>
    <row r="25" spans="1:22" ht="60">
      <c r="A25" s="133" t="s">
        <v>241</v>
      </c>
      <c r="B25" s="133" t="s">
        <v>242</v>
      </c>
      <c r="C25" s="133" t="s">
        <v>243</v>
      </c>
      <c r="D25" s="171" t="str">
        <f>M12</f>
        <v>0</v>
      </c>
      <c r="E25" s="13" t="s">
        <v>196</v>
      </c>
      <c r="F25" s="13" t="s">
        <v>17</v>
      </c>
      <c r="G25" s="13">
        <v>2021</v>
      </c>
      <c r="H25" s="128" t="str">
        <f>O12</f>
        <v>n/a</v>
      </c>
      <c r="I25" s="128">
        <f>P12</f>
        <v>3862287</v>
      </c>
      <c r="J25" s="651"/>
    </row>
    <row r="26" spans="1:22">
      <c r="A26" s="3"/>
      <c r="B26" s="3"/>
      <c r="C26" s="3"/>
      <c r="D26" s="4"/>
      <c r="E26" s="3"/>
      <c r="F26" s="3"/>
      <c r="G26" s="3"/>
      <c r="H26" s="3"/>
      <c r="I26" s="3"/>
      <c r="J26" s="651"/>
    </row>
    <row r="27" spans="1:22">
      <c r="A27" s="3"/>
      <c r="B27" s="3"/>
      <c r="C27" s="3"/>
      <c r="D27" s="4"/>
      <c r="E27" s="3"/>
      <c r="F27" s="3"/>
      <c r="G27" s="3"/>
      <c r="H27" s="3"/>
      <c r="I27" s="3"/>
      <c r="J27" s="651"/>
    </row>
    <row r="28" spans="1:22">
      <c r="A28" s="3"/>
      <c r="B28" s="3"/>
      <c r="C28" s="3"/>
      <c r="D28" s="4"/>
      <c r="E28" s="3"/>
      <c r="F28" s="3"/>
      <c r="G28" s="3"/>
      <c r="H28" s="3"/>
      <c r="I28" s="3"/>
      <c r="J28" s="651"/>
    </row>
    <row r="29" spans="1:22">
      <c r="A29" s="3"/>
      <c r="B29" s="3"/>
      <c r="C29" s="3"/>
      <c r="D29" s="4"/>
      <c r="E29" s="3"/>
      <c r="F29" s="3"/>
      <c r="G29" s="3"/>
      <c r="H29" s="3"/>
      <c r="I29" s="3"/>
      <c r="J29" s="651"/>
    </row>
    <row r="30" spans="1:22">
      <c r="A30" s="3"/>
      <c r="B30" s="3"/>
      <c r="C30" s="3"/>
      <c r="D30" s="4"/>
      <c r="E30" s="3"/>
      <c r="F30" s="3"/>
      <c r="G30" s="3"/>
      <c r="H30" s="3"/>
      <c r="I30" s="3"/>
      <c r="J30" s="651"/>
    </row>
    <row r="31" spans="1:22">
      <c r="A31" s="3"/>
      <c r="B31" s="3"/>
      <c r="C31" s="3"/>
      <c r="D31" s="4"/>
      <c r="E31" s="3"/>
      <c r="F31" s="3"/>
      <c r="G31" s="3"/>
      <c r="H31" s="3"/>
      <c r="I31" s="3"/>
      <c r="J31" s="651"/>
    </row>
    <row r="32" spans="1:22">
      <c r="A32" s="3"/>
      <c r="B32" s="3"/>
      <c r="C32" s="3"/>
      <c r="D32" s="4"/>
      <c r="E32" s="3"/>
      <c r="F32" s="3"/>
      <c r="G32" s="3"/>
      <c r="H32" s="3"/>
      <c r="I32" s="3"/>
      <c r="J32" s="651"/>
    </row>
    <row r="33" spans="4:4">
      <c r="D33" s="112"/>
    </row>
    <row r="34" spans="4:4">
      <c r="D34" s="112"/>
    </row>
    <row r="35" spans="4:4">
      <c r="D35" s="112"/>
    </row>
    <row r="36" spans="4:4">
      <c r="D36" s="112"/>
    </row>
    <row r="37" spans="4:4">
      <c r="D37" s="112"/>
    </row>
    <row r="38" spans="4:4">
      <c r="D38" s="112"/>
    </row>
    <row r="39" spans="4:4">
      <c r="D39" s="112"/>
    </row>
    <row r="40" spans="4:4">
      <c r="D40" s="112"/>
    </row>
    <row r="41" spans="4:4">
      <c r="D41" s="112"/>
    </row>
  </sheetData>
  <mergeCells count="37">
    <mergeCell ref="J21:J32"/>
    <mergeCell ref="A5:A6"/>
    <mergeCell ref="C5:C6"/>
    <mergeCell ref="G5:G6"/>
    <mergeCell ref="Q5:Q6"/>
    <mergeCell ref="B5:B6"/>
    <mergeCell ref="J7:J9"/>
    <mergeCell ref="K7:K9"/>
    <mergeCell ref="A10:A14"/>
    <mergeCell ref="C10:C12"/>
    <mergeCell ref="D10:D12"/>
    <mergeCell ref="E10:E12"/>
    <mergeCell ref="F10:F12"/>
    <mergeCell ref="G10:G12"/>
    <mergeCell ref="J10:J12"/>
    <mergeCell ref="K10:K12"/>
    <mergeCell ref="R5:R6"/>
    <mergeCell ref="D5:F5"/>
    <mergeCell ref="H5:I5"/>
    <mergeCell ref="J5:J6"/>
    <mergeCell ref="M5:N5"/>
    <mergeCell ref="O5:O6"/>
    <mergeCell ref="L5:L6"/>
    <mergeCell ref="P5:P6"/>
    <mergeCell ref="K5:K6"/>
    <mergeCell ref="B10:B12"/>
    <mergeCell ref="A7:A9"/>
    <mergeCell ref="C7:C9"/>
    <mergeCell ref="D7:D9"/>
    <mergeCell ref="E7:E9"/>
    <mergeCell ref="B7:B9"/>
    <mergeCell ref="G7:G9"/>
    <mergeCell ref="C13:C14"/>
    <mergeCell ref="D13:D14"/>
    <mergeCell ref="E13:E14"/>
    <mergeCell ref="F13:F14"/>
    <mergeCell ref="F7:F9"/>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8"/>
  <sheetViews>
    <sheetView topLeftCell="A28" zoomScale="55" zoomScaleNormal="55" workbookViewId="0">
      <selection activeCell="P42" sqref="P42"/>
    </sheetView>
  </sheetViews>
  <sheetFormatPr defaultRowHeight="15"/>
  <cols>
    <col min="1" max="1" width="17.5703125" customWidth="1"/>
    <col min="2" max="2" width="16.28515625" customWidth="1"/>
    <col min="3" max="3" width="15.7109375" customWidth="1"/>
    <col min="4" max="4" width="21.28515625" customWidth="1"/>
    <col min="5" max="5" width="16.7109375" customWidth="1"/>
    <col min="6" max="6" width="15.28515625" customWidth="1"/>
    <col min="7" max="7" width="17" customWidth="1"/>
    <col min="8" max="8" width="15.28515625" customWidth="1"/>
    <col min="9" max="9" width="19.42578125" customWidth="1"/>
    <col min="10" max="10" width="12.7109375" customWidth="1"/>
    <col min="11" max="11" width="13.28515625" customWidth="1"/>
    <col min="12" max="12" width="12.42578125" customWidth="1"/>
    <col min="13" max="13" width="14.28515625" customWidth="1"/>
    <col min="14" max="14" width="11.42578125" customWidth="1"/>
    <col min="15" max="15" width="17.7109375" customWidth="1"/>
    <col min="16" max="16" width="20.7109375" style="200" customWidth="1"/>
    <col min="17" max="17" width="33.28515625" customWidth="1"/>
    <col min="18" max="18" width="51.7109375" customWidth="1"/>
    <col min="19" max="19" width="52.7109375" customWidth="1"/>
    <col min="20" max="20" width="68" customWidth="1"/>
  </cols>
  <sheetData>
    <row r="1" spans="1:20">
      <c r="A1" s="9" t="s">
        <v>250</v>
      </c>
      <c r="E1" s="124" t="s">
        <v>251</v>
      </c>
    </row>
    <row r="2" spans="1:20">
      <c r="A2" t="s">
        <v>252</v>
      </c>
    </row>
    <row r="3" spans="1:20" ht="15.75" thickBot="1">
      <c r="A3" t="s">
        <v>207</v>
      </c>
    </row>
    <row r="4" spans="1:20" ht="15" customHeight="1">
      <c r="A4" s="777" t="s">
        <v>100</v>
      </c>
      <c r="B4" s="772" t="s">
        <v>101</v>
      </c>
      <c r="C4" s="778" t="s">
        <v>102</v>
      </c>
      <c r="D4" s="787" t="s">
        <v>103</v>
      </c>
      <c r="E4" s="881"/>
      <c r="F4" s="789"/>
      <c r="G4" s="777" t="s">
        <v>104</v>
      </c>
      <c r="H4" s="882" t="s">
        <v>105</v>
      </c>
      <c r="I4" s="883"/>
      <c r="J4" s="782" t="s">
        <v>106</v>
      </c>
      <c r="K4" s="774" t="s">
        <v>107</v>
      </c>
      <c r="L4" s="782" t="s">
        <v>108</v>
      </c>
      <c r="M4" s="787" t="s">
        <v>109</v>
      </c>
      <c r="N4" s="789"/>
      <c r="O4" s="782" t="s">
        <v>253</v>
      </c>
      <c r="P4" s="891" t="s">
        <v>111</v>
      </c>
      <c r="Q4" s="782" t="s">
        <v>112</v>
      </c>
      <c r="R4" s="784" t="s">
        <v>113</v>
      </c>
    </row>
    <row r="5" spans="1:20" ht="30.75" thickBot="1">
      <c r="A5" s="871"/>
      <c r="B5" s="773"/>
      <c r="C5" s="779"/>
      <c r="D5" s="1" t="s">
        <v>114</v>
      </c>
      <c r="E5" s="6" t="s">
        <v>115</v>
      </c>
      <c r="F5" s="5" t="s">
        <v>116</v>
      </c>
      <c r="G5" s="871"/>
      <c r="H5" s="1" t="s">
        <v>254</v>
      </c>
      <c r="I5" s="2" t="s">
        <v>255</v>
      </c>
      <c r="J5" s="773"/>
      <c r="K5" s="893"/>
      <c r="L5" s="773"/>
      <c r="M5" s="2" t="s">
        <v>119</v>
      </c>
      <c r="N5" s="2" t="s">
        <v>256</v>
      </c>
      <c r="O5" s="773"/>
      <c r="P5" s="892"/>
      <c r="Q5" s="896"/>
      <c r="R5" s="897"/>
    </row>
    <row r="6" spans="1:20" ht="116.65" customHeight="1">
      <c r="A6" s="817" t="s">
        <v>252</v>
      </c>
      <c r="B6" s="851">
        <f>F6</f>
        <v>14009564.705882352</v>
      </c>
      <c r="C6" s="861">
        <v>11908130</v>
      </c>
      <c r="D6" s="635" t="s">
        <v>257</v>
      </c>
      <c r="E6" s="851">
        <f>C6/0.85*0.15</f>
        <v>2101434.7058823528</v>
      </c>
      <c r="F6" s="877">
        <f>C6+E6</f>
        <v>14009564.705882352</v>
      </c>
      <c r="G6" s="868">
        <f>F6</f>
        <v>14009564.705882352</v>
      </c>
      <c r="H6" s="215" t="s">
        <v>258</v>
      </c>
      <c r="I6" s="198" t="s">
        <v>259</v>
      </c>
      <c r="J6" s="888" t="s">
        <v>153</v>
      </c>
      <c r="K6" s="635" t="s">
        <v>154</v>
      </c>
      <c r="L6" s="217" t="s">
        <v>260</v>
      </c>
      <c r="M6" s="198" t="s">
        <v>238</v>
      </c>
      <c r="N6" s="397" t="s">
        <v>261</v>
      </c>
      <c r="O6" s="218">
        <f>P6*0.2</f>
        <v>1900</v>
      </c>
      <c r="P6" s="218">
        <v>9500</v>
      </c>
      <c r="Q6" s="198" t="s">
        <v>157</v>
      </c>
      <c r="R6" s="842" t="s">
        <v>262</v>
      </c>
      <c r="S6" s="898" t="s">
        <v>263</v>
      </c>
      <c r="T6" s="837"/>
    </row>
    <row r="7" spans="1:20" ht="200.65" customHeight="1">
      <c r="A7" s="818"/>
      <c r="B7" s="850"/>
      <c r="C7" s="862"/>
      <c r="D7" s="636"/>
      <c r="E7" s="850"/>
      <c r="F7" s="853"/>
      <c r="G7" s="869"/>
      <c r="H7" s="211" t="s">
        <v>264</v>
      </c>
      <c r="I7" s="212" t="s">
        <v>265</v>
      </c>
      <c r="J7" s="889"/>
      <c r="K7" s="636"/>
      <c r="L7" s="219" t="s">
        <v>266</v>
      </c>
      <c r="M7" s="212" t="s">
        <v>238</v>
      </c>
      <c r="N7" s="398" t="s">
        <v>261</v>
      </c>
      <c r="O7" s="220">
        <f>P7*0.2</f>
        <v>950</v>
      </c>
      <c r="P7" s="220">
        <v>4750</v>
      </c>
      <c r="Q7" s="212" t="s">
        <v>157</v>
      </c>
      <c r="R7" s="839"/>
      <c r="S7" s="898"/>
      <c r="T7" s="837"/>
    </row>
    <row r="8" spans="1:20" ht="130.9" customHeight="1">
      <c r="A8" s="818"/>
      <c r="B8" s="850"/>
      <c r="C8" s="862"/>
      <c r="D8" s="636"/>
      <c r="E8" s="850"/>
      <c r="F8" s="853"/>
      <c r="G8" s="869"/>
      <c r="H8" s="216" t="s">
        <v>267</v>
      </c>
      <c r="I8" s="212" t="s">
        <v>268</v>
      </c>
      <c r="J8" s="889"/>
      <c r="K8" s="636"/>
      <c r="L8" s="219" t="s">
        <v>260</v>
      </c>
      <c r="M8" s="212" t="s">
        <v>238</v>
      </c>
      <c r="N8" s="398" t="s">
        <v>261</v>
      </c>
      <c r="O8" s="221" t="s">
        <v>127</v>
      </c>
      <c r="P8" s="220">
        <f>P6*0.8</f>
        <v>7600</v>
      </c>
      <c r="Q8" s="199" t="s">
        <v>157</v>
      </c>
      <c r="R8" s="214" t="s">
        <v>269</v>
      </c>
      <c r="S8" s="404" t="s">
        <v>270</v>
      </c>
    </row>
    <row r="9" spans="1:20" ht="141.6" customHeight="1">
      <c r="A9" s="818"/>
      <c r="B9" s="852"/>
      <c r="C9" s="863"/>
      <c r="D9" s="636"/>
      <c r="E9" s="850"/>
      <c r="F9" s="878"/>
      <c r="G9" s="870"/>
      <c r="H9" s="211" t="s">
        <v>271</v>
      </c>
      <c r="I9" s="199" t="s">
        <v>272</v>
      </c>
      <c r="J9" s="889"/>
      <c r="K9" s="636"/>
      <c r="L9" s="197" t="s">
        <v>266</v>
      </c>
      <c r="M9" s="222" t="s">
        <v>238</v>
      </c>
      <c r="N9" s="399" t="s">
        <v>261</v>
      </c>
      <c r="O9" s="221" t="s">
        <v>127</v>
      </c>
      <c r="P9" s="223">
        <f>P7*0.8</f>
        <v>3800</v>
      </c>
      <c r="Q9" s="224" t="s">
        <v>157</v>
      </c>
      <c r="R9" s="214" t="s">
        <v>273</v>
      </c>
      <c r="S9" s="404" t="s">
        <v>274</v>
      </c>
    </row>
    <row r="10" spans="1:20" ht="132" customHeight="1">
      <c r="A10" s="818"/>
      <c r="B10" s="846">
        <f>F10</f>
        <v>1176400</v>
      </c>
      <c r="C10" s="854">
        <v>588200</v>
      </c>
      <c r="D10" s="636"/>
      <c r="E10" s="857">
        <f>C10/0.5*0.5</f>
        <v>588200</v>
      </c>
      <c r="F10" s="854">
        <f>C10+E10</f>
        <v>1176400</v>
      </c>
      <c r="G10" s="854">
        <f>F10</f>
        <v>1176400</v>
      </c>
      <c r="H10" s="210" t="s">
        <v>258</v>
      </c>
      <c r="I10" s="203" t="s">
        <v>259</v>
      </c>
      <c r="J10" s="858" t="s">
        <v>275</v>
      </c>
      <c r="K10" s="636"/>
      <c r="L10" s="205" t="s">
        <v>260</v>
      </c>
      <c r="M10" s="202" t="s">
        <v>238</v>
      </c>
      <c r="N10" s="396" t="s">
        <v>261</v>
      </c>
      <c r="O10" s="206">
        <f>P10*0.2</f>
        <v>160</v>
      </c>
      <c r="P10" s="206">
        <f>ROUND(48*25*0.667,0)</f>
        <v>800</v>
      </c>
      <c r="Q10" s="202" t="s">
        <v>157</v>
      </c>
      <c r="R10" s="840" t="s">
        <v>276</v>
      </c>
      <c r="S10" s="894" t="s">
        <v>277</v>
      </c>
    </row>
    <row r="11" spans="1:20" ht="160.9" customHeight="1">
      <c r="A11" s="818"/>
      <c r="B11" s="847"/>
      <c r="C11" s="855"/>
      <c r="D11" s="636"/>
      <c r="E11" s="857"/>
      <c r="F11" s="855"/>
      <c r="G11" s="855"/>
      <c r="H11" s="201" t="s">
        <v>264</v>
      </c>
      <c r="I11" s="203" t="s">
        <v>265</v>
      </c>
      <c r="J11" s="859"/>
      <c r="K11" s="636"/>
      <c r="L11" s="196" t="s">
        <v>266</v>
      </c>
      <c r="M11" s="202" t="s">
        <v>238</v>
      </c>
      <c r="N11" s="396" t="s">
        <v>261</v>
      </c>
      <c r="O11" s="206">
        <f>P11*0.2</f>
        <v>80</v>
      </c>
      <c r="P11" s="206">
        <f>ROUND(48*25*0.333,0)</f>
        <v>400</v>
      </c>
      <c r="Q11" s="202" t="s">
        <v>157</v>
      </c>
      <c r="R11" s="841"/>
      <c r="S11" s="894"/>
    </row>
    <row r="12" spans="1:20" ht="144" customHeight="1">
      <c r="A12" s="818"/>
      <c r="B12" s="847"/>
      <c r="C12" s="855"/>
      <c r="D12" s="636"/>
      <c r="E12" s="857"/>
      <c r="F12" s="855"/>
      <c r="G12" s="855"/>
      <c r="H12" s="207" t="s">
        <v>267</v>
      </c>
      <c r="I12" s="203" t="s">
        <v>268</v>
      </c>
      <c r="J12" s="859"/>
      <c r="K12" s="636"/>
      <c r="L12" s="196" t="s">
        <v>260</v>
      </c>
      <c r="M12" s="202" t="s">
        <v>238</v>
      </c>
      <c r="N12" s="396" t="s">
        <v>261</v>
      </c>
      <c r="O12" s="206" t="s">
        <v>127</v>
      </c>
      <c r="P12" s="206">
        <f>P10*0.8</f>
        <v>640</v>
      </c>
      <c r="Q12" s="202" t="s">
        <v>157</v>
      </c>
      <c r="R12" s="208" t="s">
        <v>278</v>
      </c>
      <c r="S12" s="404" t="s">
        <v>279</v>
      </c>
    </row>
    <row r="13" spans="1:20" ht="146.65" customHeight="1">
      <c r="A13" s="818"/>
      <c r="B13" s="848"/>
      <c r="C13" s="856"/>
      <c r="D13" s="668"/>
      <c r="E13" s="857"/>
      <c r="F13" s="856"/>
      <c r="G13" s="856"/>
      <c r="H13" s="207" t="s">
        <v>271</v>
      </c>
      <c r="I13" s="202" t="s">
        <v>272</v>
      </c>
      <c r="J13" s="860"/>
      <c r="K13" s="668"/>
      <c r="L13" s="195" t="s">
        <v>266</v>
      </c>
      <c r="M13" s="202" t="s">
        <v>238</v>
      </c>
      <c r="N13" s="396" t="s">
        <v>261</v>
      </c>
      <c r="O13" s="206" t="s">
        <v>127</v>
      </c>
      <c r="P13" s="206">
        <f>P11*0.8</f>
        <v>320</v>
      </c>
      <c r="Q13" s="202" t="s">
        <v>157</v>
      </c>
      <c r="R13" s="209" t="s">
        <v>280</v>
      </c>
      <c r="S13" s="404" t="s">
        <v>281</v>
      </c>
    </row>
    <row r="14" spans="1:20" ht="110.65" customHeight="1">
      <c r="A14" s="818"/>
      <c r="B14" s="849">
        <f>F14</f>
        <v>7012070.5882352944</v>
      </c>
      <c r="C14" s="864">
        <v>5960260</v>
      </c>
      <c r="D14" s="865" t="s">
        <v>282</v>
      </c>
      <c r="E14" s="890">
        <f>C14/0.85*0.15</f>
        <v>1051810.5882352942</v>
      </c>
      <c r="F14" s="853">
        <f t="shared" ref="F14" si="0">C14+E14</f>
        <v>7012070.5882352944</v>
      </c>
      <c r="G14" s="878">
        <f>F14</f>
        <v>7012070.5882352944</v>
      </c>
      <c r="H14" s="211" t="s">
        <v>258</v>
      </c>
      <c r="I14" s="212" t="s">
        <v>259</v>
      </c>
      <c r="J14" s="886" t="s">
        <v>153</v>
      </c>
      <c r="K14" s="669" t="s">
        <v>154</v>
      </c>
      <c r="L14" s="194" t="s">
        <v>260</v>
      </c>
      <c r="M14" s="199" t="s">
        <v>238</v>
      </c>
      <c r="N14" s="400" t="s">
        <v>261</v>
      </c>
      <c r="O14" s="213">
        <f>P14*0.2</f>
        <v>940</v>
      </c>
      <c r="P14" s="213">
        <v>4700</v>
      </c>
      <c r="Q14" s="199" t="s">
        <v>157</v>
      </c>
      <c r="R14" s="838" t="s">
        <v>283</v>
      </c>
      <c r="S14" s="898" t="s">
        <v>284</v>
      </c>
    </row>
    <row r="15" spans="1:20" ht="185.65" customHeight="1">
      <c r="A15" s="818"/>
      <c r="B15" s="850"/>
      <c r="C15" s="862"/>
      <c r="D15" s="866"/>
      <c r="E15" s="890"/>
      <c r="F15" s="853"/>
      <c r="G15" s="869"/>
      <c r="H15" s="211" t="s">
        <v>264</v>
      </c>
      <c r="I15" s="212" t="s">
        <v>265</v>
      </c>
      <c r="J15" s="887"/>
      <c r="K15" s="636"/>
      <c r="L15" s="194" t="s">
        <v>266</v>
      </c>
      <c r="M15" s="199" t="s">
        <v>238</v>
      </c>
      <c r="N15" s="400" t="s">
        <v>261</v>
      </c>
      <c r="O15" s="213">
        <f>P15*0.2</f>
        <v>460</v>
      </c>
      <c r="P15" s="213">
        <v>2300</v>
      </c>
      <c r="Q15" s="199" t="s">
        <v>157</v>
      </c>
      <c r="R15" s="839"/>
      <c r="S15" s="898"/>
    </row>
    <row r="16" spans="1:20" ht="132" customHeight="1">
      <c r="A16" s="818"/>
      <c r="B16" s="850"/>
      <c r="C16" s="862"/>
      <c r="D16" s="866"/>
      <c r="E16" s="890"/>
      <c r="F16" s="853"/>
      <c r="G16" s="869"/>
      <c r="H16" s="211" t="s">
        <v>267</v>
      </c>
      <c r="I16" s="212" t="s">
        <v>268</v>
      </c>
      <c r="J16" s="887"/>
      <c r="K16" s="636"/>
      <c r="L16" s="194" t="s">
        <v>260</v>
      </c>
      <c r="M16" s="199" t="s">
        <v>238</v>
      </c>
      <c r="N16" s="400" t="s">
        <v>261</v>
      </c>
      <c r="O16" s="213" t="s">
        <v>127</v>
      </c>
      <c r="P16" s="213">
        <f>P14*0.8</f>
        <v>3760</v>
      </c>
      <c r="Q16" s="199" t="s">
        <v>157</v>
      </c>
      <c r="R16" s="214" t="s">
        <v>285</v>
      </c>
      <c r="S16" s="404" t="s">
        <v>286</v>
      </c>
    </row>
    <row r="17" spans="1:20" ht="139.15" customHeight="1">
      <c r="A17" s="818"/>
      <c r="B17" s="850"/>
      <c r="C17" s="863"/>
      <c r="D17" s="866"/>
      <c r="E17" s="890"/>
      <c r="F17" s="853"/>
      <c r="G17" s="870"/>
      <c r="H17" s="211" t="s">
        <v>271</v>
      </c>
      <c r="I17" s="199" t="s">
        <v>272</v>
      </c>
      <c r="J17" s="887"/>
      <c r="K17" s="636"/>
      <c r="L17" s="194" t="s">
        <v>266</v>
      </c>
      <c r="M17" s="199" t="s">
        <v>238</v>
      </c>
      <c r="N17" s="400" t="s">
        <v>261</v>
      </c>
      <c r="O17" s="213" t="s">
        <v>127</v>
      </c>
      <c r="P17" s="213">
        <f>P15*0.8</f>
        <v>1840</v>
      </c>
      <c r="Q17" s="199" t="s">
        <v>157</v>
      </c>
      <c r="R17" s="214" t="s">
        <v>287</v>
      </c>
      <c r="S17" s="404" t="s">
        <v>288</v>
      </c>
    </row>
    <row r="18" spans="1:20" ht="119.65" customHeight="1">
      <c r="A18" s="818"/>
      <c r="B18" s="846">
        <f>F18</f>
        <v>582400</v>
      </c>
      <c r="C18" s="854">
        <v>291200</v>
      </c>
      <c r="D18" s="866"/>
      <c r="E18" s="857">
        <f>C18/0.5*0.5</f>
        <v>291200</v>
      </c>
      <c r="F18" s="872">
        <f>C18+E18</f>
        <v>582400</v>
      </c>
      <c r="G18" s="872">
        <f>F18</f>
        <v>582400</v>
      </c>
      <c r="H18" s="201" t="s">
        <v>258</v>
      </c>
      <c r="I18" s="203" t="s">
        <v>259</v>
      </c>
      <c r="J18" s="858" t="s">
        <v>275</v>
      </c>
      <c r="K18" s="636"/>
      <c r="L18" s="205" t="s">
        <v>260</v>
      </c>
      <c r="M18" s="202" t="s">
        <v>238</v>
      </c>
      <c r="N18" s="396" t="s">
        <v>261</v>
      </c>
      <c r="O18" s="206">
        <f>P18*0.2</f>
        <v>80</v>
      </c>
      <c r="P18" s="206">
        <f>ROUND(30/2*40*0.667,0)</f>
        <v>400</v>
      </c>
      <c r="Q18" s="202" t="s">
        <v>157</v>
      </c>
      <c r="R18" s="843" t="s">
        <v>289</v>
      </c>
      <c r="S18" s="894" t="s">
        <v>290</v>
      </c>
    </row>
    <row r="19" spans="1:20" ht="175.9" customHeight="1">
      <c r="A19" s="818"/>
      <c r="B19" s="847"/>
      <c r="C19" s="855"/>
      <c r="D19" s="866"/>
      <c r="E19" s="857"/>
      <c r="F19" s="872"/>
      <c r="G19" s="872"/>
      <c r="H19" s="201" t="s">
        <v>264</v>
      </c>
      <c r="I19" s="203" t="s">
        <v>265</v>
      </c>
      <c r="J19" s="859"/>
      <c r="K19" s="636"/>
      <c r="L19" s="205" t="s">
        <v>266</v>
      </c>
      <c r="M19" s="202" t="s">
        <v>238</v>
      </c>
      <c r="N19" s="396" t="s">
        <v>261</v>
      </c>
      <c r="O19" s="206">
        <f>P19*0.2</f>
        <v>40</v>
      </c>
      <c r="P19" s="206">
        <f>ROUND(30/2*40*0.333,0)</f>
        <v>200</v>
      </c>
      <c r="Q19" s="202" t="s">
        <v>157</v>
      </c>
      <c r="R19" s="844"/>
      <c r="S19" s="895"/>
    </row>
    <row r="20" spans="1:20" ht="141.6" customHeight="1">
      <c r="A20" s="818"/>
      <c r="B20" s="847"/>
      <c r="C20" s="855"/>
      <c r="D20" s="866"/>
      <c r="E20" s="857"/>
      <c r="F20" s="872"/>
      <c r="G20" s="872"/>
      <c r="H20" s="201" t="s">
        <v>267</v>
      </c>
      <c r="I20" s="203" t="s">
        <v>268</v>
      </c>
      <c r="J20" s="859"/>
      <c r="K20" s="636"/>
      <c r="L20" s="205" t="s">
        <v>260</v>
      </c>
      <c r="M20" s="202" t="s">
        <v>238</v>
      </c>
      <c r="N20" s="396" t="s">
        <v>261</v>
      </c>
      <c r="O20" s="206" t="s">
        <v>127</v>
      </c>
      <c r="P20" s="206">
        <f>P18*0.8</f>
        <v>320</v>
      </c>
      <c r="Q20" s="202" t="s">
        <v>157</v>
      </c>
      <c r="R20" s="208" t="s">
        <v>291</v>
      </c>
      <c r="S20" s="404" t="s">
        <v>292</v>
      </c>
    </row>
    <row r="21" spans="1:20" ht="135.6" customHeight="1">
      <c r="A21" s="818"/>
      <c r="B21" s="848"/>
      <c r="C21" s="856"/>
      <c r="D21" s="867"/>
      <c r="E21" s="857"/>
      <c r="F21" s="872"/>
      <c r="G21" s="872"/>
      <c r="H21" s="201" t="s">
        <v>271</v>
      </c>
      <c r="I21" s="202" t="s">
        <v>272</v>
      </c>
      <c r="J21" s="860"/>
      <c r="K21" s="668"/>
      <c r="L21" s="205" t="s">
        <v>266</v>
      </c>
      <c r="M21" s="202" t="s">
        <v>238</v>
      </c>
      <c r="N21" s="396" t="s">
        <v>261</v>
      </c>
      <c r="O21" s="206" t="s">
        <v>127</v>
      </c>
      <c r="P21" s="206">
        <f>P19*0.8</f>
        <v>160</v>
      </c>
      <c r="Q21" s="202" t="s">
        <v>157</v>
      </c>
      <c r="R21" s="208" t="s">
        <v>293</v>
      </c>
      <c r="S21" s="404" t="s">
        <v>294</v>
      </c>
    </row>
    <row r="22" spans="1:20" ht="141" customHeight="1">
      <c r="A22" s="818"/>
      <c r="B22" s="875">
        <f>F22</f>
        <v>7013776.4705882352</v>
      </c>
      <c r="C22" s="876">
        <v>5961710</v>
      </c>
      <c r="D22" s="532" t="s">
        <v>295</v>
      </c>
      <c r="E22" s="875">
        <f>C22/0.85*0.15</f>
        <v>1052066.4705882352</v>
      </c>
      <c r="F22" s="876">
        <f>C22+E22</f>
        <v>7013776.4705882352</v>
      </c>
      <c r="G22" s="876">
        <f>F22</f>
        <v>7013776.4705882352</v>
      </c>
      <c r="H22" s="211" t="s">
        <v>258</v>
      </c>
      <c r="I22" s="212" t="s">
        <v>259</v>
      </c>
      <c r="J22" s="886" t="s">
        <v>153</v>
      </c>
      <c r="K22" s="669" t="s">
        <v>154</v>
      </c>
      <c r="L22" s="194" t="s">
        <v>260</v>
      </c>
      <c r="M22" s="199" t="s">
        <v>238</v>
      </c>
      <c r="N22" s="400" t="s">
        <v>261</v>
      </c>
      <c r="O22" s="213">
        <f>P22*0.2</f>
        <v>960</v>
      </c>
      <c r="P22" s="213">
        <v>4800</v>
      </c>
      <c r="Q22" s="199" t="s">
        <v>157</v>
      </c>
      <c r="R22" s="838" t="s">
        <v>296</v>
      </c>
      <c r="S22" s="894" t="s">
        <v>297</v>
      </c>
      <c r="T22" s="845"/>
    </row>
    <row r="23" spans="1:20" ht="184.15" customHeight="1">
      <c r="A23" s="818"/>
      <c r="B23" s="875"/>
      <c r="C23" s="876"/>
      <c r="D23" s="532"/>
      <c r="E23" s="875"/>
      <c r="F23" s="876"/>
      <c r="G23" s="876"/>
      <c r="H23" s="211" t="s">
        <v>264</v>
      </c>
      <c r="I23" s="212" t="s">
        <v>265</v>
      </c>
      <c r="J23" s="887"/>
      <c r="K23" s="636"/>
      <c r="L23" s="194" t="s">
        <v>266</v>
      </c>
      <c r="M23" s="199" t="s">
        <v>238</v>
      </c>
      <c r="N23" s="400" t="s">
        <v>261</v>
      </c>
      <c r="O23" s="213">
        <f>P23*0.2</f>
        <v>480</v>
      </c>
      <c r="P23" s="213">
        <v>2400</v>
      </c>
      <c r="Q23" s="199" t="s">
        <v>157</v>
      </c>
      <c r="R23" s="839"/>
      <c r="S23" s="895"/>
      <c r="T23" s="845"/>
    </row>
    <row r="24" spans="1:20" ht="133.9" customHeight="1">
      <c r="A24" s="818"/>
      <c r="B24" s="875"/>
      <c r="C24" s="876"/>
      <c r="D24" s="532"/>
      <c r="E24" s="875"/>
      <c r="F24" s="876"/>
      <c r="G24" s="876"/>
      <c r="H24" s="211" t="s">
        <v>267</v>
      </c>
      <c r="I24" s="212" t="s">
        <v>268</v>
      </c>
      <c r="J24" s="887"/>
      <c r="K24" s="636"/>
      <c r="L24" s="194" t="s">
        <v>260</v>
      </c>
      <c r="M24" s="199" t="s">
        <v>238</v>
      </c>
      <c r="N24" s="400" t="s">
        <v>261</v>
      </c>
      <c r="O24" s="213" t="s">
        <v>127</v>
      </c>
      <c r="P24" s="213">
        <f>P22*0.8</f>
        <v>3840</v>
      </c>
      <c r="Q24" s="199" t="s">
        <v>157</v>
      </c>
      <c r="R24" s="214" t="s">
        <v>298</v>
      </c>
      <c r="S24" s="404" t="s">
        <v>299</v>
      </c>
    </row>
    <row r="25" spans="1:20" ht="132" customHeight="1">
      <c r="A25" s="818"/>
      <c r="B25" s="875"/>
      <c r="C25" s="876"/>
      <c r="D25" s="532"/>
      <c r="E25" s="875"/>
      <c r="F25" s="876"/>
      <c r="G25" s="876"/>
      <c r="H25" s="211" t="s">
        <v>271</v>
      </c>
      <c r="I25" s="199" t="s">
        <v>272</v>
      </c>
      <c r="J25" s="887"/>
      <c r="K25" s="636"/>
      <c r="L25" s="194" t="s">
        <v>266</v>
      </c>
      <c r="M25" s="199" t="s">
        <v>238</v>
      </c>
      <c r="N25" s="400" t="s">
        <v>261</v>
      </c>
      <c r="O25" s="213" t="s">
        <v>127</v>
      </c>
      <c r="P25" s="213">
        <f>P23*0.8</f>
        <v>1920</v>
      </c>
      <c r="Q25" s="199" t="s">
        <v>157</v>
      </c>
      <c r="R25" s="214" t="s">
        <v>300</v>
      </c>
      <c r="S25" s="404" t="s">
        <v>301</v>
      </c>
    </row>
    <row r="26" spans="1:20" ht="125.65" customHeight="1">
      <c r="A26" s="818"/>
      <c r="B26" s="879">
        <f>F26</f>
        <v>581000</v>
      </c>
      <c r="C26" s="872">
        <v>290500</v>
      </c>
      <c r="D26" s="532"/>
      <c r="E26" s="857">
        <f>C26/0.5*0.5</f>
        <v>290500</v>
      </c>
      <c r="F26" s="872">
        <f>C26+E26</f>
        <v>581000</v>
      </c>
      <c r="G26" s="872">
        <f>F26</f>
        <v>581000</v>
      </c>
      <c r="H26" s="201" t="s">
        <v>258</v>
      </c>
      <c r="I26" s="202" t="s">
        <v>259</v>
      </c>
      <c r="J26" s="858" t="s">
        <v>275</v>
      </c>
      <c r="K26" s="636"/>
      <c r="L26" s="205" t="s">
        <v>260</v>
      </c>
      <c r="M26" s="202" t="s">
        <v>238</v>
      </c>
      <c r="N26" s="396" t="s">
        <v>261</v>
      </c>
      <c r="O26" s="206">
        <f>P26*0.2</f>
        <v>76.800000000000011</v>
      </c>
      <c r="P26" s="206">
        <f>ROUND(32/5*90*0.667,0)</f>
        <v>384</v>
      </c>
      <c r="Q26" s="202" t="s">
        <v>157</v>
      </c>
      <c r="R26" s="843" t="s">
        <v>302</v>
      </c>
      <c r="S26" s="894" t="s">
        <v>303</v>
      </c>
    </row>
    <row r="27" spans="1:20" ht="169.15" customHeight="1">
      <c r="A27" s="818"/>
      <c r="B27" s="879"/>
      <c r="C27" s="872"/>
      <c r="D27" s="532"/>
      <c r="E27" s="857"/>
      <c r="F27" s="872"/>
      <c r="G27" s="872"/>
      <c r="H27" s="201" t="s">
        <v>264</v>
      </c>
      <c r="I27" s="203" t="s">
        <v>265</v>
      </c>
      <c r="J27" s="859"/>
      <c r="K27" s="636"/>
      <c r="L27" s="205" t="s">
        <v>266</v>
      </c>
      <c r="M27" s="202" t="s">
        <v>238</v>
      </c>
      <c r="N27" s="396" t="s">
        <v>261</v>
      </c>
      <c r="O27" s="206">
        <f>P27*0.2</f>
        <v>38.400000000000006</v>
      </c>
      <c r="P27" s="206">
        <f>ROUND(32/5*90*0.333,0)</f>
        <v>192</v>
      </c>
      <c r="Q27" s="202" t="s">
        <v>157</v>
      </c>
      <c r="R27" s="844"/>
      <c r="S27" s="895"/>
    </row>
    <row r="28" spans="1:20" ht="131.65" customHeight="1">
      <c r="A28" s="818"/>
      <c r="B28" s="879"/>
      <c r="C28" s="872"/>
      <c r="D28" s="532"/>
      <c r="E28" s="857"/>
      <c r="F28" s="872"/>
      <c r="G28" s="872"/>
      <c r="H28" s="201" t="s">
        <v>267</v>
      </c>
      <c r="I28" s="203" t="s">
        <v>268</v>
      </c>
      <c r="J28" s="859"/>
      <c r="K28" s="636"/>
      <c r="L28" s="205" t="s">
        <v>260</v>
      </c>
      <c r="M28" s="202" t="s">
        <v>238</v>
      </c>
      <c r="N28" s="396" t="s">
        <v>261</v>
      </c>
      <c r="O28" s="206" t="s">
        <v>127</v>
      </c>
      <c r="P28" s="206">
        <f>ROUND(P26*0.8,0)</f>
        <v>307</v>
      </c>
      <c r="Q28" s="202" t="s">
        <v>157</v>
      </c>
      <c r="R28" s="208" t="s">
        <v>304</v>
      </c>
      <c r="S28" s="404" t="s">
        <v>305</v>
      </c>
    </row>
    <row r="29" spans="1:20" ht="134.65" customHeight="1" thickBot="1">
      <c r="A29" s="819"/>
      <c r="B29" s="880"/>
      <c r="C29" s="873"/>
      <c r="D29" s="884"/>
      <c r="E29" s="874"/>
      <c r="F29" s="873"/>
      <c r="G29" s="873"/>
      <c r="H29" s="225" t="s">
        <v>271</v>
      </c>
      <c r="I29" s="204" t="s">
        <v>272</v>
      </c>
      <c r="J29" s="885"/>
      <c r="K29" s="637"/>
      <c r="L29" s="226" t="s">
        <v>266</v>
      </c>
      <c r="M29" s="204" t="s">
        <v>238</v>
      </c>
      <c r="N29" s="401" t="s">
        <v>261</v>
      </c>
      <c r="O29" s="227" t="s">
        <v>127</v>
      </c>
      <c r="P29" s="227">
        <f>ROUND(P27*0.8,0)</f>
        <v>154</v>
      </c>
      <c r="Q29" s="204" t="s">
        <v>157</v>
      </c>
      <c r="R29" s="229" t="s">
        <v>306</v>
      </c>
      <c r="S29" s="404" t="s">
        <v>307</v>
      </c>
    </row>
    <row r="30" spans="1:20">
      <c r="A30" s="161"/>
      <c r="B30" s="76"/>
      <c r="C30" s="228">
        <f>C6+C10+C14+C18+C22+C26</f>
        <v>25000000</v>
      </c>
      <c r="D30" s="162"/>
      <c r="E30" s="163"/>
      <c r="F30" s="164"/>
      <c r="G30" s="161"/>
      <c r="H30" s="165"/>
      <c r="I30" s="127"/>
      <c r="J30" s="165"/>
      <c r="K30" s="166"/>
      <c r="L30" s="165"/>
      <c r="M30" s="165"/>
      <c r="N30" s="167"/>
      <c r="O30" s="165"/>
      <c r="P30" s="167"/>
      <c r="Q30" s="165"/>
    </row>
    <row r="31" spans="1:20">
      <c r="A31" s="161"/>
      <c r="B31" s="76"/>
      <c r="C31" s="168"/>
      <c r="D31" s="162"/>
      <c r="E31" s="163"/>
      <c r="F31" s="164"/>
      <c r="G31" s="161"/>
      <c r="H31" s="165"/>
      <c r="I31" s="127"/>
      <c r="J31" s="165"/>
      <c r="K31" s="166"/>
      <c r="L31" s="165"/>
      <c r="M31" s="165"/>
      <c r="N31" s="167"/>
      <c r="O31" s="165"/>
      <c r="P31" s="167"/>
      <c r="Q31" s="165"/>
    </row>
    <row r="32" spans="1:20">
      <c r="A32" s="161"/>
      <c r="B32" s="76" t="s">
        <v>308</v>
      </c>
      <c r="C32" s="237">
        <f>C6+C14+C22</f>
        <v>23830100</v>
      </c>
      <c r="D32" s="162"/>
      <c r="E32" s="163"/>
      <c r="F32" s="164"/>
      <c r="G32" s="161"/>
      <c r="H32" s="165"/>
      <c r="I32" s="127"/>
      <c r="J32" s="165"/>
      <c r="K32" s="166"/>
      <c r="L32" s="165"/>
      <c r="M32" s="165"/>
      <c r="N32" s="167"/>
      <c r="O32" s="165"/>
      <c r="P32" s="167"/>
      <c r="Q32" s="165"/>
    </row>
    <row r="33" spans="1:17">
      <c r="A33" s="161"/>
      <c r="B33" s="76"/>
      <c r="C33" s="237">
        <f>C10+C18+C26</f>
        <v>1169900</v>
      </c>
      <c r="D33" s="162"/>
      <c r="E33" s="163"/>
      <c r="F33" s="164"/>
      <c r="G33" s="161"/>
      <c r="H33" s="165"/>
      <c r="I33" s="127"/>
      <c r="J33" s="165"/>
      <c r="K33" s="166"/>
      <c r="L33" s="165"/>
      <c r="M33" s="165"/>
      <c r="N33" s="167"/>
      <c r="O33" s="165"/>
      <c r="P33" s="167"/>
      <c r="Q33" s="165"/>
    </row>
    <row r="34" spans="1:17">
      <c r="A34" s="161"/>
      <c r="B34" s="76"/>
      <c r="C34" s="237">
        <f>C32+C33</f>
        <v>25000000</v>
      </c>
      <c r="D34" s="162"/>
      <c r="E34" s="163"/>
      <c r="F34" s="164"/>
      <c r="G34" s="161"/>
      <c r="H34" s="165"/>
      <c r="I34" s="127"/>
      <c r="J34" s="165"/>
      <c r="K34" s="166"/>
      <c r="L34" s="165"/>
      <c r="M34" s="165"/>
      <c r="N34" s="167"/>
      <c r="O34" s="165"/>
      <c r="P34" s="167"/>
      <c r="Q34" s="165"/>
    </row>
    <row r="35" spans="1:17">
      <c r="A35" s="161"/>
      <c r="B35" s="76"/>
      <c r="C35" s="237"/>
      <c r="D35" s="162"/>
      <c r="E35" s="163"/>
      <c r="F35" s="164"/>
      <c r="G35" s="161"/>
      <c r="H35" s="165"/>
      <c r="I35" s="127"/>
      <c r="J35" s="165"/>
      <c r="K35" s="166"/>
      <c r="L35" s="165"/>
      <c r="M35" s="165"/>
      <c r="N35" s="167"/>
      <c r="O35" s="165"/>
      <c r="P35" s="167"/>
      <c r="Q35" s="165"/>
    </row>
    <row r="36" spans="1:17">
      <c r="A36" s="161"/>
      <c r="B36" s="76"/>
      <c r="C36" s="168"/>
      <c r="D36" s="162"/>
      <c r="E36" s="163"/>
      <c r="F36" s="164"/>
      <c r="G36" s="161"/>
      <c r="H36" s="165"/>
      <c r="I36" s="127"/>
      <c r="J36" s="165"/>
      <c r="K36" s="166"/>
      <c r="L36" s="165"/>
      <c r="M36" s="165"/>
      <c r="N36" s="167"/>
      <c r="O36" s="165"/>
      <c r="P36" s="167"/>
      <c r="Q36" s="165"/>
    </row>
    <row r="37" spans="1:17">
      <c r="A37" s="161"/>
      <c r="B37" s="76"/>
      <c r="C37" s="168"/>
      <c r="D37" s="162"/>
      <c r="E37" s="163"/>
      <c r="F37" s="164"/>
      <c r="G37" s="161"/>
      <c r="H37" s="165"/>
      <c r="I37" s="127"/>
      <c r="J37" s="165"/>
      <c r="K37" s="166"/>
      <c r="L37" s="165"/>
      <c r="M37" s="165"/>
      <c r="N37" s="167"/>
      <c r="O37" s="165"/>
      <c r="P37" s="167"/>
      <c r="Q37" s="165"/>
    </row>
    <row r="38" spans="1:17">
      <c r="A38" s="161"/>
      <c r="B38" s="76"/>
      <c r="C38" s="168"/>
      <c r="D38" s="162"/>
      <c r="E38" s="163"/>
      <c r="F38" s="164"/>
      <c r="G38" s="161"/>
      <c r="H38" s="165"/>
      <c r="I38" s="127"/>
      <c r="J38" s="165"/>
      <c r="K38" s="166"/>
      <c r="L38" s="165"/>
      <c r="M38" s="165"/>
      <c r="N38" s="167"/>
      <c r="O38" s="165"/>
      <c r="P38" s="167"/>
      <c r="Q38" s="165"/>
    </row>
    <row r="39" spans="1:17">
      <c r="A39" s="161"/>
      <c r="B39" s="76"/>
      <c r="C39" s="168"/>
      <c r="D39" s="162"/>
      <c r="E39" s="163"/>
      <c r="F39" s="164"/>
      <c r="G39" s="161"/>
      <c r="H39" s="165"/>
      <c r="I39" s="127"/>
      <c r="J39" s="165"/>
      <c r="K39" s="166"/>
      <c r="L39" s="165"/>
      <c r="M39" s="165"/>
      <c r="N39" s="167"/>
      <c r="O39" s="165"/>
      <c r="P39" s="167"/>
      <c r="Q39" s="165"/>
    </row>
    <row r="40" spans="1:17">
      <c r="A40" s="161"/>
      <c r="B40" s="76"/>
      <c r="C40" s="168"/>
      <c r="D40" s="162"/>
      <c r="E40" s="163"/>
      <c r="F40" s="164"/>
      <c r="G40" s="161" t="s">
        <v>309</v>
      </c>
      <c r="H40" s="165"/>
      <c r="I40" s="127"/>
      <c r="J40" s="165"/>
      <c r="K40" s="166"/>
      <c r="L40" s="165"/>
      <c r="M40" s="165"/>
      <c r="N40" s="167"/>
      <c r="O40" s="165"/>
      <c r="P40" s="167"/>
      <c r="Q40" s="165"/>
    </row>
    <row r="41" spans="1:17">
      <c r="A41" s="502" t="s">
        <v>11</v>
      </c>
      <c r="B41" s="503" t="s">
        <v>207</v>
      </c>
      <c r="C41" s="503" t="s">
        <v>310</v>
      </c>
      <c r="D41" s="504" t="s">
        <v>39</v>
      </c>
      <c r="E41" s="504" t="s">
        <v>48</v>
      </c>
      <c r="F41" s="504" t="s">
        <v>72</v>
      </c>
    </row>
    <row r="42" spans="1:17">
      <c r="A42" s="502" t="s">
        <v>311</v>
      </c>
      <c r="B42" s="123">
        <v>125080000</v>
      </c>
      <c r="C42" s="121">
        <f>SUM(B42:B42)</f>
        <v>125080000</v>
      </c>
      <c r="D42" s="112">
        <f>C30</f>
        <v>25000000</v>
      </c>
      <c r="F42" s="112" t="e">
        <f>#REF!</f>
        <v>#REF!</v>
      </c>
      <c r="G42" s="129" t="e">
        <f>D42+E42+F42</f>
        <v>#REF!</v>
      </c>
    </row>
    <row r="43" spans="1:17">
      <c r="A43" s="502" t="s">
        <v>312</v>
      </c>
      <c r="B43" s="505"/>
      <c r="C43" s="506"/>
    </row>
    <row r="44" spans="1:17">
      <c r="A44" s="502" t="s">
        <v>313</v>
      </c>
      <c r="B44" s="506"/>
      <c r="C44" s="506">
        <v>125000000</v>
      </c>
      <c r="D44" s="112">
        <f>C30</f>
        <v>25000000</v>
      </c>
      <c r="F44" s="112" t="e">
        <f>#REF!</f>
        <v>#REF!</v>
      </c>
    </row>
    <row r="45" spans="1:17">
      <c r="A45" s="502"/>
      <c r="B45" s="121"/>
      <c r="C45" s="121">
        <f>SUM(C43:C44)</f>
        <v>125000000</v>
      </c>
    </row>
    <row r="47" spans="1:17">
      <c r="A47" s="502" t="s">
        <v>17</v>
      </c>
      <c r="B47" s="502" t="s">
        <v>207</v>
      </c>
      <c r="C47" s="502" t="s">
        <v>310</v>
      </c>
    </row>
    <row r="48" spans="1:17">
      <c r="A48" s="502" t="s">
        <v>311</v>
      </c>
      <c r="B48" s="120">
        <v>401222250</v>
      </c>
      <c r="C48" s="121">
        <f>SUM(B48:B48)</f>
        <v>401222250</v>
      </c>
      <c r="E48" s="129">
        <f>'14.1'!C20</f>
        <v>80171398</v>
      </c>
    </row>
    <row r="49" spans="1:9">
      <c r="A49" s="502" t="s">
        <v>196</v>
      </c>
      <c r="B49" s="506"/>
      <c r="C49" s="506">
        <v>401000000</v>
      </c>
    </row>
    <row r="50" spans="1:9">
      <c r="A50" s="502"/>
      <c r="B50" s="121"/>
      <c r="C50" s="121">
        <f>SUM(C49:C49)</f>
        <v>401000000</v>
      </c>
      <c r="I50" s="112"/>
    </row>
    <row r="51" spans="1:9">
      <c r="I51" s="112"/>
    </row>
    <row r="52" spans="1:9">
      <c r="I52" s="112"/>
    </row>
    <row r="53" spans="1:9" ht="45.75" thickBot="1">
      <c r="A53" s="14" t="s">
        <v>187</v>
      </c>
      <c r="B53" s="25" t="s">
        <v>188</v>
      </c>
      <c r="C53" s="14" t="s">
        <v>189</v>
      </c>
      <c r="D53" s="14" t="s">
        <v>190</v>
      </c>
      <c r="E53" s="14" t="s">
        <v>3</v>
      </c>
      <c r="F53" s="14" t="s">
        <v>2</v>
      </c>
      <c r="G53" s="14" t="s">
        <v>191</v>
      </c>
      <c r="H53" s="14" t="s">
        <v>192</v>
      </c>
      <c r="I53" s="182" t="s">
        <v>193</v>
      </c>
    </row>
    <row r="54" spans="1:9" ht="75.75" thickBot="1">
      <c r="A54" s="169" t="s">
        <v>258</v>
      </c>
      <c r="B54" s="132" t="s">
        <v>259</v>
      </c>
      <c r="C54" s="119" t="s">
        <v>260</v>
      </c>
      <c r="D54" s="137">
        <f>M6+M14+M22</f>
        <v>0</v>
      </c>
      <c r="E54" s="52" t="s">
        <v>153</v>
      </c>
      <c r="F54" s="171" t="s">
        <v>154</v>
      </c>
      <c r="G54" s="13">
        <v>2021</v>
      </c>
      <c r="H54" s="171">
        <f>O6+O14+O22</f>
        <v>3800</v>
      </c>
      <c r="I54" s="171">
        <f>P6+P14+P22</f>
        <v>19000</v>
      </c>
    </row>
    <row r="55" spans="1:9" ht="75">
      <c r="A55" s="169" t="s">
        <v>258</v>
      </c>
      <c r="B55" s="132" t="s">
        <v>259</v>
      </c>
      <c r="C55" s="119" t="s">
        <v>260</v>
      </c>
      <c r="D55" s="137">
        <f>M10+M18+M26</f>
        <v>0</v>
      </c>
      <c r="E55" s="52" t="s">
        <v>275</v>
      </c>
      <c r="F55" s="171" t="s">
        <v>154</v>
      </c>
      <c r="G55" s="13">
        <v>2021</v>
      </c>
      <c r="H55" s="128">
        <f>O10+O18+O26</f>
        <v>316.8</v>
      </c>
      <c r="I55" s="128">
        <f>P10+P18+P26</f>
        <v>1584</v>
      </c>
    </row>
    <row r="56" spans="1:9" ht="75">
      <c r="A56" s="116" t="s">
        <v>264</v>
      </c>
      <c r="B56" s="145" t="s">
        <v>265</v>
      </c>
      <c r="C56" s="172" t="s">
        <v>266</v>
      </c>
      <c r="D56" s="68">
        <f>M7+M15+M23</f>
        <v>0</v>
      </c>
      <c r="E56" s="52" t="s">
        <v>153</v>
      </c>
      <c r="F56" s="171" t="s">
        <v>154</v>
      </c>
      <c r="G56" s="13">
        <v>2021</v>
      </c>
      <c r="H56" s="171">
        <f>O7+O15+O23</f>
        <v>1890</v>
      </c>
      <c r="I56" s="171">
        <f>P7+P15+P23</f>
        <v>9450</v>
      </c>
    </row>
    <row r="57" spans="1:9" ht="75">
      <c r="A57" s="116" t="s">
        <v>264</v>
      </c>
      <c r="B57" s="145" t="s">
        <v>265</v>
      </c>
      <c r="C57" s="172" t="s">
        <v>266</v>
      </c>
      <c r="D57" s="68">
        <f>M11+M19+M27</f>
        <v>0</v>
      </c>
      <c r="E57" s="52" t="s">
        <v>275</v>
      </c>
      <c r="F57" s="171" t="s">
        <v>154</v>
      </c>
      <c r="G57" s="13">
        <v>2021</v>
      </c>
      <c r="H57" s="171">
        <f>O11+O19+O27</f>
        <v>158.4</v>
      </c>
      <c r="I57" s="128">
        <f>P11+P19+P27</f>
        <v>792</v>
      </c>
    </row>
    <row r="58" spans="1:9" ht="75">
      <c r="A58" s="170" t="s">
        <v>267</v>
      </c>
      <c r="B58" s="145" t="s">
        <v>268</v>
      </c>
      <c r="C58" s="133" t="s">
        <v>260</v>
      </c>
      <c r="D58" s="171">
        <f>M8+M16+M24</f>
        <v>0</v>
      </c>
      <c r="E58" s="52" t="s">
        <v>153</v>
      </c>
      <c r="F58" s="171" t="s">
        <v>154</v>
      </c>
      <c r="G58" s="13">
        <v>2021</v>
      </c>
      <c r="H58" s="171" t="s">
        <v>127</v>
      </c>
      <c r="I58" s="171">
        <f>P8+P16+P24</f>
        <v>15200</v>
      </c>
    </row>
    <row r="59" spans="1:9" ht="75">
      <c r="A59" s="170" t="s">
        <v>267</v>
      </c>
      <c r="B59" s="145" t="s">
        <v>268</v>
      </c>
      <c r="C59" s="133" t="s">
        <v>260</v>
      </c>
      <c r="D59" s="171">
        <f>M12+M20+M28</f>
        <v>0</v>
      </c>
      <c r="E59" s="52" t="s">
        <v>275</v>
      </c>
      <c r="F59" s="171" t="s">
        <v>154</v>
      </c>
      <c r="G59" s="13">
        <v>2021</v>
      </c>
      <c r="H59" s="171" t="s">
        <v>127</v>
      </c>
      <c r="I59" s="128">
        <f>P12+P20+P28</f>
        <v>1267</v>
      </c>
    </row>
    <row r="60" spans="1:9" ht="75.75" thickBot="1">
      <c r="A60" s="138" t="s">
        <v>271</v>
      </c>
      <c r="B60" s="134" t="s">
        <v>272</v>
      </c>
      <c r="C60" s="116" t="s">
        <v>266</v>
      </c>
      <c r="D60" s="171">
        <f>M9+M17+M25</f>
        <v>0</v>
      </c>
      <c r="E60" s="52" t="s">
        <v>153</v>
      </c>
      <c r="F60" s="13" t="s">
        <v>154</v>
      </c>
      <c r="G60" s="13">
        <v>2021</v>
      </c>
      <c r="H60" s="171" t="s">
        <v>127</v>
      </c>
      <c r="I60" s="171">
        <f>P9+P17+P25</f>
        <v>7560</v>
      </c>
    </row>
    <row r="61" spans="1:9" ht="75.75" thickBot="1">
      <c r="A61" s="138" t="s">
        <v>271</v>
      </c>
      <c r="B61" s="134" t="s">
        <v>272</v>
      </c>
      <c r="C61" s="116" t="s">
        <v>266</v>
      </c>
      <c r="D61" s="171">
        <f>M13+M21+M29</f>
        <v>0</v>
      </c>
      <c r="E61" s="52" t="s">
        <v>275</v>
      </c>
      <c r="F61" s="13" t="s">
        <v>154</v>
      </c>
      <c r="G61" s="13">
        <v>2021</v>
      </c>
      <c r="H61" s="171" t="s">
        <v>127</v>
      </c>
      <c r="I61" s="128">
        <f>P13+P21+P29</f>
        <v>634</v>
      </c>
    </row>
    <row r="62" spans="1:9">
      <c r="A62" s="3"/>
      <c r="B62" s="3"/>
      <c r="C62" s="3"/>
      <c r="D62" s="4"/>
      <c r="E62" s="3"/>
      <c r="F62" s="3"/>
      <c r="G62" s="3"/>
      <c r="H62" s="3"/>
      <c r="I62" s="4"/>
    </row>
    <row r="63" spans="1:9">
      <c r="A63" s="3"/>
      <c r="B63" s="3"/>
      <c r="C63" s="3"/>
      <c r="D63" s="4"/>
      <c r="E63" s="3"/>
      <c r="F63" s="3"/>
      <c r="G63" s="3"/>
      <c r="H63" s="3"/>
      <c r="I63" s="4"/>
    </row>
    <row r="64" spans="1:9">
      <c r="A64" s="3"/>
      <c r="B64" s="3"/>
      <c r="C64" s="3"/>
      <c r="D64" s="4"/>
      <c r="E64" s="3"/>
      <c r="F64" s="3"/>
      <c r="G64" s="3"/>
      <c r="H64" s="3"/>
      <c r="I64" s="4"/>
    </row>
    <row r="65" spans="1:9">
      <c r="A65" s="3"/>
      <c r="B65" s="3"/>
      <c r="C65" s="3"/>
      <c r="D65" s="4"/>
      <c r="E65" s="3"/>
      <c r="F65" s="3"/>
      <c r="G65" s="3"/>
      <c r="H65" s="3"/>
      <c r="I65" s="4"/>
    </row>
    <row r="66" spans="1:9">
      <c r="A66" s="3"/>
      <c r="B66" s="3"/>
      <c r="C66" s="3"/>
      <c r="D66" s="4"/>
      <c r="E66" s="3"/>
      <c r="F66" s="3"/>
      <c r="G66" s="3"/>
      <c r="H66" s="3"/>
      <c r="I66" s="4"/>
    </row>
    <row r="67" spans="1:9">
      <c r="A67" s="3"/>
      <c r="B67" s="3"/>
      <c r="C67" s="3"/>
      <c r="D67" s="4"/>
      <c r="E67" s="3"/>
      <c r="F67" s="3"/>
      <c r="G67" s="3"/>
      <c r="H67" s="3"/>
      <c r="I67" s="4"/>
    </row>
    <row r="68" spans="1:9">
      <c r="D68" s="112"/>
    </row>
  </sheetData>
  <mergeCells count="71">
    <mergeCell ref="R26:R27"/>
    <mergeCell ref="P4:P5"/>
    <mergeCell ref="K4:K5"/>
    <mergeCell ref="S10:S11"/>
    <mergeCell ref="S22:S23"/>
    <mergeCell ref="S26:S27"/>
    <mergeCell ref="Q4:Q5"/>
    <mergeCell ref="R4:R5"/>
    <mergeCell ref="K22:K29"/>
    <mergeCell ref="M4:N4"/>
    <mergeCell ref="O4:O5"/>
    <mergeCell ref="L4:L5"/>
    <mergeCell ref="K14:K21"/>
    <mergeCell ref="S6:S7"/>
    <mergeCell ref="S14:S15"/>
    <mergeCell ref="S18:S19"/>
    <mergeCell ref="D4:F4"/>
    <mergeCell ref="H4:I4"/>
    <mergeCell ref="J4:J5"/>
    <mergeCell ref="C22:C25"/>
    <mergeCell ref="D22:D29"/>
    <mergeCell ref="J26:J29"/>
    <mergeCell ref="J22:J25"/>
    <mergeCell ref="J6:J9"/>
    <mergeCell ref="J14:J17"/>
    <mergeCell ref="E18:E21"/>
    <mergeCell ref="F18:F21"/>
    <mergeCell ref="G18:G21"/>
    <mergeCell ref="J18:J21"/>
    <mergeCell ref="C18:C21"/>
    <mergeCell ref="G14:G17"/>
    <mergeCell ref="E14:E17"/>
    <mergeCell ref="A4:A5"/>
    <mergeCell ref="C4:C5"/>
    <mergeCell ref="G4:G5"/>
    <mergeCell ref="C26:C29"/>
    <mergeCell ref="E26:E29"/>
    <mergeCell ref="F26:F29"/>
    <mergeCell ref="G26:G29"/>
    <mergeCell ref="E22:E25"/>
    <mergeCell ref="F22:F25"/>
    <mergeCell ref="G22:G25"/>
    <mergeCell ref="A6:A29"/>
    <mergeCell ref="D6:D13"/>
    <mergeCell ref="E6:E9"/>
    <mergeCell ref="F6:F9"/>
    <mergeCell ref="B22:B25"/>
    <mergeCell ref="B26:B29"/>
    <mergeCell ref="F14:F17"/>
    <mergeCell ref="K6:K13"/>
    <mergeCell ref="C10:C13"/>
    <mergeCell ref="E10:E13"/>
    <mergeCell ref="F10:F13"/>
    <mergeCell ref="G10:G13"/>
    <mergeCell ref="J10:J13"/>
    <mergeCell ref="C6:C9"/>
    <mergeCell ref="C14:C17"/>
    <mergeCell ref="D14:D21"/>
    <mergeCell ref="G6:G9"/>
    <mergeCell ref="B4:B5"/>
    <mergeCell ref="B10:B13"/>
    <mergeCell ref="B14:B17"/>
    <mergeCell ref="B18:B21"/>
    <mergeCell ref="B6:B9"/>
    <mergeCell ref="T6:T7"/>
    <mergeCell ref="R22:R23"/>
    <mergeCell ref="R10:R11"/>
    <mergeCell ref="R6:R7"/>
    <mergeCell ref="R14:R15"/>
    <mergeCell ref="R18:R19"/>
    <mergeCell ref="T22:T2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9"/>
  <sheetViews>
    <sheetView tabSelected="1" zoomScale="75" zoomScaleNormal="75" workbookViewId="0">
      <selection activeCell="U6" sqref="U6"/>
    </sheetView>
  </sheetViews>
  <sheetFormatPr defaultRowHeight="15"/>
  <cols>
    <col min="1" max="1" width="22.5703125" customWidth="1"/>
    <col min="2" max="2" width="24.7109375" customWidth="1"/>
    <col min="3" max="3" width="16.7109375" style="478" customWidth="1"/>
    <col min="4" max="4" width="20.7109375" bestFit="1" customWidth="1"/>
    <col min="5" max="5" width="14.5703125" customWidth="1"/>
    <col min="6" max="6" width="13.5703125" customWidth="1"/>
    <col min="7" max="7" width="16.5703125" customWidth="1"/>
    <col min="8" max="8" width="10.7109375" customWidth="1"/>
    <col min="9" max="9" width="37" customWidth="1"/>
    <col min="10" max="10" width="11.28515625" customWidth="1"/>
    <col min="11" max="11" width="8.28515625" customWidth="1"/>
    <col min="12" max="12" width="15.5703125" customWidth="1"/>
    <col min="13" max="13" width="15.42578125" customWidth="1"/>
    <col min="14" max="14" width="9.28515625" customWidth="1"/>
    <col min="15" max="15" width="12.28515625" customWidth="1"/>
    <col min="16" max="16" width="18.140625" customWidth="1"/>
    <col min="17" max="17" width="14.42578125" style="443" customWidth="1"/>
  </cols>
  <sheetData>
    <row r="1" spans="1:17">
      <c r="A1" s="9" t="s">
        <v>314</v>
      </c>
      <c r="Q1" s="507"/>
    </row>
    <row r="2" spans="1:17">
      <c r="A2" s="106" t="s">
        <v>397</v>
      </c>
      <c r="B2" s="439"/>
      <c r="C2" s="479"/>
      <c r="D2" s="439"/>
      <c r="E2" s="439"/>
      <c r="F2" s="439"/>
      <c r="Q2" s="507"/>
    </row>
    <row r="3" spans="1:17" ht="15.75" thickBot="1">
      <c r="A3" t="s">
        <v>315</v>
      </c>
      <c r="Q3" s="507"/>
    </row>
    <row r="4" spans="1:17" ht="22.5" customHeight="1">
      <c r="A4" s="536" t="s">
        <v>100</v>
      </c>
      <c r="B4" s="528" t="s">
        <v>101</v>
      </c>
      <c r="C4" s="538" t="s">
        <v>102</v>
      </c>
      <c r="D4" s="528" t="s">
        <v>103</v>
      </c>
      <c r="E4" s="528"/>
      <c r="F4" s="528"/>
      <c r="G4" s="553" t="s">
        <v>316</v>
      </c>
      <c r="H4" s="533" t="s">
        <v>105</v>
      </c>
      <c r="I4" s="533"/>
      <c r="J4" s="528" t="s">
        <v>106</v>
      </c>
      <c r="K4" s="533" t="s">
        <v>107</v>
      </c>
      <c r="L4" s="528" t="s">
        <v>108</v>
      </c>
      <c r="M4" s="528" t="s">
        <v>109</v>
      </c>
      <c r="N4" s="528"/>
      <c r="O4" s="528" t="s">
        <v>110</v>
      </c>
      <c r="P4" s="528" t="s">
        <v>317</v>
      </c>
      <c r="Q4" s="910" t="s">
        <v>112</v>
      </c>
    </row>
    <row r="5" spans="1:17" ht="37.5" customHeight="1" thickBot="1">
      <c r="A5" s="537"/>
      <c r="B5" s="529"/>
      <c r="C5" s="539"/>
      <c r="D5" s="444" t="s">
        <v>114</v>
      </c>
      <c r="E5" s="444" t="s">
        <v>115</v>
      </c>
      <c r="F5" s="445" t="s">
        <v>116</v>
      </c>
      <c r="G5" s="554"/>
      <c r="H5" s="444" t="s">
        <v>117</v>
      </c>
      <c r="I5" s="446" t="s">
        <v>118</v>
      </c>
      <c r="J5" s="529"/>
      <c r="K5" s="534"/>
      <c r="L5" s="529"/>
      <c r="M5" s="447" t="s">
        <v>318</v>
      </c>
      <c r="N5" s="447" t="s">
        <v>256</v>
      </c>
      <c r="O5" s="529"/>
      <c r="P5" s="529"/>
      <c r="Q5" s="911"/>
    </row>
    <row r="6" spans="1:17" ht="123" customHeight="1">
      <c r="A6" s="544" t="s">
        <v>398</v>
      </c>
      <c r="B6" s="541">
        <f>G6+G8+G10+G14+G12+G16+G18</f>
        <v>170977724.21052632</v>
      </c>
      <c r="C6" s="550">
        <v>37000000</v>
      </c>
      <c r="D6" s="551" t="s">
        <v>382</v>
      </c>
      <c r="E6" s="552">
        <f>C6/0.95*0.05</f>
        <v>1947368.4210526319</v>
      </c>
      <c r="F6" s="552">
        <f>C6+E6</f>
        <v>38947368.421052635</v>
      </c>
      <c r="G6" s="552">
        <f>F6</f>
        <v>38947368.421052635</v>
      </c>
      <c r="H6" s="520" t="s">
        <v>319</v>
      </c>
      <c r="I6" s="119" t="s">
        <v>320</v>
      </c>
      <c r="J6" s="535" t="s">
        <v>125</v>
      </c>
      <c r="K6" s="535" t="s">
        <v>163</v>
      </c>
      <c r="L6" s="471" t="s">
        <v>321</v>
      </c>
      <c r="M6" s="472">
        <v>0</v>
      </c>
      <c r="N6" s="471" t="s">
        <v>127</v>
      </c>
      <c r="O6" s="472">
        <v>0</v>
      </c>
      <c r="P6" s="473">
        <v>1.44</v>
      </c>
      <c r="Q6" s="912" t="s">
        <v>322</v>
      </c>
    </row>
    <row r="7" spans="1:17" ht="178.5" customHeight="1">
      <c r="A7" s="545"/>
      <c r="B7" s="542"/>
      <c r="C7" s="548"/>
      <c r="D7" s="549"/>
      <c r="E7" s="540"/>
      <c r="F7" s="540"/>
      <c r="G7" s="540"/>
      <c r="H7" s="172" t="s">
        <v>323</v>
      </c>
      <c r="I7" s="436" t="s">
        <v>324</v>
      </c>
      <c r="J7" s="530"/>
      <c r="K7" s="530"/>
      <c r="L7" s="436" t="s">
        <v>325</v>
      </c>
      <c r="M7" s="442">
        <v>21106041</v>
      </c>
      <c r="N7" s="436" t="s">
        <v>156</v>
      </c>
      <c r="O7" s="442" t="s">
        <v>127</v>
      </c>
      <c r="P7" s="442">
        <v>22267890</v>
      </c>
      <c r="Q7" s="913" t="s">
        <v>322</v>
      </c>
    </row>
    <row r="8" spans="1:17" ht="212.25" customHeight="1">
      <c r="A8" s="545"/>
      <c r="B8" s="542"/>
      <c r="C8" s="548">
        <v>25000000</v>
      </c>
      <c r="D8" s="549"/>
      <c r="E8" s="540">
        <f>C8/0.95*0.05</f>
        <v>1315789.4736842106</v>
      </c>
      <c r="F8" s="540">
        <f>C8+E8</f>
        <v>26315789.47368421</v>
      </c>
      <c r="G8" s="540">
        <f>F8</f>
        <v>26315789.47368421</v>
      </c>
      <c r="H8" s="172" t="s">
        <v>319</v>
      </c>
      <c r="I8" s="172" t="s">
        <v>320</v>
      </c>
      <c r="J8" s="530" t="s">
        <v>326</v>
      </c>
      <c r="K8" s="530" t="s">
        <v>154</v>
      </c>
      <c r="L8" s="436" t="s">
        <v>321</v>
      </c>
      <c r="M8" s="474">
        <v>0</v>
      </c>
      <c r="N8" s="475" t="s">
        <v>127</v>
      </c>
      <c r="O8" s="442">
        <v>0</v>
      </c>
      <c r="P8" s="476">
        <v>11.52</v>
      </c>
      <c r="Q8" s="913" t="s">
        <v>322</v>
      </c>
    </row>
    <row r="9" spans="1:17" ht="162.75" customHeight="1">
      <c r="A9" s="545"/>
      <c r="B9" s="542"/>
      <c r="C9" s="548"/>
      <c r="D9" s="549"/>
      <c r="E9" s="540"/>
      <c r="F9" s="540"/>
      <c r="G9" s="540"/>
      <c r="H9" s="172" t="s">
        <v>323</v>
      </c>
      <c r="I9" s="436" t="s">
        <v>324</v>
      </c>
      <c r="J9" s="530"/>
      <c r="K9" s="530"/>
      <c r="L9" s="436" t="s">
        <v>325</v>
      </c>
      <c r="M9" s="442">
        <v>74904812</v>
      </c>
      <c r="N9" s="436" t="s">
        <v>156</v>
      </c>
      <c r="O9" s="442" t="s">
        <v>127</v>
      </c>
      <c r="P9" s="442">
        <v>78687366</v>
      </c>
      <c r="Q9" s="913" t="s">
        <v>322</v>
      </c>
    </row>
    <row r="10" spans="1:17" ht="182.25" customHeight="1">
      <c r="A10" s="545"/>
      <c r="B10" s="542"/>
      <c r="C10" s="548">
        <v>28171398</v>
      </c>
      <c r="D10" s="549" t="s">
        <v>383</v>
      </c>
      <c r="E10" s="540">
        <f>C10/0.95*0.05</f>
        <v>1482705.1578947371</v>
      </c>
      <c r="F10" s="540">
        <f>C10+E10</f>
        <v>29654103.157894738</v>
      </c>
      <c r="G10" s="540">
        <f>F10</f>
        <v>29654103.157894738</v>
      </c>
      <c r="H10" s="172" t="s">
        <v>327</v>
      </c>
      <c r="I10" s="172" t="s">
        <v>328</v>
      </c>
      <c r="J10" s="530" t="s">
        <v>125</v>
      </c>
      <c r="K10" s="530" t="s">
        <v>163</v>
      </c>
      <c r="L10" s="436" t="s">
        <v>129</v>
      </c>
      <c r="M10" s="474">
        <v>0</v>
      </c>
      <c r="N10" s="475" t="s">
        <v>127</v>
      </c>
      <c r="O10" s="442">
        <v>0</v>
      </c>
      <c r="P10" s="442">
        <v>8</v>
      </c>
      <c r="Q10" s="913" t="s">
        <v>322</v>
      </c>
    </row>
    <row r="11" spans="1:17" ht="90">
      <c r="A11" s="545"/>
      <c r="B11" s="542"/>
      <c r="C11" s="548"/>
      <c r="D11" s="549"/>
      <c r="E11" s="540"/>
      <c r="F11" s="540"/>
      <c r="G11" s="540"/>
      <c r="H11" s="172" t="s">
        <v>323</v>
      </c>
      <c r="I11" s="172" t="s">
        <v>329</v>
      </c>
      <c r="J11" s="530"/>
      <c r="K11" s="530"/>
      <c r="L11" s="436" t="s">
        <v>325</v>
      </c>
      <c r="M11" s="456">
        <v>7214359</v>
      </c>
      <c r="N11" s="436" t="s">
        <v>330</v>
      </c>
      <c r="O11" s="442" t="s">
        <v>127</v>
      </c>
      <c r="P11" s="442">
        <v>7499955</v>
      </c>
      <c r="Q11" s="913" t="s">
        <v>322</v>
      </c>
    </row>
    <row r="12" spans="1:17" ht="172.5" customHeight="1">
      <c r="A12" s="545"/>
      <c r="B12" s="542"/>
      <c r="C12" s="548">
        <v>32000000</v>
      </c>
      <c r="D12" s="549"/>
      <c r="E12" s="540">
        <f>C12/0.95*0.05+872460</f>
        <v>2556670.5263157897</v>
      </c>
      <c r="F12" s="540">
        <f>C12+E12</f>
        <v>34556670.526315793</v>
      </c>
      <c r="G12" s="540">
        <f>F12</f>
        <v>34556670.526315793</v>
      </c>
      <c r="H12" s="172" t="s">
        <v>319</v>
      </c>
      <c r="I12" s="172" t="s">
        <v>320</v>
      </c>
      <c r="J12" s="530" t="s">
        <v>326</v>
      </c>
      <c r="K12" s="530" t="s">
        <v>154</v>
      </c>
      <c r="L12" s="436" t="s">
        <v>321</v>
      </c>
      <c r="M12" s="474">
        <v>0</v>
      </c>
      <c r="N12" s="475" t="s">
        <v>127</v>
      </c>
      <c r="O12" s="442">
        <v>0</v>
      </c>
      <c r="P12" s="476">
        <v>6.05</v>
      </c>
      <c r="Q12" s="913" t="s">
        <v>322</v>
      </c>
    </row>
    <row r="13" spans="1:17" ht="90">
      <c r="A13" s="545"/>
      <c r="B13" s="542"/>
      <c r="C13" s="548"/>
      <c r="D13" s="549"/>
      <c r="E13" s="540"/>
      <c r="F13" s="540"/>
      <c r="G13" s="540"/>
      <c r="H13" s="172" t="s">
        <v>323</v>
      </c>
      <c r="I13" s="172" t="s">
        <v>324</v>
      </c>
      <c r="J13" s="530"/>
      <c r="K13" s="530"/>
      <c r="L13" s="436" t="s">
        <v>325</v>
      </c>
      <c r="M13" s="442">
        <v>0</v>
      </c>
      <c r="N13" s="436" t="s">
        <v>330</v>
      </c>
      <c r="O13" s="442" t="s">
        <v>127</v>
      </c>
      <c r="P13" s="442">
        <v>18123196</v>
      </c>
      <c r="Q13" s="913" t="s">
        <v>322</v>
      </c>
    </row>
    <row r="14" spans="1:17" ht="258.75" customHeight="1">
      <c r="A14" s="545"/>
      <c r="B14" s="542"/>
      <c r="C14" s="548">
        <v>23466680</v>
      </c>
      <c r="D14" s="549" t="s">
        <v>384</v>
      </c>
      <c r="E14" s="540">
        <f>C14/0.95*0.05</f>
        <v>1235088.4210526317</v>
      </c>
      <c r="F14" s="540">
        <f>C14+E14</f>
        <v>24701768.421052631</v>
      </c>
      <c r="G14" s="540">
        <f>F14</f>
        <v>24701768.421052631</v>
      </c>
      <c r="H14" s="513" t="s">
        <v>331</v>
      </c>
      <c r="I14" s="436" t="s">
        <v>332</v>
      </c>
      <c r="J14" s="530" t="s">
        <v>326</v>
      </c>
      <c r="K14" s="530" t="s">
        <v>154</v>
      </c>
      <c r="L14" s="436" t="s">
        <v>321</v>
      </c>
      <c r="M14" s="474">
        <v>0</v>
      </c>
      <c r="N14" s="475" t="s">
        <v>127</v>
      </c>
      <c r="O14" s="442">
        <v>0</v>
      </c>
      <c r="P14" s="476">
        <v>16.03</v>
      </c>
      <c r="Q14" s="913" t="s">
        <v>322</v>
      </c>
    </row>
    <row r="15" spans="1:17" ht="201" customHeight="1">
      <c r="A15" s="545"/>
      <c r="B15" s="542"/>
      <c r="C15" s="548"/>
      <c r="D15" s="549"/>
      <c r="E15" s="540"/>
      <c r="F15" s="540"/>
      <c r="G15" s="540"/>
      <c r="H15" s="172" t="s">
        <v>323</v>
      </c>
      <c r="I15" s="436" t="s">
        <v>324</v>
      </c>
      <c r="J15" s="530"/>
      <c r="K15" s="530"/>
      <c r="L15" s="436" t="s">
        <v>325</v>
      </c>
      <c r="M15" s="442">
        <v>33686597</v>
      </c>
      <c r="N15" s="436" t="s">
        <v>330</v>
      </c>
      <c r="O15" s="442" t="s">
        <v>127</v>
      </c>
      <c r="P15" s="442">
        <v>35057961</v>
      </c>
      <c r="Q15" s="913" t="s">
        <v>322</v>
      </c>
    </row>
    <row r="16" spans="1:17" ht="198" customHeight="1">
      <c r="A16" s="545"/>
      <c r="B16" s="542"/>
      <c r="C16" s="548">
        <v>961923</v>
      </c>
      <c r="D16" s="549" t="s">
        <v>385</v>
      </c>
      <c r="E16" s="540">
        <f>C16/0.95*0.05</f>
        <v>50627.526315789481</v>
      </c>
      <c r="F16" s="540">
        <f>C16+E16</f>
        <v>1012550.5263157894</v>
      </c>
      <c r="G16" s="540">
        <f>F16</f>
        <v>1012550.5263157894</v>
      </c>
      <c r="H16" s="172" t="s">
        <v>389</v>
      </c>
      <c r="I16" s="172" t="s">
        <v>328</v>
      </c>
      <c r="J16" s="532" t="s">
        <v>326</v>
      </c>
      <c r="K16" s="530" t="s">
        <v>154</v>
      </c>
      <c r="L16" s="436" t="s">
        <v>129</v>
      </c>
      <c r="M16" s="436" t="s">
        <v>238</v>
      </c>
      <c r="N16" s="436" t="s">
        <v>127</v>
      </c>
      <c r="O16" s="442">
        <v>0</v>
      </c>
      <c r="P16" s="442">
        <v>1</v>
      </c>
      <c r="Q16" s="913" t="s">
        <v>322</v>
      </c>
    </row>
    <row r="17" spans="1:17" ht="80.25" customHeight="1">
      <c r="A17" s="545"/>
      <c r="B17" s="542"/>
      <c r="C17" s="548"/>
      <c r="D17" s="549"/>
      <c r="E17" s="540"/>
      <c r="F17" s="540"/>
      <c r="G17" s="540"/>
      <c r="H17" s="172" t="s">
        <v>333</v>
      </c>
      <c r="I17" s="172" t="s">
        <v>334</v>
      </c>
      <c r="J17" s="532"/>
      <c r="K17" s="530"/>
      <c r="L17" s="436" t="s">
        <v>387</v>
      </c>
      <c r="M17" s="436" t="s">
        <v>238</v>
      </c>
      <c r="N17" s="436" t="s">
        <v>330</v>
      </c>
      <c r="O17" s="442" t="s">
        <v>127</v>
      </c>
      <c r="P17" s="436" t="s">
        <v>335</v>
      </c>
      <c r="Q17" s="913" t="s">
        <v>322</v>
      </c>
    </row>
    <row r="18" spans="1:17" ht="181.5" customHeight="1">
      <c r="A18" s="545"/>
      <c r="B18" s="542"/>
      <c r="C18" s="548">
        <v>15000000</v>
      </c>
      <c r="D18" s="549" t="s">
        <v>386</v>
      </c>
      <c r="E18" s="540">
        <f>C18/0.95*0.05</f>
        <v>789473.68421052641</v>
      </c>
      <c r="F18" s="540">
        <f>C18+E18</f>
        <v>15789473.684210526</v>
      </c>
      <c r="G18" s="540">
        <f>F18</f>
        <v>15789473.684210526</v>
      </c>
      <c r="H18" s="172" t="s">
        <v>389</v>
      </c>
      <c r="I18" s="172" t="s">
        <v>328</v>
      </c>
      <c r="J18" s="530" t="s">
        <v>125</v>
      </c>
      <c r="K18" s="530" t="s">
        <v>163</v>
      </c>
      <c r="L18" s="521" t="s">
        <v>129</v>
      </c>
      <c r="M18" s="436" t="s">
        <v>238</v>
      </c>
      <c r="N18" s="436" t="s">
        <v>127</v>
      </c>
      <c r="O18" s="442">
        <v>0</v>
      </c>
      <c r="P18" s="442">
        <v>1</v>
      </c>
      <c r="Q18" s="913" t="s">
        <v>322</v>
      </c>
    </row>
    <row r="19" spans="1:17" ht="123" customHeight="1" thickBot="1">
      <c r="A19" s="546"/>
      <c r="B19" s="543"/>
      <c r="C19" s="555"/>
      <c r="D19" s="556"/>
      <c r="E19" s="547"/>
      <c r="F19" s="547"/>
      <c r="G19" s="547"/>
      <c r="H19" s="519" t="s">
        <v>390</v>
      </c>
      <c r="I19" s="519" t="s">
        <v>393</v>
      </c>
      <c r="J19" s="531"/>
      <c r="K19" s="531"/>
      <c r="L19" s="468" t="s">
        <v>388</v>
      </c>
      <c r="M19" s="508" t="s">
        <v>336</v>
      </c>
      <c r="N19" s="508" t="s">
        <v>330</v>
      </c>
      <c r="O19" s="477" t="s">
        <v>127</v>
      </c>
      <c r="P19" s="515">
        <v>1825</v>
      </c>
      <c r="Q19" s="914" t="s">
        <v>322</v>
      </c>
    </row>
    <row r="20" spans="1:17">
      <c r="B20" t="s">
        <v>125</v>
      </c>
      <c r="C20" s="480">
        <f>C6+C10+C18</f>
        <v>80171398</v>
      </c>
      <c r="D20" s="509"/>
      <c r="E20" s="509">
        <f>E6+E10+E16+E18</f>
        <v>4270174.7894736854</v>
      </c>
      <c r="F20" s="509">
        <f>F6+F10+F16+F18</f>
        <v>85403495.789473683</v>
      </c>
      <c r="G20" s="509">
        <f>G6+G10+G16+G18</f>
        <v>85403495.789473683</v>
      </c>
      <c r="M20" s="440">
        <f>SUM(M10:M19)</f>
        <v>40900956</v>
      </c>
      <c r="O20" s="112">
        <f>SUM(O10:O19)</f>
        <v>0</v>
      </c>
      <c r="P20" s="112">
        <f>SUM(P6:P19)</f>
        <v>161638238.04000002</v>
      </c>
      <c r="Q20" s="507"/>
    </row>
    <row r="21" spans="1:17">
      <c r="B21" s="112" t="s">
        <v>337</v>
      </c>
      <c r="C21" s="481">
        <f>C8+C12+C14+C16</f>
        <v>81428603</v>
      </c>
      <c r="D21" s="200"/>
      <c r="E21" s="200">
        <f>E8+E12+E14</f>
        <v>5107548.4210526319</v>
      </c>
      <c r="F21" s="200">
        <f>F8+F12+F14</f>
        <v>85574228.421052635</v>
      </c>
      <c r="G21" s="200">
        <f>G8+G12+G14</f>
        <v>85574228.421052635</v>
      </c>
      <c r="L21" t="s">
        <v>17</v>
      </c>
      <c r="M21" s="200">
        <f>37000000+M10+C18</f>
        <v>52000000</v>
      </c>
      <c r="Q21" s="507"/>
    </row>
    <row r="22" spans="1:17">
      <c r="C22" s="526">
        <f>SUM(C20:C21)</f>
        <v>161600001</v>
      </c>
      <c r="D22" s="200"/>
      <c r="E22" s="441">
        <f>SUM(E20:E21)</f>
        <v>9377723.2105263174</v>
      </c>
      <c r="F22" s="441">
        <f>SUM(F20:F21)</f>
        <v>170977724.21052632</v>
      </c>
      <c r="G22" s="441">
        <f>SUM(G20:G21)</f>
        <v>170977724.21052632</v>
      </c>
      <c r="L22" t="s">
        <v>11</v>
      </c>
      <c r="O22" s="467"/>
      <c r="Q22" s="507"/>
    </row>
    <row r="23" spans="1:17">
      <c r="C23" s="480"/>
      <c r="D23" s="200"/>
      <c r="E23" s="200"/>
      <c r="F23" s="441"/>
      <c r="G23" s="200"/>
      <c r="Q23" s="507"/>
    </row>
    <row r="24" spans="1:17">
      <c r="B24">
        <v>91</v>
      </c>
      <c r="C24" s="480">
        <f>C6+C8</f>
        <v>62000000</v>
      </c>
      <c r="D24" s="200"/>
      <c r="E24" s="200"/>
      <c r="F24" s="441"/>
      <c r="G24" s="200"/>
      <c r="Q24" s="507"/>
    </row>
    <row r="25" spans="1:17">
      <c r="B25">
        <v>92</v>
      </c>
      <c r="C25" s="480">
        <f>C10+C12</f>
        <v>60171398</v>
      </c>
      <c r="D25" s="200"/>
      <c r="E25" s="200"/>
      <c r="F25" s="441"/>
      <c r="G25" s="200"/>
      <c r="Q25" s="507"/>
    </row>
    <row r="26" spans="1:17">
      <c r="B26">
        <v>93</v>
      </c>
      <c r="C26" s="480">
        <f>C14</f>
        <v>23466680</v>
      </c>
      <c r="D26" s="200"/>
      <c r="E26" s="200"/>
      <c r="F26" s="441"/>
      <c r="G26" s="200"/>
      <c r="Q26" s="507"/>
    </row>
    <row r="27" spans="1:17">
      <c r="B27" s="200">
        <v>102</v>
      </c>
      <c r="C27" s="481">
        <f>C16</f>
        <v>961923</v>
      </c>
      <c r="D27" s="200"/>
      <c r="E27" s="200"/>
      <c r="F27" s="200"/>
      <c r="G27" s="200"/>
      <c r="Q27" s="507"/>
    </row>
    <row r="28" spans="1:17">
      <c r="B28">
        <v>108</v>
      </c>
      <c r="C28" s="482">
        <f>C18</f>
        <v>15000000</v>
      </c>
      <c r="D28" s="200"/>
      <c r="E28" s="200"/>
      <c r="F28" s="441"/>
      <c r="G28" s="200"/>
      <c r="Q28" s="507"/>
    </row>
    <row r="29" spans="1:17" ht="15.75" thickBot="1">
      <c r="Q29" s="507"/>
    </row>
    <row r="30" spans="1:17" ht="31.5" customHeight="1" thickBot="1">
      <c r="A30" s="454" t="s">
        <v>338</v>
      </c>
      <c r="B30" s="437" t="s">
        <v>339</v>
      </c>
      <c r="C30" s="483" t="s">
        <v>340</v>
      </c>
      <c r="D30" s="437" t="s">
        <v>341</v>
      </c>
      <c r="E30" s="437" t="s">
        <v>106</v>
      </c>
      <c r="F30" s="437" t="s">
        <v>107</v>
      </c>
      <c r="G30" s="437" t="s">
        <v>342</v>
      </c>
      <c r="H30" s="437" t="s">
        <v>253</v>
      </c>
      <c r="I30" s="438" t="s">
        <v>111</v>
      </c>
      <c r="J30" s="50"/>
      <c r="K30" s="49"/>
      <c r="N30" s="61"/>
      <c r="O30" s="61"/>
      <c r="Q30" s="507"/>
    </row>
    <row r="31" spans="1:17" ht="90" customHeight="1">
      <c r="A31" s="516" t="str">
        <f>H6</f>
        <v>RCO45</v>
      </c>
      <c r="B31" s="460" t="str">
        <f>I6</f>
        <v>Length of roads reconstructed or modernised - TEN-T (rekonstruotų arba modernizuotų kelių ilgis – TEN-T)</v>
      </c>
      <c r="C31" s="484" t="str">
        <f>L6</f>
        <v>Km</v>
      </c>
      <c r="D31" s="455">
        <f>M10+M14</f>
        <v>0</v>
      </c>
      <c r="E31" s="510" t="s">
        <v>125</v>
      </c>
      <c r="F31" s="455" t="s">
        <v>163</v>
      </c>
      <c r="G31" s="457" t="s">
        <v>127</v>
      </c>
      <c r="H31" s="458">
        <f>O10+O14</f>
        <v>0</v>
      </c>
      <c r="I31" s="461">
        <f>P6</f>
        <v>1.44</v>
      </c>
      <c r="Q31" s="507"/>
    </row>
    <row r="32" spans="1:17" ht="75" customHeight="1">
      <c r="A32" s="516" t="str">
        <f>H8</f>
        <v>RCO45</v>
      </c>
      <c r="B32" s="460" t="str">
        <f>I8</f>
        <v>Length of roads reconstructed or modernised - TEN-T (rekonstruotų arba modernizuotų kelių ilgis – TEN-T)</v>
      </c>
      <c r="C32" s="484" t="str">
        <f>L8</f>
        <v>Km</v>
      </c>
      <c r="D32" s="455">
        <f>M12</f>
        <v>0</v>
      </c>
      <c r="E32" s="511" t="s">
        <v>326</v>
      </c>
      <c r="F32" s="455" t="s">
        <v>154</v>
      </c>
      <c r="G32" s="457" t="s">
        <v>127</v>
      </c>
      <c r="H32" s="459">
        <f>O12</f>
        <v>0</v>
      </c>
      <c r="I32" s="462">
        <f>P8+P12</f>
        <v>17.57</v>
      </c>
      <c r="Q32" s="507"/>
    </row>
    <row r="33" spans="1:10" ht="129" customHeight="1">
      <c r="A33" s="516" t="str">
        <f>H7</f>
        <v>RCR55</v>
      </c>
      <c r="B33" s="463" t="str">
        <f>I7</f>
        <v>Annual users of newly built, reconstructed, upgraded or modernised roads (naujai pastatytų, rekonstruotų, atnaujintų arba modernizuotų kelių naudotojų skaičius per metus)</v>
      </c>
      <c r="C33" s="485" t="str">
        <f>L7</f>
        <v>road passenger-km/ year</v>
      </c>
      <c r="D33" s="456">
        <f>M7+M11</f>
        <v>28320400</v>
      </c>
      <c r="E33" s="510" t="s">
        <v>125</v>
      </c>
      <c r="F33" s="455" t="str">
        <f>K6</f>
        <v>CF</v>
      </c>
      <c r="G33" s="455" t="str">
        <f>N7</f>
        <v>2021</v>
      </c>
      <c r="H33" s="455" t="s">
        <v>127</v>
      </c>
      <c r="I33" s="464">
        <f>P7+P11</f>
        <v>29767845</v>
      </c>
    </row>
    <row r="34" spans="1:10" ht="108.75" customHeight="1">
      <c r="A34" s="516" t="str">
        <f>H9</f>
        <v>RCR55</v>
      </c>
      <c r="B34" s="463" t="str">
        <f>I9</f>
        <v>Annual users of newly built, reconstructed, upgraded or modernised roads (naujai pastatytų, rekonstruotų, atnaujintų arba modernizuotų kelių naudotojų skaičius per metus)</v>
      </c>
      <c r="C34" s="485" t="str">
        <f>L9</f>
        <v>road passenger-km/ year</v>
      </c>
      <c r="D34" s="456">
        <f>M9+M13+M15</f>
        <v>108591409</v>
      </c>
      <c r="E34" s="510" t="s">
        <v>326</v>
      </c>
      <c r="F34" s="455" t="str">
        <f>K8</f>
        <v>ERDF</v>
      </c>
      <c r="G34" s="455" t="str">
        <f>N9</f>
        <v>2021</v>
      </c>
      <c r="H34" s="455" t="s">
        <v>127</v>
      </c>
      <c r="I34" s="464">
        <f>P9+P13+P15</f>
        <v>131868523</v>
      </c>
    </row>
    <row r="35" spans="1:10" ht="90">
      <c r="A35" s="516" t="s">
        <v>331</v>
      </c>
      <c r="B35" s="436" t="s">
        <v>332</v>
      </c>
      <c r="C35" s="484" t="str">
        <f>L14</f>
        <v>Km</v>
      </c>
      <c r="D35" s="456">
        <f>M14</f>
        <v>0</v>
      </c>
      <c r="E35" s="510" t="s">
        <v>326</v>
      </c>
      <c r="F35" s="455" t="str">
        <f>K14</f>
        <v>ERDF</v>
      </c>
      <c r="G35" s="457" t="s">
        <v>127</v>
      </c>
      <c r="H35" s="459" t="str">
        <f>O15</f>
        <v>n/a</v>
      </c>
      <c r="I35" s="462">
        <f>P14</f>
        <v>16.03</v>
      </c>
    </row>
    <row r="36" spans="1:10" ht="95.25" customHeight="1">
      <c r="A36" s="517" t="str">
        <f>H10</f>
        <v>RC0129</v>
      </c>
      <c r="B36" s="463" t="str">
        <f>I10</f>
        <v xml:space="preserve">Infrastructure adapted to military mobility requirements (Infrastruktūra, pritaikyta prie karinio mobilumo reikalavimų)  </v>
      </c>
      <c r="C36" s="484" t="str">
        <f>L10</f>
        <v>Projects</v>
      </c>
      <c r="D36" s="455">
        <v>0</v>
      </c>
      <c r="E36" s="455" t="s">
        <v>125</v>
      </c>
      <c r="F36" s="455" t="s">
        <v>163</v>
      </c>
      <c r="G36" s="457" t="s">
        <v>127</v>
      </c>
      <c r="H36" s="455">
        <v>0</v>
      </c>
      <c r="I36" s="465">
        <f>P10+P16+P18</f>
        <v>10</v>
      </c>
    </row>
    <row r="37" spans="1:10" ht="56.25" customHeight="1">
      <c r="A37" s="518" t="str">
        <f>H17</f>
        <v>RCR59</v>
      </c>
      <c r="B37" s="460" t="str">
        <f>I17</f>
        <v xml:space="preserve">Freight transport on rail (Krovininis geležinkelių transportas)  </v>
      </c>
      <c r="C37" s="485" t="str">
        <f>L17</f>
        <v>tonnes-km/year</v>
      </c>
      <c r="D37" s="455">
        <v>0</v>
      </c>
      <c r="E37" s="510" t="s">
        <v>125</v>
      </c>
      <c r="F37" s="455" t="s">
        <v>163</v>
      </c>
      <c r="G37" s="457" t="str">
        <f>N17</f>
        <v>2024</v>
      </c>
      <c r="H37" s="455">
        <v>0</v>
      </c>
      <c r="I37" s="465" t="str">
        <f>P17</f>
        <v>340,8</v>
      </c>
    </row>
    <row r="38" spans="1:10" ht="135.75" customHeight="1" thickBot="1">
      <c r="A38" s="527" t="str">
        <f>H19</f>
        <v>Specific result</v>
      </c>
      <c r="B38" s="523" t="str">
        <f>I19</f>
        <v>Technical capacity of loading volumes  expressed as the number of trains operated per year (Krovos apimčių techninis pajėgumas, išreikštas aptarnaujamų traukinių skaičiumi per metus)</v>
      </c>
      <c r="C38" s="486" t="s">
        <v>343</v>
      </c>
      <c r="D38" s="469">
        <v>730</v>
      </c>
      <c r="E38" s="512" t="s">
        <v>125</v>
      </c>
      <c r="F38" s="469" t="s">
        <v>163</v>
      </c>
      <c r="G38" s="470">
        <v>2024</v>
      </c>
      <c r="H38" s="469" t="s">
        <v>127</v>
      </c>
      <c r="I38" s="514">
        <f>P19</f>
        <v>1825</v>
      </c>
    </row>
    <row r="39" spans="1:10">
      <c r="D39" s="440">
        <f>SUM(D31:D38)</f>
        <v>136912539</v>
      </c>
      <c r="H39" s="112">
        <f>SUM(H31:H37)</f>
        <v>0</v>
      </c>
      <c r="I39" s="112">
        <f>SUM(I31:I38)</f>
        <v>161638238.03999999</v>
      </c>
      <c r="J39" s="112" t="b">
        <f>I39=P20</f>
        <v>1</v>
      </c>
    </row>
  </sheetData>
  <mergeCells count="62">
    <mergeCell ref="F16:F17"/>
    <mergeCell ref="G16:G17"/>
    <mergeCell ref="K12:K13"/>
    <mergeCell ref="G10:G11"/>
    <mergeCell ref="G12:G13"/>
    <mergeCell ref="J10:J11"/>
    <mergeCell ref="J12:J13"/>
    <mergeCell ref="K10:K11"/>
    <mergeCell ref="K14:K15"/>
    <mergeCell ref="J14:J15"/>
    <mergeCell ref="C18:C19"/>
    <mergeCell ref="D18:D19"/>
    <mergeCell ref="C16:C17"/>
    <mergeCell ref="D16:D17"/>
    <mergeCell ref="E16:E17"/>
    <mergeCell ref="H4:I4"/>
    <mergeCell ref="F12:F13"/>
    <mergeCell ref="F10:F11"/>
    <mergeCell ref="G4:G5"/>
    <mergeCell ref="D4:F4"/>
    <mergeCell ref="C10:C11"/>
    <mergeCell ref="D10:D13"/>
    <mergeCell ref="C12:C13"/>
    <mergeCell ref="E12:E13"/>
    <mergeCell ref="E10:E11"/>
    <mergeCell ref="C6:C7"/>
    <mergeCell ref="D6:D9"/>
    <mergeCell ref="E6:E7"/>
    <mergeCell ref="F6:F7"/>
    <mergeCell ref="G6:G7"/>
    <mergeCell ref="C8:C9"/>
    <mergeCell ref="A4:A5"/>
    <mergeCell ref="C4:C5"/>
    <mergeCell ref="G14:G15"/>
    <mergeCell ref="F14:F15"/>
    <mergeCell ref="E14:E15"/>
    <mergeCell ref="B4:B5"/>
    <mergeCell ref="B6:B19"/>
    <mergeCell ref="A6:A19"/>
    <mergeCell ref="E18:E19"/>
    <mergeCell ref="F18:F19"/>
    <mergeCell ref="G18:G19"/>
    <mergeCell ref="E8:E9"/>
    <mergeCell ref="F8:F9"/>
    <mergeCell ref="G8:G9"/>
    <mergeCell ref="C14:C15"/>
    <mergeCell ref="D14:D15"/>
    <mergeCell ref="Q4:Q5"/>
    <mergeCell ref="J18:J19"/>
    <mergeCell ref="K18:K19"/>
    <mergeCell ref="J16:J17"/>
    <mergeCell ref="K16:K17"/>
    <mergeCell ref="P4:P5"/>
    <mergeCell ref="J4:J5"/>
    <mergeCell ref="M4:N4"/>
    <mergeCell ref="O4:O5"/>
    <mergeCell ref="K8:K9"/>
    <mergeCell ref="L4:L5"/>
    <mergeCell ref="K4:K5"/>
    <mergeCell ref="K6:K7"/>
    <mergeCell ref="J8:J9"/>
    <mergeCell ref="J6:J7"/>
  </mergeCells>
  <phoneticPr fontId="37" type="noConversion"/>
  <pageMargins left="0.7" right="0.7" top="0.75" bottom="0.75" header="0.3" footer="0.3"/>
  <pageSetup paperSize="9" scale="13"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4"/>
  <sheetViews>
    <sheetView zoomScale="55" zoomScaleNormal="55" workbookViewId="0">
      <selection activeCell="M18" sqref="M18"/>
    </sheetView>
  </sheetViews>
  <sheetFormatPr defaultRowHeight="15"/>
  <cols>
    <col min="1" max="1" width="24.5703125" customWidth="1"/>
    <col min="2" max="2" width="17.7109375" customWidth="1"/>
    <col min="3" max="3" width="17.28515625" customWidth="1"/>
    <col min="4" max="4" width="15.28515625" customWidth="1"/>
    <col min="5" max="5" width="17.28515625" customWidth="1"/>
    <col min="6" max="6" width="14.71093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7109375" customWidth="1"/>
    <col min="17" max="17" width="37" customWidth="1"/>
    <col min="18" max="18" width="92.7109375" customWidth="1"/>
    <col min="19" max="19" width="81" customWidth="1"/>
    <col min="20" max="20" width="60.5703125" customWidth="1"/>
    <col min="21" max="21" width="14.28515625" style="112" bestFit="1" customWidth="1"/>
    <col min="22" max="23" width="8.7109375" style="112"/>
    <col min="24" max="24" width="10.42578125" bestFit="1" customWidth="1"/>
  </cols>
  <sheetData>
    <row r="1" spans="1:37">
      <c r="A1" s="9"/>
      <c r="L1" s="124"/>
    </row>
    <row r="4" spans="1:37" ht="15.75" thickBot="1">
      <c r="A4" s="9" t="s">
        <v>207</v>
      </c>
    </row>
    <row r="5" spans="1:37" ht="15" customHeight="1">
      <c r="A5" s="831" t="s">
        <v>213</v>
      </c>
      <c r="B5" s="772" t="s">
        <v>101</v>
      </c>
      <c r="C5" s="778" t="s">
        <v>102</v>
      </c>
      <c r="D5" s="826" t="s">
        <v>103</v>
      </c>
      <c r="E5" s="826"/>
      <c r="F5" s="826"/>
      <c r="G5" s="829" t="s">
        <v>104</v>
      </c>
      <c r="H5" s="827" t="s">
        <v>214</v>
      </c>
      <c r="I5" s="827"/>
      <c r="J5" s="826" t="s">
        <v>3</v>
      </c>
      <c r="K5" s="826" t="s">
        <v>2</v>
      </c>
      <c r="L5" s="826" t="s">
        <v>189</v>
      </c>
      <c r="M5" s="826" t="s">
        <v>215</v>
      </c>
      <c r="N5" s="826"/>
      <c r="O5" s="829" t="s">
        <v>192</v>
      </c>
      <c r="P5" s="826" t="s">
        <v>193</v>
      </c>
      <c r="Q5" s="826" t="s">
        <v>216</v>
      </c>
      <c r="R5" s="824" t="s">
        <v>217</v>
      </c>
      <c r="S5" s="135"/>
      <c r="T5" s="135"/>
      <c r="U5" s="176"/>
      <c r="V5" s="176"/>
      <c r="W5" s="176"/>
      <c r="X5" s="135"/>
      <c r="Y5" s="135"/>
      <c r="Z5" s="135"/>
      <c r="AA5" s="135"/>
      <c r="AB5" s="10"/>
      <c r="AC5" s="10"/>
      <c r="AD5" s="10"/>
      <c r="AE5" s="10"/>
      <c r="AF5" s="10"/>
      <c r="AG5" s="10"/>
      <c r="AH5" s="10"/>
      <c r="AI5" s="10"/>
      <c r="AJ5" s="10"/>
      <c r="AK5" s="10"/>
    </row>
    <row r="6" spans="1:37" ht="84" customHeight="1" thickBot="1">
      <c r="A6" s="832"/>
      <c r="B6" s="773"/>
      <c r="C6" s="779"/>
      <c r="D6" s="141" t="s">
        <v>114</v>
      </c>
      <c r="E6" s="142" t="s">
        <v>115</v>
      </c>
      <c r="F6" s="143" t="s">
        <v>218</v>
      </c>
      <c r="G6" s="830"/>
      <c r="H6" s="141" t="s">
        <v>187</v>
      </c>
      <c r="I6" s="141" t="s">
        <v>188</v>
      </c>
      <c r="J6" s="828"/>
      <c r="K6" s="828"/>
      <c r="L6" s="828"/>
      <c r="M6" s="141" t="s">
        <v>219</v>
      </c>
      <c r="N6" s="141" t="s">
        <v>220</v>
      </c>
      <c r="O6" s="830"/>
      <c r="P6" s="828"/>
      <c r="Q6" s="828"/>
      <c r="R6" s="825"/>
      <c r="S6" s="135"/>
      <c r="T6" s="135"/>
      <c r="U6" s="176"/>
      <c r="V6" s="176"/>
      <c r="W6" s="176"/>
      <c r="X6" s="135"/>
      <c r="Y6" s="135"/>
      <c r="Z6" s="135"/>
      <c r="AA6" s="135"/>
      <c r="AB6" s="10"/>
      <c r="AC6" s="10"/>
      <c r="AD6" s="10"/>
      <c r="AE6" s="10"/>
      <c r="AF6" s="10"/>
      <c r="AG6" s="10"/>
      <c r="AH6" s="10"/>
      <c r="AI6" s="10"/>
      <c r="AJ6" s="10"/>
      <c r="AK6" s="10"/>
    </row>
    <row r="7" spans="1:37" ht="42" hidden="1" customHeight="1">
      <c r="A7" s="818"/>
      <c r="B7" s="157"/>
      <c r="C7" s="809">
        <f>'[1]Intervencijų lėšos'!I8</f>
        <v>10000000</v>
      </c>
      <c r="D7" s="811" t="s">
        <v>150</v>
      </c>
      <c r="E7" s="813">
        <f>(C7*100/70)-C7</f>
        <v>4285714.2857142854</v>
      </c>
      <c r="F7" s="815">
        <f>C7+E7</f>
        <v>14285714.285714285</v>
      </c>
      <c r="G7" s="148">
        <f>F7</f>
        <v>14285714.285714285</v>
      </c>
      <c r="H7" s="149" t="s">
        <v>166</v>
      </c>
      <c r="I7" s="149" t="s">
        <v>194</v>
      </c>
      <c r="J7" s="150" t="s">
        <v>18</v>
      </c>
      <c r="K7" s="150" t="s">
        <v>17</v>
      </c>
      <c r="L7" s="149" t="s">
        <v>195</v>
      </c>
      <c r="M7" s="149"/>
      <c r="N7" s="149"/>
      <c r="O7" s="151"/>
      <c r="P7" s="149"/>
      <c r="Q7" s="149" t="s">
        <v>157</v>
      </c>
      <c r="R7" s="147"/>
      <c r="S7" s="135"/>
      <c r="T7" s="135"/>
      <c r="U7" s="176"/>
      <c r="V7" s="176"/>
      <c r="W7" s="176"/>
      <c r="X7" s="135"/>
      <c r="Y7" s="135"/>
      <c r="Z7" s="135"/>
      <c r="AA7" s="135"/>
      <c r="AB7" s="10"/>
      <c r="AC7" s="10"/>
      <c r="AD7" s="10"/>
      <c r="AE7" s="10"/>
      <c r="AF7" s="10"/>
      <c r="AG7" s="10"/>
      <c r="AH7" s="10"/>
      <c r="AI7" s="10"/>
      <c r="AJ7" s="10"/>
      <c r="AK7" s="10"/>
    </row>
    <row r="8" spans="1:37" ht="35.65" hidden="1" customHeight="1">
      <c r="A8" s="819"/>
      <c r="B8" s="158"/>
      <c r="C8" s="810"/>
      <c r="D8" s="812"/>
      <c r="E8" s="814"/>
      <c r="F8" s="810"/>
      <c r="G8" s="152"/>
      <c r="H8" s="153"/>
      <c r="I8" s="153"/>
      <c r="J8" s="153"/>
      <c r="K8" s="153"/>
      <c r="L8" s="153"/>
      <c r="M8" s="153"/>
      <c r="N8" s="153"/>
      <c r="O8" s="154"/>
      <c r="P8" s="153"/>
      <c r="Q8" s="153" t="s">
        <v>157</v>
      </c>
      <c r="R8" s="155"/>
      <c r="S8" s="135"/>
      <c r="T8" s="135"/>
      <c r="U8" s="176"/>
      <c r="V8" s="176"/>
      <c r="W8" s="176"/>
      <c r="X8" s="135"/>
      <c r="Y8" s="135"/>
      <c r="Z8" s="135"/>
      <c r="AA8" s="135"/>
      <c r="AB8" s="10"/>
      <c r="AC8" s="10"/>
      <c r="AD8" s="10"/>
      <c r="AE8" s="10"/>
      <c r="AF8" s="10"/>
      <c r="AG8" s="10"/>
      <c r="AH8" s="10"/>
      <c r="AI8" s="10"/>
      <c r="AJ8" s="10"/>
      <c r="AK8" s="10"/>
    </row>
    <row r="9" spans="1:37" s="115" customFormat="1" ht="90" customHeight="1">
      <c r="A9" s="899" t="s">
        <v>344</v>
      </c>
      <c r="B9" s="901">
        <f>F9</f>
        <v>11764705.882352941</v>
      </c>
      <c r="C9" s="901">
        <v>10000000</v>
      </c>
      <c r="D9" s="903" t="s">
        <v>345</v>
      </c>
      <c r="E9" s="901">
        <f>C9/0.85*0.15</f>
        <v>1764705.882352941</v>
      </c>
      <c r="F9" s="901">
        <f>C9+E9</f>
        <v>11764705.882352941</v>
      </c>
      <c r="G9" s="901">
        <f>F9</f>
        <v>11764705.882352941</v>
      </c>
      <c r="H9" s="406" t="s">
        <v>346</v>
      </c>
      <c r="I9" s="239" t="s">
        <v>347</v>
      </c>
      <c r="J9" s="905" t="s">
        <v>153</v>
      </c>
      <c r="K9" s="903" t="s">
        <v>154</v>
      </c>
      <c r="L9" s="239" t="s">
        <v>321</v>
      </c>
      <c r="M9" s="239" t="s">
        <v>238</v>
      </c>
      <c r="N9" s="239" t="s">
        <v>156</v>
      </c>
      <c r="O9" s="407">
        <f>P9*0.1</f>
        <v>6.8000000000000007</v>
      </c>
      <c r="P9" s="239" t="s">
        <v>348</v>
      </c>
      <c r="Q9" s="239" t="s">
        <v>157</v>
      </c>
      <c r="R9" s="408" t="s">
        <v>349</v>
      </c>
      <c r="S9" s="421" t="s">
        <v>350</v>
      </c>
      <c r="T9" s="907" t="s">
        <v>351</v>
      </c>
      <c r="U9" s="191"/>
      <c r="V9" s="191"/>
      <c r="W9" s="175"/>
      <c r="X9" s="175"/>
      <c r="Y9" s="113"/>
      <c r="Z9" s="113"/>
      <c r="AA9" s="113"/>
      <c r="AB9" s="114"/>
      <c r="AC9" s="114"/>
      <c r="AD9" s="114"/>
      <c r="AE9" s="114"/>
      <c r="AF9" s="114"/>
      <c r="AG9" s="114"/>
      <c r="AH9" s="114"/>
      <c r="AI9" s="114"/>
      <c r="AJ9" s="114"/>
      <c r="AK9" s="114"/>
    </row>
    <row r="10" spans="1:37" s="115" customFormat="1" ht="163.15" customHeight="1" thickBot="1">
      <c r="A10" s="900"/>
      <c r="B10" s="902"/>
      <c r="C10" s="902"/>
      <c r="D10" s="904"/>
      <c r="E10" s="902"/>
      <c r="F10" s="902"/>
      <c r="G10" s="902"/>
      <c r="H10" s="409" t="s">
        <v>352</v>
      </c>
      <c r="I10" s="131" t="s">
        <v>353</v>
      </c>
      <c r="J10" s="906"/>
      <c r="K10" s="904"/>
      <c r="L10" s="131" t="s">
        <v>354</v>
      </c>
      <c r="M10" s="238">
        <f>369450*0.069</f>
        <v>25492.050000000003</v>
      </c>
      <c r="N10" s="131" t="s">
        <v>355</v>
      </c>
      <c r="O10" s="410" t="s">
        <v>127</v>
      </c>
      <c r="P10" s="238">
        <f>341224*0.128</f>
        <v>43676.671999999999</v>
      </c>
      <c r="Q10" s="131" t="s">
        <v>157</v>
      </c>
      <c r="R10" s="411" t="s">
        <v>356</v>
      </c>
      <c r="S10" s="422" t="s">
        <v>357</v>
      </c>
      <c r="T10" s="907"/>
      <c r="U10" s="175"/>
      <c r="V10" s="175"/>
      <c r="W10" s="175"/>
      <c r="X10" s="113"/>
      <c r="Y10" s="113"/>
      <c r="Z10" s="113"/>
      <c r="AA10" s="113"/>
      <c r="AB10" s="114"/>
      <c r="AC10" s="114"/>
      <c r="AD10" s="114"/>
      <c r="AE10" s="114"/>
      <c r="AF10" s="114"/>
      <c r="AG10" s="114"/>
      <c r="AH10" s="114"/>
      <c r="AI10" s="114"/>
      <c r="AJ10" s="114"/>
      <c r="AK10" s="114"/>
    </row>
    <row r="11" spans="1:37" s="112" customFormat="1">
      <c r="A11"/>
      <c r="C11" s="112" t="e">
        <f>#REF!+#REF!</f>
        <v>#REF!</v>
      </c>
      <c r="D11"/>
      <c r="E11"/>
      <c r="F11"/>
      <c r="G11"/>
      <c r="H11"/>
      <c r="I11"/>
      <c r="J11"/>
      <c r="K11"/>
      <c r="L11"/>
      <c r="M11"/>
      <c r="N11"/>
      <c r="O11"/>
      <c r="P11"/>
      <c r="Q11"/>
      <c r="R11"/>
      <c r="S11"/>
      <c r="T11"/>
      <c r="X11"/>
      <c r="Y11"/>
      <c r="Z11"/>
      <c r="AA11"/>
      <c r="AB11"/>
      <c r="AC11"/>
      <c r="AD11"/>
      <c r="AE11"/>
      <c r="AF11"/>
      <c r="AG11"/>
      <c r="AH11"/>
      <c r="AI11"/>
      <c r="AJ11"/>
      <c r="AK11"/>
    </row>
    <row r="12" spans="1:37" s="112" customFormat="1">
      <c r="A12"/>
      <c r="B12"/>
      <c r="C12" s="112">
        <f>C9</f>
        <v>10000000</v>
      </c>
      <c r="D12"/>
      <c r="E12"/>
      <c r="F12"/>
      <c r="G12"/>
      <c r="H12"/>
      <c r="I12"/>
      <c r="J12"/>
      <c r="K12"/>
      <c r="L12"/>
      <c r="M12"/>
      <c r="N12"/>
      <c r="O12"/>
      <c r="P12"/>
      <c r="Q12"/>
      <c r="R12"/>
      <c r="S12"/>
      <c r="T12"/>
      <c r="X12"/>
      <c r="Y12"/>
      <c r="Z12"/>
      <c r="AA12"/>
      <c r="AB12"/>
      <c r="AC12"/>
      <c r="AD12"/>
      <c r="AE12"/>
      <c r="AF12"/>
      <c r="AG12"/>
      <c r="AH12"/>
      <c r="AI12"/>
      <c r="AJ12"/>
      <c r="AK12"/>
    </row>
    <row r="13" spans="1:37" s="112" customFormat="1">
      <c r="A13"/>
      <c r="B13"/>
      <c r="C13" s="112" t="e">
        <f>#REF!+#REF!</f>
        <v>#REF!</v>
      </c>
      <c r="D13"/>
      <c r="E13"/>
      <c r="F13"/>
      <c r="G13"/>
      <c r="H13"/>
      <c r="I13"/>
      <c r="J13"/>
      <c r="K13"/>
      <c r="L13"/>
      <c r="M13"/>
      <c r="N13"/>
      <c r="O13"/>
      <c r="P13"/>
      <c r="Q13"/>
      <c r="R13"/>
      <c r="S13"/>
      <c r="T13"/>
      <c r="X13"/>
      <c r="Y13"/>
      <c r="Z13"/>
      <c r="AA13"/>
      <c r="AB13"/>
      <c r="AC13"/>
      <c r="AD13"/>
      <c r="AE13"/>
      <c r="AF13"/>
      <c r="AG13"/>
      <c r="AH13"/>
      <c r="AI13"/>
      <c r="AJ13"/>
      <c r="AK13"/>
    </row>
    <row r="16" spans="1:37" ht="45">
      <c r="A16" s="14" t="s">
        <v>187</v>
      </c>
      <c r="B16" s="25" t="s">
        <v>188</v>
      </c>
      <c r="C16" s="14" t="s">
        <v>189</v>
      </c>
      <c r="D16" s="14" t="s">
        <v>190</v>
      </c>
      <c r="E16" s="14" t="s">
        <v>3</v>
      </c>
      <c r="F16" s="14" t="s">
        <v>2</v>
      </c>
      <c r="G16" s="14" t="s">
        <v>191</v>
      </c>
      <c r="H16" s="14" t="s">
        <v>192</v>
      </c>
      <c r="I16" s="14" t="s">
        <v>193</v>
      </c>
      <c r="J16" s="50"/>
      <c r="K16" s="49"/>
      <c r="N16" s="61"/>
      <c r="O16" s="61"/>
      <c r="T16" s="112"/>
      <c r="W16"/>
    </row>
    <row r="17" spans="1:37" s="112" customFormat="1" ht="45">
      <c r="A17" s="116" t="s">
        <v>346</v>
      </c>
      <c r="B17" s="133" t="s">
        <v>347</v>
      </c>
      <c r="C17" s="172" t="s">
        <v>321</v>
      </c>
      <c r="D17" s="171" t="str">
        <f>M9</f>
        <v>0</v>
      </c>
      <c r="E17" s="133" t="str">
        <f>J9</f>
        <v>Midle- west Lithuania region</v>
      </c>
      <c r="F17" s="133" t="str">
        <f>K9</f>
        <v>ERDF</v>
      </c>
      <c r="G17" s="13">
        <v>2021</v>
      </c>
      <c r="H17" s="128">
        <f>O9</f>
        <v>6.8000000000000007</v>
      </c>
      <c r="I17" s="128" t="str">
        <f>P9</f>
        <v xml:space="preserve">68             </v>
      </c>
      <c r="J17" s="651"/>
      <c r="K17"/>
      <c r="L17"/>
      <c r="M17"/>
      <c r="N17"/>
      <c r="O17"/>
      <c r="P17"/>
      <c r="Q17"/>
      <c r="R17"/>
      <c r="S17"/>
      <c r="T17"/>
      <c r="X17"/>
      <c r="Y17"/>
      <c r="Z17"/>
      <c r="AA17"/>
      <c r="AB17"/>
      <c r="AC17"/>
      <c r="AD17"/>
      <c r="AE17"/>
      <c r="AF17"/>
      <c r="AG17"/>
      <c r="AH17"/>
      <c r="AI17"/>
      <c r="AJ17"/>
      <c r="AK17"/>
    </row>
    <row r="18" spans="1:37" s="112" customFormat="1" ht="45">
      <c r="A18" s="116" t="s">
        <v>352</v>
      </c>
      <c r="B18" s="133" t="s">
        <v>353</v>
      </c>
      <c r="C18" s="116" t="str">
        <f>L10</f>
        <v>Users/Year</v>
      </c>
      <c r="D18" s="128">
        <f>M10</f>
        <v>25492.050000000003</v>
      </c>
      <c r="E18" s="13" t="s">
        <v>196</v>
      </c>
      <c r="F18" s="13" t="s">
        <v>17</v>
      </c>
      <c r="G18" s="13">
        <v>2021</v>
      </c>
      <c r="H18" s="171" t="str">
        <f>O10</f>
        <v>n/a</v>
      </c>
      <c r="I18" s="128">
        <f>P10</f>
        <v>43676.671999999999</v>
      </c>
      <c r="J18" s="651"/>
      <c r="K18"/>
      <c r="L18"/>
      <c r="M18"/>
      <c r="N18"/>
      <c r="O18"/>
      <c r="P18"/>
      <c r="Q18"/>
      <c r="R18"/>
      <c r="S18"/>
      <c r="T18"/>
      <c r="X18"/>
      <c r="Y18"/>
      <c r="Z18"/>
      <c r="AA18"/>
      <c r="AB18"/>
      <c r="AC18"/>
      <c r="AD18"/>
      <c r="AE18"/>
      <c r="AF18"/>
      <c r="AG18"/>
      <c r="AH18"/>
      <c r="AI18"/>
      <c r="AJ18"/>
      <c r="AK18"/>
    </row>
    <row r="19" spans="1:37" s="112" customFormat="1">
      <c r="A19" s="3"/>
      <c r="B19" s="3"/>
      <c r="C19" s="3"/>
      <c r="D19" s="4"/>
      <c r="E19" s="3"/>
      <c r="F19" s="3"/>
      <c r="G19" s="3"/>
      <c r="H19" s="3"/>
      <c r="I19" s="3"/>
      <c r="J19" s="651"/>
      <c r="K19"/>
      <c r="L19"/>
      <c r="M19"/>
      <c r="N19"/>
      <c r="O19"/>
      <c r="P19"/>
      <c r="Q19"/>
      <c r="R19"/>
      <c r="S19"/>
      <c r="T19"/>
      <c r="X19"/>
      <c r="Y19"/>
      <c r="Z19"/>
      <c r="AA19"/>
      <c r="AB19"/>
      <c r="AC19"/>
      <c r="AD19"/>
      <c r="AE19"/>
      <c r="AF19"/>
      <c r="AG19"/>
      <c r="AH19"/>
      <c r="AI19"/>
      <c r="AJ19"/>
      <c r="AK19"/>
    </row>
    <row r="20" spans="1:37" s="112" customFormat="1">
      <c r="A20" s="3"/>
      <c r="B20" s="3"/>
      <c r="C20" s="3"/>
      <c r="D20" s="4"/>
      <c r="E20" s="3"/>
      <c r="F20" s="3"/>
      <c r="G20" s="3"/>
      <c r="H20" s="3"/>
      <c r="I20" s="3"/>
      <c r="J20" s="651"/>
      <c r="K20"/>
      <c r="L20"/>
      <c r="M20"/>
      <c r="N20"/>
      <c r="O20"/>
      <c r="P20"/>
      <c r="Q20"/>
      <c r="R20"/>
      <c r="S20"/>
      <c r="T20"/>
      <c r="X20"/>
      <c r="Y20"/>
      <c r="Z20"/>
      <c r="AA20"/>
      <c r="AB20"/>
      <c r="AC20"/>
      <c r="AD20"/>
      <c r="AE20"/>
      <c r="AF20"/>
      <c r="AG20"/>
      <c r="AH20"/>
      <c r="AI20"/>
      <c r="AJ20"/>
      <c r="AK20"/>
    </row>
    <row r="21" spans="1:37" s="112" customFormat="1">
      <c r="A21" s="3"/>
      <c r="B21" s="3"/>
      <c r="C21" s="3"/>
      <c r="D21" s="4"/>
      <c r="E21" s="3"/>
      <c r="F21" s="3"/>
      <c r="G21" s="3"/>
      <c r="H21" s="3"/>
      <c r="I21" s="3"/>
      <c r="J21" s="651"/>
      <c r="K21"/>
      <c r="L21"/>
      <c r="M21"/>
      <c r="N21"/>
      <c r="O21"/>
      <c r="P21"/>
      <c r="Q21"/>
      <c r="R21"/>
      <c r="S21"/>
      <c r="T21"/>
      <c r="X21"/>
      <c r="Y21"/>
      <c r="Z21"/>
      <c r="AA21"/>
      <c r="AB21"/>
      <c r="AC21"/>
      <c r="AD21"/>
      <c r="AE21"/>
      <c r="AF21"/>
      <c r="AG21"/>
      <c r="AH21"/>
      <c r="AI21"/>
      <c r="AJ21"/>
      <c r="AK21"/>
    </row>
    <row r="22" spans="1:37">
      <c r="A22" s="3"/>
      <c r="B22" s="3"/>
      <c r="C22" s="3"/>
      <c r="D22" s="4"/>
      <c r="E22" s="3"/>
      <c r="F22" s="3"/>
      <c r="G22" s="3"/>
      <c r="H22" s="3"/>
      <c r="I22" s="3"/>
      <c r="J22" s="651"/>
    </row>
    <row r="23" spans="1:37">
      <c r="A23" s="3"/>
      <c r="B23" s="3"/>
      <c r="C23" s="3"/>
      <c r="D23" s="4"/>
      <c r="E23" s="3"/>
      <c r="F23" s="3"/>
      <c r="G23" s="3"/>
      <c r="H23" s="3"/>
      <c r="I23" s="3"/>
      <c r="J23" s="651"/>
    </row>
    <row r="24" spans="1:37">
      <c r="A24" s="3"/>
      <c r="B24" s="3"/>
      <c r="C24" s="3"/>
      <c r="D24" s="4"/>
      <c r="E24" s="3"/>
      <c r="F24" s="3"/>
      <c r="G24" s="3"/>
      <c r="H24" s="3"/>
      <c r="I24" s="3"/>
      <c r="J24" s="651"/>
    </row>
    <row r="25" spans="1:37">
      <c r="A25" s="3"/>
      <c r="B25" s="3"/>
      <c r="C25" s="3"/>
      <c r="D25" s="4"/>
      <c r="E25" s="3"/>
      <c r="F25" s="3"/>
      <c r="G25" s="3"/>
      <c r="H25" s="3"/>
      <c r="I25" s="3"/>
      <c r="J25" s="651"/>
    </row>
    <row r="26" spans="1:37">
      <c r="D26" s="112"/>
    </row>
    <row r="27" spans="1:37">
      <c r="D27" s="112"/>
    </row>
    <row r="28" spans="1:37">
      <c r="D28" s="112"/>
    </row>
    <row r="29" spans="1:37">
      <c r="D29" s="112"/>
    </row>
    <row r="30" spans="1:37">
      <c r="D30" s="112"/>
    </row>
    <row r="31" spans="1:37">
      <c r="D31" s="112"/>
    </row>
    <row r="32" spans="1:37">
      <c r="D32" s="112"/>
    </row>
    <row r="33" spans="4:4">
      <c r="D33" s="112"/>
    </row>
    <row r="34" spans="4:4">
      <c r="D34" s="112"/>
    </row>
  </sheetData>
  <mergeCells count="30">
    <mergeCell ref="G9:G10"/>
    <mergeCell ref="J9:J10"/>
    <mergeCell ref="K9:K10"/>
    <mergeCell ref="T9:T10"/>
    <mergeCell ref="J17:J25"/>
    <mergeCell ref="C7:C8"/>
    <mergeCell ref="D7:D8"/>
    <mergeCell ref="E7:E8"/>
    <mergeCell ref="F7:F8"/>
    <mergeCell ref="A9:A10"/>
    <mergeCell ref="B9:B10"/>
    <mergeCell ref="C9:C10"/>
    <mergeCell ref="D9:D10"/>
    <mergeCell ref="E9:E10"/>
    <mergeCell ref="F9:F10"/>
    <mergeCell ref="A7:A8"/>
    <mergeCell ref="Q5:Q6"/>
    <mergeCell ref="R5:R6"/>
    <mergeCell ref="J5:J6"/>
    <mergeCell ref="K5:K6"/>
    <mergeCell ref="L5:L6"/>
    <mergeCell ref="M5:N5"/>
    <mergeCell ref="O5:O6"/>
    <mergeCell ref="P5:P6"/>
    <mergeCell ref="H5:I5"/>
    <mergeCell ref="A5:A6"/>
    <mergeCell ref="B5:B6"/>
    <mergeCell ref="C5:C6"/>
    <mergeCell ref="D5:F5"/>
    <mergeCell ref="G5:G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6E4D-562A-4F86-BC67-AE53356B4292}">
  <dimension ref="B1:D23"/>
  <sheetViews>
    <sheetView zoomScale="75" zoomScaleNormal="75" workbookViewId="0">
      <selection activeCell="J14" sqref="J14"/>
    </sheetView>
  </sheetViews>
  <sheetFormatPr defaultRowHeight="15"/>
  <cols>
    <col min="2" max="2" width="8.28515625" customWidth="1"/>
    <col min="3" max="3" width="33.7109375" customWidth="1"/>
    <col min="4" max="4" width="69.85546875" customWidth="1"/>
  </cols>
  <sheetData>
    <row r="1" spans="2:4" ht="15.75" thickBot="1"/>
    <row r="2" spans="2:4" ht="20.25" customHeight="1" thickBot="1">
      <c r="B2" s="448" t="s">
        <v>358</v>
      </c>
      <c r="C2" s="449" t="s">
        <v>359</v>
      </c>
      <c r="D2" s="449" t="s">
        <v>360</v>
      </c>
    </row>
    <row r="3" spans="2:4" ht="19.5" customHeight="1" thickBot="1">
      <c r="B3" s="450">
        <v>0</v>
      </c>
      <c r="C3" s="451" t="s">
        <v>361</v>
      </c>
      <c r="D3" s="451" t="s">
        <v>163</v>
      </c>
    </row>
    <row r="4" spans="2:4" ht="15.75" customHeight="1" thickBot="1">
      <c r="B4" s="450">
        <v>1</v>
      </c>
      <c r="C4" s="452" t="s">
        <v>338</v>
      </c>
      <c r="D4" s="451" t="s">
        <v>391</v>
      </c>
    </row>
    <row r="5" spans="2:4" ht="66" customHeight="1" thickBot="1">
      <c r="B5" s="450">
        <v>2</v>
      </c>
      <c r="C5" s="452" t="s">
        <v>339</v>
      </c>
      <c r="D5" s="524" t="s">
        <v>394</v>
      </c>
    </row>
    <row r="6" spans="2:4" ht="33" customHeight="1" thickBot="1">
      <c r="B6" s="450">
        <v>3</v>
      </c>
      <c r="C6" s="451" t="s">
        <v>362</v>
      </c>
      <c r="D6" s="451" t="s">
        <v>381</v>
      </c>
    </row>
    <row r="7" spans="2:4" ht="19.5" customHeight="1" thickBot="1">
      <c r="B7" s="450">
        <v>4</v>
      </c>
      <c r="C7" s="451" t="s">
        <v>363</v>
      </c>
      <c r="D7" s="451" t="s">
        <v>392</v>
      </c>
    </row>
    <row r="8" spans="2:4" ht="15.75" thickBot="1">
      <c r="B8" s="450">
        <v>5</v>
      </c>
      <c r="C8" s="451" t="s">
        <v>109</v>
      </c>
      <c r="D8" s="466">
        <v>0</v>
      </c>
    </row>
    <row r="9" spans="2:4" ht="15.75" customHeight="1" thickBot="1">
      <c r="B9" s="450">
        <v>6</v>
      </c>
      <c r="C9" s="451" t="s">
        <v>110</v>
      </c>
      <c r="D9" s="451" t="s">
        <v>364</v>
      </c>
    </row>
    <row r="10" spans="2:4" ht="18.75" customHeight="1" thickBot="1">
      <c r="B10" s="450">
        <v>7</v>
      </c>
      <c r="C10" s="451" t="s">
        <v>111</v>
      </c>
      <c r="D10" s="451" t="s">
        <v>365</v>
      </c>
    </row>
    <row r="11" spans="2:4" ht="35.25" customHeight="1" thickBot="1">
      <c r="B11" s="450">
        <v>8</v>
      </c>
      <c r="C11" s="451" t="s">
        <v>366</v>
      </c>
      <c r="D11" s="451" t="s">
        <v>367</v>
      </c>
    </row>
    <row r="12" spans="2:4" ht="18" customHeight="1" thickBot="1">
      <c r="B12" s="450">
        <v>9</v>
      </c>
      <c r="C12" s="451" t="s">
        <v>368</v>
      </c>
      <c r="D12" s="451" t="s">
        <v>369</v>
      </c>
    </row>
    <row r="13" spans="2:4" ht="50.25" customHeight="1">
      <c r="B13" s="908">
        <v>10</v>
      </c>
      <c r="C13" s="908" t="s">
        <v>370</v>
      </c>
      <c r="D13" s="525" t="s">
        <v>396</v>
      </c>
    </row>
    <row r="14" spans="2:4" ht="165.75" customHeight="1" thickBot="1">
      <c r="B14" s="909"/>
      <c r="C14" s="909"/>
      <c r="D14" s="522" t="s">
        <v>395</v>
      </c>
    </row>
    <row r="15" spans="2:4" ht="19.5" customHeight="1" thickBot="1">
      <c r="B15" s="450">
        <v>11</v>
      </c>
      <c r="C15" s="451" t="s">
        <v>371</v>
      </c>
      <c r="D15" s="451" t="s">
        <v>157</v>
      </c>
    </row>
    <row r="16" spans="2:4" ht="19.5" customHeight="1" thickBot="1">
      <c r="B16" s="450">
        <v>12</v>
      </c>
      <c r="C16" s="451" t="s">
        <v>372</v>
      </c>
      <c r="D16" s="451" t="s">
        <v>373</v>
      </c>
    </row>
    <row r="17" spans="2:4" ht="19.5" customHeight="1" thickBot="1">
      <c r="B17" s="450">
        <v>13</v>
      </c>
      <c r="C17" s="451" t="s">
        <v>374</v>
      </c>
      <c r="D17" s="451"/>
    </row>
    <row r="18" spans="2:4" ht="15.75" customHeight="1">
      <c r="B18" s="908">
        <v>14</v>
      </c>
      <c r="C18" s="908" t="s">
        <v>375</v>
      </c>
      <c r="D18" s="453" t="s">
        <v>376</v>
      </c>
    </row>
    <row r="19" spans="2:4" ht="31.5" customHeight="1" thickBot="1">
      <c r="B19" s="909"/>
      <c r="C19" s="909"/>
      <c r="D19" s="451" t="s">
        <v>377</v>
      </c>
    </row>
    <row r="20" spans="2:4" ht="21" customHeight="1" thickBot="1">
      <c r="B20" s="450">
        <v>15</v>
      </c>
      <c r="C20" s="451" t="s">
        <v>378</v>
      </c>
      <c r="D20" s="451"/>
    </row>
    <row r="21" spans="2:4" ht="18" customHeight="1" thickBot="1">
      <c r="B21" s="450">
        <v>16</v>
      </c>
      <c r="C21" s="451" t="s">
        <v>379</v>
      </c>
      <c r="D21" s="451"/>
    </row>
    <row r="22" spans="2:4" ht="12.75" customHeight="1">
      <c r="B22" s="908">
        <v>17</v>
      </c>
      <c r="C22" s="908" t="s">
        <v>380</v>
      </c>
      <c r="D22" s="453"/>
    </row>
    <row r="23" spans="2:4" ht="9.75" customHeight="1" thickBot="1">
      <c r="B23" s="909"/>
      <c r="C23" s="909"/>
      <c r="D23" s="451"/>
    </row>
  </sheetData>
  <mergeCells count="6">
    <mergeCell ref="B22:B23"/>
    <mergeCell ref="C22:C23"/>
    <mergeCell ref="B13:B14"/>
    <mergeCell ref="C13:C14"/>
    <mergeCell ref="B18:B19"/>
    <mergeCell ref="C18: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9CDE09278D729409DE1B0AFBAC2379E" ma:contentTypeVersion="14" ma:contentTypeDescription="Kurkite naują dokumentą." ma:contentTypeScope="" ma:versionID="a8abc293ebe1a50b1f29cec188107bd9">
  <xsd:schema xmlns:xsd="http://www.w3.org/2001/XMLSchema" xmlns:xs="http://www.w3.org/2001/XMLSchema" xmlns:p="http://schemas.microsoft.com/office/2006/metadata/properties" xmlns:ns2="181fd638-8a79-487e-a46d-07287f5b4855" xmlns:ns3="d85cbc99-f6b0-4a9d-b5df-b86cb7c130d4" targetNamespace="http://schemas.microsoft.com/office/2006/metadata/properties" ma:root="true" ma:fieldsID="fec1fbc09ceded7fbfea6fd9427df285" ns2:_="" ns3:_="">
    <xsd:import namespace="181fd638-8a79-487e-a46d-07287f5b4855"/>
    <xsd:import namespace="d85cbc99-f6b0-4a9d-b5df-b86cb7c130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1fd638-8a79-487e-a46d-07287f5b48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3fb0d60-6f00-4212-b98d-2e07146e5b5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5cbc99-f6b0-4a9d-b5df-b86cb7c130d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f9929918-091b-48d6-97cb-111e89901dff}" ma:internalName="TaxCatchAll" ma:showField="CatchAllData" ma:web="d85cbc99-f6b0-4a9d-b5df-b86cb7c130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1fd638-8a79-487e-a46d-07287f5b4855">
      <Terms xmlns="http://schemas.microsoft.com/office/infopath/2007/PartnerControls"/>
    </lcf76f155ced4ddcb4097134ff3c332f>
    <TaxCatchAll xmlns="d85cbc99-f6b0-4a9d-b5df-b86cb7c130d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37BD24-ECA4-4693-AD78-826C973A2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1fd638-8a79-487e-a46d-07287f5b4855"/>
    <ds:schemaRef ds:uri="d85cbc99-f6b0-4a9d-b5df-b86cb7c13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BCD59C-3D1C-483C-9021-D00697B5C99D}">
  <ds:schemaRefs>
    <ds:schemaRef ds:uri="http://www.w3.org/XML/1998/namespace"/>
    <ds:schemaRef ds:uri="http://schemas.microsoft.com/office/2006/metadata/properties"/>
    <ds:schemaRef ds:uri="http://schemas.microsoft.com/office/2006/documentManagement/types"/>
    <ds:schemaRef ds:uri="http://purl.org/dc/elements/1.1/"/>
    <ds:schemaRef ds:uri="d85cbc99-f6b0-4a9d-b5df-b86cb7c130d4"/>
    <ds:schemaRef ds:uri="http://schemas.microsoft.com/office/infopath/2007/PartnerControls"/>
    <ds:schemaRef ds:uri="http://purl.org/dc/dcmitype/"/>
    <ds:schemaRef ds:uri="http://purl.org/dc/terms/"/>
    <ds:schemaRef ds:uri="http://schemas.openxmlformats.org/package/2006/metadata/core-properties"/>
    <ds:schemaRef ds:uri="181fd638-8a79-487e-a46d-07287f5b4855"/>
  </ds:schemaRefs>
</ds:datastoreItem>
</file>

<file path=customXml/itemProps3.xml><?xml version="1.0" encoding="utf-8"?>
<ds:datastoreItem xmlns:ds="http://schemas.openxmlformats.org/officeDocument/2006/customXml" ds:itemID="{FE0265FC-D0F6-40D0-BCBB-D7FDEB271D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Intervencijų lėšos (2)</vt:lpstr>
      <vt:lpstr>2PO 2.2</vt:lpstr>
      <vt:lpstr>2PO 2.8</vt:lpstr>
      <vt:lpstr>3PO 3.1</vt:lpstr>
      <vt:lpstr>14.1</vt:lpstr>
      <vt:lpstr>5PO</vt:lpstr>
      <vt:lpstr>Specific result 14.1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2026-03-23T07:33:25Z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0x01010079CDE09278D729409DE1B0AFBAC2379E</vt:lpwstr>
  </property>
  <property fmtid="{D5CDD505-2E9C-101B-9397-08002B2CF9AE}" pid="3" name="MediaServiceImageTags">
    <vt:lpwstr/>
  </property>
</Properties>
</file>