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7234E09A-A22D-43DF-8743-2D036DB5409A}" xr6:coauthVersionLast="47" xr6:coauthVersionMax="47" xr10:uidLastSave="{00000000-0000-0000-0000-000000000000}"/>
  <bookViews>
    <workbookView xWindow="-120" yWindow="-120" windowWidth="29040" windowHeight="15720" firstSheet="4" activeTab="4" xr2:uid="{00000000-000D-0000-FFFF-FFFF00000000}"/>
  </bookViews>
  <sheets>
    <sheet name="Intervencijų lėšos (2)" sheetId="17" state="hidden" r:id="rId1"/>
    <sheet name="2PO 2.2" sheetId="6" state="hidden" r:id="rId2"/>
    <sheet name="2PO 2.8" sheetId="12" state="hidden" r:id="rId3"/>
    <sheet name="3PO 3.1" sheetId="13" state="hidden" r:id="rId4"/>
    <sheet name="3.1." sheetId="14" r:id="rId5"/>
    <sheet name="5PO" sheetId="18" state="hidden" r:id="rId6"/>
    <sheet name="F. Specific output 3.1.2" sheetId="29" r:id="rId7"/>
    <sheet name="F Specific output 3.1.1 (1)" sheetId="19" r:id="rId8"/>
    <sheet name="F Specific result 3.1.1 (1)" sheetId="20" r:id="rId9"/>
    <sheet name="F Specific output 3.1.1 (3)" sheetId="28" r:id="rId10"/>
    <sheet name="F Specific result 3.1.1 (3)" sheetId="23" r:id="rId11"/>
    <sheet name="F Specific output 3.1.1 (4)" sheetId="22" r:id="rId12"/>
    <sheet name="F Specific result 3.1.1 (4)" sheetId="27" r:id="rId13"/>
    <sheet name="F Specific output 3.1.2 (1)" sheetId="24" r:id="rId14"/>
    <sheet name="F Specific result 3.1.1 (2)" sheetId="21" r:id="rId15"/>
    <sheet name="F Specific result 3.1.2 (1)" sheetId="25" r:id="rId16"/>
  </sheets>
  <externalReferences>
    <externalReference r:id="rId17"/>
  </externalReferences>
  <definedNames>
    <definedName name="_xlnm._FilterDatabase" localSheetId="4" hidden="1">'3.1.'!$A$5:$AF$36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4" l="1"/>
  <c r="E30" i="14"/>
  <c r="E27" i="14"/>
  <c r="E24" i="14"/>
  <c r="E21" i="14"/>
  <c r="E19" i="14"/>
  <c r="E17" i="14"/>
  <c r="E13" i="14"/>
  <c r="E6" i="14"/>
  <c r="D58" i="14"/>
  <c r="M34" i="14"/>
  <c r="P34" i="14"/>
  <c r="C24" i="14"/>
  <c r="D59" i="14" l="1"/>
  <c r="C27" i="14"/>
  <c r="C21" i="14"/>
  <c r="C34" i="14" l="1"/>
  <c r="I55" i="14" l="1"/>
  <c r="C55" i="14"/>
  <c r="A55" i="14"/>
  <c r="F30" i="14"/>
  <c r="G30" i="14" s="1"/>
  <c r="C38" i="14" l="1"/>
  <c r="C37" i="14"/>
  <c r="G15" i="14" l="1"/>
  <c r="G10" i="14"/>
  <c r="G8" i="14"/>
  <c r="I43" i="14" l="1"/>
  <c r="I44" i="14"/>
  <c r="I56" i="14"/>
  <c r="I57" i="14"/>
  <c r="F17" i="14" l="1"/>
  <c r="G17" i="14" s="1"/>
  <c r="G13" i="14"/>
  <c r="G6" i="14"/>
  <c r="D42" i="14" l="1"/>
  <c r="I42" i="14" l="1"/>
  <c r="F13" i="14" l="1"/>
  <c r="I47" i="14"/>
  <c r="D47" i="14"/>
  <c r="I46" i="14"/>
  <c r="D46" i="14"/>
  <c r="C47" i="14" l="1"/>
  <c r="B47" i="14"/>
  <c r="H46" i="14"/>
  <c r="C46" i="14"/>
  <c r="B46" i="14"/>
  <c r="C54" i="14" l="1"/>
  <c r="B54" i="14"/>
  <c r="A54" i="14"/>
  <c r="C53" i="14"/>
  <c r="B53" i="14"/>
  <c r="A53" i="14"/>
  <c r="C52" i="14"/>
  <c r="B52" i="14"/>
  <c r="A52" i="14"/>
  <c r="C51" i="14"/>
  <c r="B51" i="14"/>
  <c r="A51" i="14"/>
  <c r="C50" i="14"/>
  <c r="B50" i="14"/>
  <c r="A50" i="14"/>
  <c r="C49" i="14"/>
  <c r="B49" i="14"/>
  <c r="A49" i="14"/>
  <c r="C48" i="14"/>
  <c r="B48" i="14"/>
  <c r="A48" i="14"/>
  <c r="C45" i="14"/>
  <c r="B45" i="14"/>
  <c r="A45" i="14"/>
  <c r="C44" i="14"/>
  <c r="B44" i="14"/>
  <c r="A44" i="14"/>
  <c r="C43" i="14"/>
  <c r="B43" i="14"/>
  <c r="A43" i="14"/>
  <c r="C42" i="14"/>
  <c r="B42" i="14"/>
  <c r="A42" i="14"/>
  <c r="C41" i="14"/>
  <c r="B41" i="14"/>
  <c r="A41" i="14"/>
  <c r="G52" i="14" l="1"/>
  <c r="I50" i="14" l="1"/>
  <c r="D50" i="14"/>
  <c r="D49" i="14"/>
  <c r="D48" i="14"/>
  <c r="I52" i="14"/>
  <c r="D52" i="14"/>
  <c r="I53" i="14"/>
  <c r="D53" i="14"/>
  <c r="I51" i="14"/>
  <c r="D51" i="14"/>
  <c r="H49" i="14"/>
  <c r="I49" i="14"/>
  <c r="C35" i="14"/>
  <c r="D43" i="14" l="1"/>
  <c r="F24" i="14" l="1"/>
  <c r="E35" i="14"/>
  <c r="G24" i="14" l="1"/>
  <c r="G35" i="14" s="1"/>
  <c r="F35" i="14"/>
  <c r="I45" i="14" l="1"/>
  <c r="D45" i="14"/>
  <c r="H44" i="14"/>
  <c r="D44" i="14"/>
  <c r="H41" i="14"/>
  <c r="D41" i="14"/>
  <c r="H43" i="14" l="1"/>
  <c r="H18" i="18"/>
  <c r="C18" i="18"/>
  <c r="I17" i="18"/>
  <c r="F17" i="18"/>
  <c r="E17" i="18"/>
  <c r="D17" i="18"/>
  <c r="C12" i="18"/>
  <c r="P10" i="18"/>
  <c r="I18" i="18" s="1"/>
  <c r="M10" i="18"/>
  <c r="D18" i="18" s="1"/>
  <c r="O9" i="18"/>
  <c r="H17" i="18" s="1"/>
  <c r="E9" i="18"/>
  <c r="F9" i="18" s="1"/>
  <c r="G9" i="18" s="1"/>
  <c r="C7" i="18"/>
  <c r="C13" i="18"/>
  <c r="P12" i="12"/>
  <c r="P11" i="12"/>
  <c r="E7" i="18" l="1"/>
  <c r="F7" i="18" s="1"/>
  <c r="G7" i="18" s="1"/>
  <c r="C11" i="18"/>
  <c r="B9" i="18"/>
  <c r="M44" i="6" l="1"/>
  <c r="M42" i="6"/>
  <c r="P42" i="6"/>
  <c r="P44" i="6"/>
  <c r="J3" i="17"/>
  <c r="P11" i="13" l="1"/>
  <c r="P10" i="13"/>
  <c r="P27" i="13"/>
  <c r="P29" i="13" s="1"/>
  <c r="P26" i="13"/>
  <c r="P28" i="13" s="1"/>
  <c r="P19" i="13"/>
  <c r="P18" i="13"/>
  <c r="E26" i="13"/>
  <c r="E18" i="13"/>
  <c r="E10" i="13"/>
  <c r="I55" i="13" l="1"/>
  <c r="I54" i="13"/>
  <c r="I87" i="6"/>
  <c r="D86" i="6"/>
  <c r="I86" i="6"/>
  <c r="C43" i="6" l="1"/>
  <c r="C41" i="6"/>
  <c r="C7" i="12" l="1"/>
  <c r="C15" i="12" s="1"/>
  <c r="C47" i="6" l="1"/>
  <c r="C45" i="6"/>
  <c r="C67" i="6" s="1"/>
  <c r="J32" i="17"/>
  <c r="J31" i="17"/>
  <c r="J30" i="17"/>
  <c r="I5" i="17"/>
  <c r="P5" i="17" s="1"/>
  <c r="J19" i="17"/>
  <c r="I3" i="17"/>
  <c r="P4" i="17" s="1"/>
  <c r="I4" i="17"/>
  <c r="I7" i="17"/>
  <c r="I9" i="17"/>
  <c r="I13" i="17"/>
  <c r="I15" i="17"/>
  <c r="I17" i="17"/>
  <c r="J17" i="17" s="1"/>
  <c r="I18" i="17"/>
  <c r="J18" i="17" s="1"/>
  <c r="S18" i="17"/>
  <c r="I19" i="17"/>
  <c r="S19" i="17"/>
  <c r="T19" i="17"/>
  <c r="I24" i="17"/>
  <c r="J24" i="17" s="1"/>
  <c r="I25" i="17"/>
  <c r="N25" i="17"/>
  <c r="N27" i="17"/>
  <c r="H30" i="17"/>
  <c r="H31" i="17"/>
  <c r="H32" i="17"/>
  <c r="H33" i="17"/>
  <c r="H38" i="17"/>
  <c r="H47" i="17" s="1"/>
  <c r="H39" i="17"/>
  <c r="H40" i="17"/>
  <c r="H42" i="17"/>
  <c r="H43" i="17"/>
  <c r="H44" i="17"/>
  <c r="H45" i="17"/>
  <c r="K30" i="17" l="1"/>
  <c r="P20" i="17"/>
  <c r="H50" i="17"/>
  <c r="I30" i="17"/>
  <c r="H49" i="17"/>
  <c r="I33" i="17"/>
  <c r="H48" i="17"/>
  <c r="J33" i="17"/>
  <c r="K32" i="17" s="1"/>
  <c r="K34" i="17" s="1"/>
  <c r="I31" i="17"/>
  <c r="N18" i="17"/>
  <c r="I32" i="17"/>
  <c r="P21" i="17"/>
  <c r="I34" i="17" l="1"/>
  <c r="J34" i="17"/>
  <c r="P7" i="12" l="1"/>
  <c r="C33" i="13" l="1"/>
  <c r="C32" i="13"/>
  <c r="I21" i="12"/>
  <c r="C34" i="13" l="1"/>
  <c r="H25" i="12"/>
  <c r="M7" i="12" l="1"/>
  <c r="O10" i="12" l="1"/>
  <c r="I57" i="13"/>
  <c r="O27" i="13"/>
  <c r="O26" i="13"/>
  <c r="P25" i="13"/>
  <c r="P24" i="13"/>
  <c r="O23" i="13"/>
  <c r="O22" i="13"/>
  <c r="P21" i="13"/>
  <c r="P20" i="13"/>
  <c r="O19" i="13"/>
  <c r="O18" i="13"/>
  <c r="P17" i="13" l="1"/>
  <c r="P16" i="13"/>
  <c r="O14" i="13"/>
  <c r="O15" i="13"/>
  <c r="P13" i="13"/>
  <c r="I61" i="13" s="1"/>
  <c r="P12" i="13"/>
  <c r="I59" i="13" s="1"/>
  <c r="O11" i="13"/>
  <c r="H57" i="13" s="1"/>
  <c r="O10" i="13"/>
  <c r="H55" i="13" s="1"/>
  <c r="O7" i="13" l="1"/>
  <c r="O6" i="13"/>
  <c r="H54" i="13" s="1"/>
  <c r="P8" i="13" l="1"/>
  <c r="P9" i="13"/>
  <c r="I60" i="13" s="1"/>
  <c r="F19" i="14" l="1"/>
  <c r="F13" i="6"/>
  <c r="I91" i="6"/>
  <c r="I90" i="6"/>
  <c r="D87" i="6"/>
  <c r="H90" i="6"/>
  <c r="G19" i="14" l="1"/>
  <c r="E47" i="6"/>
  <c r="F47" i="6" s="1"/>
  <c r="G47" i="6" s="1"/>
  <c r="B47" i="6" l="1"/>
  <c r="E43" i="6"/>
  <c r="D54" i="14" l="1"/>
  <c r="D61" i="13" l="1"/>
  <c r="D60" i="13"/>
  <c r="D59" i="13"/>
  <c r="I58" i="13"/>
  <c r="D58" i="13"/>
  <c r="D57" i="13"/>
  <c r="I56" i="13"/>
  <c r="H56" i="13"/>
  <c r="D56" i="13"/>
  <c r="D55" i="13"/>
  <c r="D54" i="13"/>
  <c r="I25" i="12"/>
  <c r="D25" i="12"/>
  <c r="I24" i="12"/>
  <c r="H24" i="12"/>
  <c r="D24" i="12"/>
  <c r="D21" i="12"/>
  <c r="H91" i="6"/>
  <c r="E10" i="12" l="1"/>
  <c r="F21" i="14" l="1"/>
  <c r="F44" i="13"/>
  <c r="F42" i="13"/>
  <c r="F26" i="13"/>
  <c r="E22" i="13"/>
  <c r="F22" i="13" s="1"/>
  <c r="G22" i="13" s="1"/>
  <c r="F18" i="13"/>
  <c r="G18" i="13" s="1"/>
  <c r="F10" i="13"/>
  <c r="E6" i="13"/>
  <c r="F6" i="13" s="1"/>
  <c r="G6" i="13" s="1"/>
  <c r="C30" i="13"/>
  <c r="C68" i="6"/>
  <c r="C17" i="12"/>
  <c r="G21" i="14" l="1"/>
  <c r="B6" i="13"/>
  <c r="G10" i="13"/>
  <c r="B10" i="13"/>
  <c r="D42" i="13"/>
  <c r="G42" i="13" s="1"/>
  <c r="D44" i="13"/>
  <c r="F32" i="14"/>
  <c r="G32" i="14" s="1"/>
  <c r="F27" i="14"/>
  <c r="B21" i="14" s="1"/>
  <c r="G26" i="13"/>
  <c r="B26" i="13"/>
  <c r="E14" i="13"/>
  <c r="F14" i="13" s="1"/>
  <c r="B22" i="13"/>
  <c r="B18" i="13"/>
  <c r="G27" i="14" l="1"/>
  <c r="I41" i="14"/>
  <c r="H54" i="14"/>
  <c r="I54" i="14"/>
  <c r="G14" i="13"/>
  <c r="B14" i="13"/>
  <c r="I48" i="14" l="1"/>
  <c r="I58" i="14" s="1"/>
  <c r="E7" i="12"/>
  <c r="F7" i="12" s="1"/>
  <c r="G7" i="12" s="1"/>
  <c r="P9" i="12" s="1"/>
  <c r="C13" i="12"/>
  <c r="F10" i="12"/>
  <c r="G10" i="12" s="1"/>
  <c r="J58" i="14" l="1"/>
  <c r="H48" i="14"/>
  <c r="H58" i="14" s="1"/>
  <c r="O34" i="14"/>
  <c r="P8" i="12"/>
  <c r="B7" i="12"/>
  <c r="B10" i="12"/>
  <c r="E13" i="12"/>
  <c r="F13" i="12" s="1"/>
  <c r="G13" i="12" s="1"/>
  <c r="E45" i="6"/>
  <c r="E41" i="6"/>
  <c r="F35" i="6"/>
  <c r="O8" i="12" l="1"/>
  <c r="H22" i="12" s="1"/>
  <c r="I22" i="12"/>
  <c r="O9" i="12"/>
  <c r="H23" i="12" s="1"/>
  <c r="I23" i="12"/>
  <c r="F45" i="6"/>
  <c r="F41" i="6"/>
  <c r="F43" i="6"/>
  <c r="G43" i="6" l="1"/>
  <c r="P43" i="6" s="1"/>
  <c r="B43" i="6"/>
  <c r="G41" i="6"/>
  <c r="P41" i="6" s="1"/>
  <c r="B41" i="6"/>
  <c r="G45" i="6"/>
  <c r="B45" i="6"/>
  <c r="O43" i="6" l="1"/>
  <c r="H89" i="6" s="1"/>
  <c r="I89" i="6"/>
  <c r="I88" i="6"/>
  <c r="O41" i="6"/>
  <c r="H88" i="6" s="1"/>
  <c r="C50" i="13"/>
  <c r="C48" i="13"/>
  <c r="C45" i="13"/>
  <c r="C42" i="13"/>
  <c r="F65" i="6" l="1"/>
  <c r="F61" i="6"/>
  <c r="F57" i="6"/>
  <c r="F53" i="6"/>
  <c r="F49" i="6"/>
  <c r="F31" i="6"/>
  <c r="F27" i="6"/>
  <c r="F23" i="6"/>
  <c r="F18" i="6"/>
  <c r="E48" i="13" l="1"/>
  <c r="F6" i="14"/>
  <c r="B6" i="14" s="1"/>
  <c r="F34" i="14" l="1"/>
  <c r="F36" i="14" s="1"/>
  <c r="C36" i="14"/>
  <c r="E34" i="14"/>
  <c r="G34"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I3" authorId="0" shapeId="0" xr:uid="{00000000-0006-0000-0000-000001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Minusuojama, nes į 2 prioritetą grįžo dviračių infrastruktūra iš ERPF</t>
        </r>
      </text>
    </comment>
    <comment ref="J3" authorId="0" shapeId="0" xr:uid="{00000000-0006-0000-0000-000002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nuo dvirašių takų infrastruktūros, kurie iškelti į 5PO</t>
        </r>
      </text>
    </comment>
    <comment ref="I6" authorId="0" shapeId="0" xr:uid="{00000000-0006-0000-0000-00000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 prie autobusų intervencijos, nes įkrovimo stotelės bus įrengiamos pagal poreikį.</t>
        </r>
      </text>
    </comment>
    <comment ref="J8" authorId="0" shapeId="0" xr:uid="{00000000-0006-0000-0000-000004000000}">
      <text>
        <r>
          <rPr>
            <b/>
            <sz val="9"/>
            <color indexed="81"/>
            <rFont val="Tahoma"/>
            <family val="2"/>
            <charset val="186"/>
          </rPr>
          <t>Autorius:</t>
        </r>
        <r>
          <rPr>
            <sz val="9"/>
            <color indexed="81"/>
            <rFont val="Tahoma"/>
            <family val="2"/>
            <charset val="186"/>
          </rPr>
          <t xml:space="preserve">
Iškeliama į 5PO - 2020-12-10</t>
        </r>
      </text>
    </comment>
    <comment ref="I9" authorId="0" shapeId="0" xr:uid="{00000000-0006-0000-0000-000005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iš 052 intervencijos</t>
        </r>
      </text>
    </comment>
    <comment ref="J9" authorId="0" shapeId="0" xr:uid="{00000000-0006-0000-0000-000006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"Plačiajuostis internetas" skaičiuodamas reikšmes paskaidė</t>
        </r>
      </text>
    </comment>
    <comment ref="I17" authorId="0" shapeId="0" xr:uid="{00000000-0006-0000-0000-000007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2 mln. pridęėta iš dviračių infrastruktūros. žr. wordinį lėšų paskirstymo failą 2020-10-05 su komentarais</t>
        </r>
      </text>
    </comment>
    <comment ref="I25" authorId="0" shapeId="0" xr:uid="{00000000-0006-0000-0000-000008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Pridedama 10 mln LKAD dvitačių infrastruktūrai už miesto ribų. Atskiros veiklos nebus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C13" authorId="0" shapeId="0" xr:uid="{00000000-0006-0000-0100-000001000000}">
      <text>
        <r>
          <rPr>
            <b/>
            <sz val="9"/>
            <color indexed="81"/>
            <rFont val="Tahoma"/>
            <family val="2"/>
            <charset val="186"/>
          </rPr>
          <t>Autorius:</t>
        </r>
        <r>
          <rPr>
            <sz val="9"/>
            <color indexed="81"/>
            <rFont val="Tahoma"/>
            <family val="2"/>
            <charset val="186"/>
          </rPr>
          <t xml:space="preserve">
išskirkit kiekvienam intervencijos kodui</t>
        </r>
      </text>
    </comment>
    <comment ref="C23" authorId="0" shapeId="0" xr:uid="{00000000-0006-0000-0100-000002000000}">
      <text>
        <r>
          <rPr>
            <b/>
            <sz val="9"/>
            <color indexed="81"/>
            <rFont val="Tahoma"/>
            <family val="2"/>
            <charset val="186"/>
          </rPr>
          <t>Autorius:</t>
        </r>
        <r>
          <rPr>
            <sz val="9"/>
            <color indexed="81"/>
            <rFont val="Tahoma"/>
            <family val="2"/>
            <charset val="186"/>
          </rPr>
          <t xml:space="preserve">
išskirkit kiekvienam intervencijos kodui</t>
        </r>
      </text>
    </comment>
    <comment ref="D23" authorId="0" shapeId="0" xr:uid="{00000000-0006-0000-0100-000003000000}">
      <text>
        <r>
          <rPr>
            <b/>
            <sz val="9"/>
            <color indexed="81"/>
            <rFont val="Tahoma"/>
            <family val="2"/>
            <charset val="186"/>
          </rPr>
          <t>Autorius:</t>
        </r>
        <r>
          <rPr>
            <sz val="9"/>
            <color indexed="81"/>
            <rFont val="Tahoma"/>
            <family val="2"/>
            <charset val="186"/>
          </rPr>
          <t xml:space="preserve">
EK siūlo tik 2.1 uždaviniui</t>
        </r>
      </text>
    </comment>
    <comment ref="C35" authorId="0" shapeId="0" xr:uid="{00000000-0006-0000-0100-000004000000}">
      <text>
        <r>
          <rPr>
            <b/>
            <sz val="9"/>
            <color indexed="81"/>
            <rFont val="Tahoma"/>
            <family val="2"/>
            <charset val="186"/>
          </rPr>
          <t>Autorius:</t>
        </r>
        <r>
          <rPr>
            <sz val="9"/>
            <color indexed="81"/>
            <rFont val="Tahoma"/>
            <family val="2"/>
            <charset val="186"/>
          </rPr>
          <t xml:space="preserve">
išskirkit kiekvienam intervencijos kodui</t>
        </r>
      </text>
    </comment>
    <comment ref="D41" authorId="0" shapeId="0" xr:uid="{00000000-0006-0000-0100-000005000000}">
      <text>
        <r>
          <rPr>
            <b/>
            <sz val="9"/>
            <color indexed="81"/>
            <rFont val="Tahoma"/>
            <family val="2"/>
            <charset val="186"/>
          </rPr>
          <t>Autorius:</t>
        </r>
        <r>
          <rPr>
            <sz val="9"/>
            <color indexed="81"/>
            <rFont val="Tahoma"/>
            <family val="2"/>
            <charset val="186"/>
          </rPr>
          <t xml:space="preserve">
EK siulo 2.2 uzdav. Naudoti 28-32 intervencijos kodus.
</t>
        </r>
        <r>
          <rPr>
            <b/>
            <sz val="9"/>
            <color indexed="81"/>
            <rFont val="Tahoma"/>
            <family val="2"/>
            <charset val="186"/>
          </rPr>
          <t>Vaida Kazlauskienė:</t>
        </r>
        <r>
          <rPr>
            <sz val="9"/>
            <color indexed="81"/>
            <rFont val="Tahoma"/>
            <family val="2"/>
            <charset val="186"/>
          </rPr>
          <t xml:space="preserve"> netinka mums kiti kodai.</t>
        </r>
      </text>
    </comment>
    <comment ref="N41" authorId="0" shapeId="0" xr:uid="{00000000-0006-0000-0100-000006000000}">
      <text>
        <r>
          <rPr>
            <b/>
            <sz val="9"/>
            <color indexed="81"/>
            <rFont val="Tahoma"/>
            <family val="2"/>
            <charset val="186"/>
          </rPr>
          <t>Autorius:</t>
        </r>
        <r>
          <rPr>
            <sz val="9"/>
            <color indexed="81"/>
            <rFont val="Tahoma"/>
            <family val="2"/>
            <charset val="186"/>
          </rPr>
          <t xml:space="preserve">
n/a produkto rodikliams</t>
        </r>
      </text>
    </comment>
    <comment ref="I42" authorId="0" shapeId="0" xr:uid="{00000000-0006-0000-0100-000007000000}">
      <text>
        <r>
          <rPr>
            <b/>
            <sz val="9"/>
            <color indexed="81"/>
            <rFont val="Tahoma"/>
            <family val="2"/>
            <charset val="186"/>
          </rPr>
          <t>Autorius:</t>
        </r>
        <r>
          <rPr>
            <sz val="9"/>
            <color indexed="81"/>
            <rFont val="Tahoma"/>
            <family val="2"/>
            <charset val="186"/>
          </rPr>
          <t xml:space="preserve">
angliskai</t>
        </r>
      </text>
    </comment>
    <comment ref="J43" authorId="0" shapeId="0" xr:uid="{00000000-0006-0000-0100-000008000000}">
      <text>
        <r>
          <rPr>
            <b/>
            <sz val="9"/>
            <color indexed="81"/>
            <rFont val="Tahoma"/>
            <family val="2"/>
            <charset val="186"/>
          </rPr>
          <t>Autorius:</t>
        </r>
        <r>
          <rPr>
            <sz val="9"/>
            <color indexed="81"/>
            <rFont val="Tahoma"/>
            <family val="2"/>
            <charset val="186"/>
          </rPr>
          <t xml:space="preserve">
Ar tikrai VVL? Nes ten, kur yra intervenciju lesos yra Visa Lietuva
</t>
        </r>
        <r>
          <rPr>
            <b/>
            <sz val="9"/>
            <color indexed="81"/>
            <rFont val="Tahoma"/>
            <family val="2"/>
            <charset val="186"/>
          </rPr>
          <t xml:space="preserve">Vaida Kazlauskienė: </t>
        </r>
        <r>
          <rPr>
            <sz val="9"/>
            <color indexed="81"/>
            <rFont val="Tahoma"/>
            <family val="2"/>
            <charset val="186"/>
          </rPr>
          <t>patikslinta</t>
        </r>
      </text>
    </comment>
    <comment ref="I44" authorId="0" shapeId="0" xr:uid="{00000000-0006-0000-0100-000009000000}">
      <text>
        <r>
          <rPr>
            <b/>
            <sz val="9"/>
            <color indexed="81"/>
            <rFont val="Tahoma"/>
            <family val="2"/>
            <charset val="186"/>
          </rPr>
          <t>Autorius:</t>
        </r>
        <r>
          <rPr>
            <sz val="9"/>
            <color indexed="81"/>
            <rFont val="Tahoma"/>
            <family val="2"/>
            <charset val="186"/>
          </rPr>
          <t xml:space="preserve">
angliskai</t>
        </r>
      </text>
    </comment>
    <comment ref="D45" authorId="0" shapeId="0" xr:uid="{00000000-0006-0000-0100-00000A000000}">
      <text>
        <r>
          <rPr>
            <b/>
            <sz val="9"/>
            <color indexed="81"/>
            <rFont val="Tahoma"/>
            <family val="2"/>
            <charset val="186"/>
          </rPr>
          <t>Autorius:</t>
        </r>
        <r>
          <rPr>
            <sz val="9"/>
            <color indexed="81"/>
            <rFont val="Tahoma"/>
            <family val="2"/>
            <charset val="186"/>
          </rPr>
          <t xml:space="preserve">
EK siulo 2.2 uzdav. Naudoti 28-32 intervencijos kodus.
</t>
        </r>
        <r>
          <rPr>
            <b/>
            <sz val="9"/>
            <color indexed="81"/>
            <rFont val="Tahoma"/>
            <family val="2"/>
            <charset val="186"/>
          </rPr>
          <t>Vaida Kazlauskienė</t>
        </r>
        <r>
          <rPr>
            <sz val="9"/>
            <color indexed="81"/>
            <rFont val="Tahoma"/>
            <family val="2"/>
            <charset val="186"/>
          </rPr>
          <t xml:space="preserve">: netinka mums kiti kodai.
</t>
        </r>
      </text>
    </comment>
    <comment ref="I45" authorId="0" shapeId="0" xr:uid="{00000000-0006-0000-0100-00000B000000}">
      <text>
        <r>
          <rPr>
            <b/>
            <sz val="9"/>
            <color indexed="81"/>
            <rFont val="Tahoma"/>
            <family val="2"/>
            <charset val="186"/>
          </rPr>
          <t>Autorius:</t>
        </r>
        <r>
          <rPr>
            <sz val="9"/>
            <color indexed="81"/>
            <rFont val="Tahoma"/>
            <family val="2"/>
            <charset val="186"/>
          </rPr>
          <t xml:space="preserve">
angliskai</t>
        </r>
      </text>
    </comment>
    <comment ref="K45" authorId="0" shapeId="0" xr:uid="{00000000-0006-0000-0100-00000C000000}">
      <text>
        <r>
          <rPr>
            <b/>
            <sz val="9"/>
            <color indexed="81"/>
            <rFont val="Tahoma"/>
            <family val="2"/>
            <charset val="186"/>
          </rPr>
          <t>Autorius:</t>
        </r>
        <r>
          <rPr>
            <sz val="9"/>
            <color indexed="81"/>
            <rFont val="Tahoma"/>
            <family val="2"/>
            <charset val="186"/>
          </rPr>
          <t xml:space="preserve">
Ar tikrai ERPFL? Nes ten, kur yra intervenciju lesos yra SaF
</t>
        </r>
        <r>
          <rPr>
            <b/>
            <sz val="9"/>
            <color indexed="81"/>
            <rFont val="Tahoma"/>
            <family val="2"/>
            <charset val="186"/>
          </rPr>
          <t xml:space="preserve">Vaida Kazlauskienė: </t>
        </r>
        <r>
          <rPr>
            <sz val="9"/>
            <color indexed="81"/>
            <rFont val="Tahoma"/>
            <family val="2"/>
            <charset val="186"/>
          </rPr>
          <t>patikslinta.</t>
        </r>
      </text>
    </comment>
    <comment ref="H46" authorId="0" shapeId="0" xr:uid="{00000000-0006-0000-0100-00000D000000}">
      <text>
        <r>
          <rPr>
            <b/>
            <sz val="9"/>
            <color indexed="81"/>
            <rFont val="Tahoma"/>
            <family val="2"/>
            <charset val="186"/>
          </rPr>
          <t>Autorius:</t>
        </r>
        <r>
          <rPr>
            <sz val="9"/>
            <color indexed="81"/>
            <rFont val="Tahoma"/>
            <family val="2"/>
            <charset val="186"/>
          </rPr>
          <t xml:space="preserve">
produkto?</t>
        </r>
      </text>
    </comment>
    <comment ref="I47" authorId="0" shapeId="0" xr:uid="{00000000-0006-0000-0100-00000E000000}">
      <text>
        <r>
          <rPr>
            <b/>
            <sz val="9"/>
            <color indexed="81"/>
            <rFont val="Tahoma"/>
            <family val="2"/>
            <charset val="186"/>
          </rPr>
          <t>Autorius:</t>
        </r>
        <r>
          <rPr>
            <sz val="9"/>
            <color indexed="81"/>
            <rFont val="Tahoma"/>
            <family val="2"/>
            <charset val="186"/>
          </rPr>
          <t xml:space="preserve">
angliskai</t>
        </r>
      </text>
    </comment>
    <comment ref="J47" authorId="0" shapeId="0" xr:uid="{00000000-0006-0000-0100-00000F000000}">
      <text>
        <r>
          <rPr>
            <b/>
            <sz val="9"/>
            <color indexed="81"/>
            <rFont val="Tahoma"/>
            <family val="2"/>
            <charset val="186"/>
          </rPr>
          <t>Autorius:</t>
        </r>
        <r>
          <rPr>
            <sz val="9"/>
            <color indexed="81"/>
            <rFont val="Tahoma"/>
            <family val="2"/>
            <charset val="186"/>
          </rPr>
          <t xml:space="preserve">
Ar tikrai VVL? Nes ten, kur yra intervenciju lesos yra Visa Lietuva
</t>
        </r>
        <r>
          <rPr>
            <b/>
            <sz val="9"/>
            <color indexed="81"/>
            <rFont val="Tahoma"/>
            <family val="2"/>
            <charset val="186"/>
          </rPr>
          <t xml:space="preserve">Vaida Kazlauskienė: </t>
        </r>
        <r>
          <rPr>
            <sz val="9"/>
            <color indexed="81"/>
            <rFont val="Tahoma"/>
            <family val="2"/>
            <charset val="186"/>
          </rPr>
          <t>patikslinta</t>
        </r>
      </text>
    </comment>
    <comment ref="H48" authorId="0" shapeId="0" xr:uid="{00000000-0006-0000-0100-000010000000}">
      <text>
        <r>
          <rPr>
            <b/>
            <sz val="9"/>
            <color indexed="81"/>
            <rFont val="Tahoma"/>
            <family val="2"/>
            <charset val="186"/>
          </rPr>
          <t>Autorius:</t>
        </r>
        <r>
          <rPr>
            <sz val="9"/>
            <color indexed="81"/>
            <rFont val="Tahoma"/>
            <family val="2"/>
            <charset val="186"/>
          </rPr>
          <t xml:space="preserve">
produkto?</t>
        </r>
      </text>
    </comment>
    <comment ref="C49" authorId="0" shapeId="0" xr:uid="{00000000-0006-0000-0100-000011000000}">
      <text>
        <r>
          <rPr>
            <b/>
            <sz val="9"/>
            <color indexed="81"/>
            <rFont val="Tahoma"/>
            <family val="2"/>
            <charset val="186"/>
          </rPr>
          <t>Autorius:</t>
        </r>
        <r>
          <rPr>
            <sz val="9"/>
            <color indexed="81"/>
            <rFont val="Tahoma"/>
            <family val="2"/>
            <charset val="186"/>
          </rPr>
          <t xml:space="preserve">
išskirkit kiekvienam intervencijos kodui</t>
        </r>
      </text>
    </comment>
    <comment ref="D61" authorId="0" shapeId="0" xr:uid="{00000000-0006-0000-0100-000012000000}">
      <text>
        <r>
          <rPr>
            <b/>
            <sz val="9"/>
            <color indexed="81"/>
            <rFont val="Tahoma"/>
            <family val="2"/>
            <charset val="186"/>
          </rPr>
          <t>Autorius:</t>
        </r>
        <r>
          <rPr>
            <sz val="9"/>
            <color indexed="81"/>
            <rFont val="Tahoma"/>
            <family val="2"/>
            <charset val="186"/>
          </rPr>
          <t xml:space="preserve">
EK siūlo naudoti 2.1 uzdavinyje</t>
        </r>
      </text>
    </comment>
    <comment ref="D65" authorId="0" shapeId="0" xr:uid="{00000000-0006-0000-0100-000013000000}">
      <text>
        <r>
          <rPr>
            <b/>
            <sz val="9"/>
            <color indexed="81"/>
            <rFont val="Tahoma"/>
            <family val="2"/>
            <charset val="186"/>
          </rPr>
          <t>Autorius:</t>
        </r>
        <r>
          <rPr>
            <sz val="9"/>
            <color indexed="81"/>
            <rFont val="Tahoma"/>
            <family val="2"/>
            <charset val="186"/>
          </rPr>
          <t xml:space="preserve">
EK siūlo nadoti 2.3 uždavinyje</t>
        </r>
      </text>
    </comment>
    <comment ref="H65" authorId="0" shapeId="0" xr:uid="{00000000-0006-0000-0100-000014000000}">
      <text>
        <r>
          <rPr>
            <b/>
            <sz val="9"/>
            <color indexed="81"/>
            <rFont val="Tahoma"/>
            <family val="2"/>
            <charset val="186"/>
          </rPr>
          <t>Autorius:</t>
        </r>
        <r>
          <rPr>
            <sz val="9"/>
            <color indexed="81"/>
            <rFont val="Tahoma"/>
            <family val="2"/>
            <charset val="186"/>
          </rPr>
          <t xml:space="preserve">
kuris produkto, kuris rezultato?</t>
        </r>
      </text>
    </comment>
    <comment ref="C67" authorId="0" shapeId="0" xr:uid="{00000000-0006-0000-0100-000015000000}">
      <text>
        <r>
          <rPr>
            <b/>
            <sz val="9"/>
            <color indexed="81"/>
            <rFont val="Tahoma"/>
            <family val="2"/>
            <charset val="186"/>
          </rPr>
          <t>Autorius:</t>
        </r>
        <r>
          <rPr>
            <sz val="9"/>
            <color indexed="81"/>
            <rFont val="Tahoma"/>
            <family val="2"/>
            <charset val="186"/>
          </rPr>
          <t xml:space="preserve">
SM</t>
        </r>
      </text>
    </comment>
    <comment ref="C68" authorId="0" shapeId="0" xr:uid="{00000000-0006-0000-0100-000016000000}">
      <text>
        <r>
          <rPr>
            <b/>
            <sz val="9"/>
            <color indexed="81"/>
            <rFont val="Tahoma"/>
            <family val="2"/>
            <charset val="186"/>
          </rPr>
          <t>Autorius:</t>
        </r>
        <r>
          <rPr>
            <sz val="9"/>
            <color indexed="81"/>
            <rFont val="Tahoma"/>
            <family val="2"/>
            <charset val="186"/>
          </rPr>
          <t xml:space="preserve">
Visa Lietuva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E6" authorId="0" shapeId="0" xr:uid="{00000000-0006-0000-0200-000001000000}">
      <text>
        <r>
          <rPr>
            <b/>
            <sz val="9"/>
            <color indexed="81"/>
            <rFont val="Tahoma"/>
            <family val="2"/>
            <charset val="186"/>
          </rPr>
          <t>Autorius:</t>
        </r>
        <r>
          <rPr>
            <sz val="9"/>
            <color indexed="81"/>
            <rFont val="Tahoma"/>
            <family val="2"/>
            <charset val="186"/>
          </rPr>
          <t xml:space="preserve">
LT dalis</t>
        </r>
      </text>
    </comment>
    <comment ref="F6" authorId="0" shapeId="0" xr:uid="{00000000-0006-0000-0200-000002000000}">
      <text>
        <r>
          <rPr>
            <b/>
            <sz val="9"/>
            <color indexed="81"/>
            <rFont val="Tahoma"/>
            <family val="2"/>
            <charset val="186"/>
          </rPr>
          <t>Autorius:</t>
        </r>
        <r>
          <rPr>
            <sz val="9"/>
            <color indexed="81"/>
            <rFont val="Tahoma"/>
            <family val="2"/>
            <charset val="186"/>
          </rPr>
          <t xml:space="preserve">
ES+LT</t>
        </r>
      </text>
    </comment>
    <comment ref="E7" authorId="0" shapeId="0" xr:uid="{00000000-0006-0000-0200-000003000000}">
      <text>
        <r>
          <rPr>
            <b/>
            <sz val="9"/>
            <color indexed="81"/>
            <rFont val="Tahoma"/>
            <family val="2"/>
            <charset val="186"/>
          </rPr>
          <t>Autorius:</t>
        </r>
        <r>
          <rPr>
            <sz val="9"/>
            <color indexed="81"/>
            <rFont val="Tahoma"/>
            <family val="2"/>
            <charset val="186"/>
          </rPr>
          <t xml:space="preserve">
Jus paskaiciavote 70, as randu, kad 85 proc.</t>
        </r>
      </text>
    </comment>
    <comment ref="I7" authorId="0" shapeId="0" xr:uid="{00000000-0006-0000-0200-000004000000}">
      <text>
        <r>
          <rPr>
            <b/>
            <sz val="9"/>
            <color indexed="81"/>
            <rFont val="Tahoma"/>
            <family val="2"/>
            <charset val="186"/>
          </rPr>
          <t>Autorius:</t>
        </r>
        <r>
          <rPr>
            <sz val="9"/>
            <color indexed="81"/>
            <rFont val="Tahoma"/>
            <family val="2"/>
            <charset val="186"/>
          </rPr>
          <t xml:space="preserve">
angliskai</t>
        </r>
      </text>
    </comment>
    <comment ref="L7" authorId="0" shapeId="0" xr:uid="{00000000-0006-0000-0200-000005000000}">
      <text>
        <r>
          <rPr>
            <b/>
            <sz val="9"/>
            <color indexed="81"/>
            <rFont val="Tahoma"/>
            <family val="2"/>
            <charset val="186"/>
          </rPr>
          <t>Autorius:</t>
        </r>
        <r>
          <rPr>
            <sz val="9"/>
            <color indexed="81"/>
            <rFont val="Tahoma"/>
            <family val="2"/>
            <charset val="186"/>
          </rPr>
          <t xml:space="preserve">
angliskai</t>
        </r>
      </text>
    </comment>
    <comment ref="O7" authorId="0" shapeId="0" xr:uid="{00000000-0006-0000-0200-000006000000}">
      <text>
        <r>
          <rPr>
            <b/>
            <sz val="9"/>
            <color indexed="81"/>
            <rFont val="Tahoma"/>
            <family val="2"/>
            <charset val="186"/>
          </rPr>
          <t>Autorius:</t>
        </r>
        <r>
          <rPr>
            <sz val="9"/>
            <color indexed="81"/>
            <rFont val="Tahoma"/>
            <family val="2"/>
            <charset val="186"/>
          </rPr>
          <t xml:space="preserve">
n/a rezultato rodikliui</t>
        </r>
      </text>
    </comment>
    <comment ref="H8" authorId="0" shapeId="0" xr:uid="{00000000-0006-0000-0200-000007000000}">
      <text>
        <r>
          <rPr>
            <b/>
            <sz val="9"/>
            <color indexed="81"/>
            <rFont val="Tahoma"/>
            <family val="2"/>
            <charset val="186"/>
          </rPr>
          <t>Autorius:</t>
        </r>
        <r>
          <rPr>
            <sz val="9"/>
            <color indexed="81"/>
            <rFont val="Tahoma"/>
            <family val="2"/>
            <charset val="186"/>
          </rPr>
          <t xml:space="preserve">
produkto?</t>
        </r>
      </text>
    </comment>
    <comment ref="N8" authorId="0" shapeId="0" xr:uid="{00000000-0006-0000-0200-000008000000}">
      <text>
        <r>
          <rPr>
            <b/>
            <sz val="9"/>
            <color indexed="81"/>
            <rFont val="Tahoma"/>
            <family val="2"/>
            <charset val="186"/>
          </rPr>
          <t>Autorius:</t>
        </r>
        <r>
          <rPr>
            <sz val="9"/>
            <color indexed="81"/>
            <rFont val="Tahoma"/>
            <family val="2"/>
            <charset val="186"/>
          </rPr>
          <t xml:space="preserve">
n/a produkto rodikliui</t>
        </r>
      </text>
    </comment>
    <comment ref="H9" authorId="0" shapeId="0" xr:uid="{00000000-0006-0000-0200-000009000000}">
      <text>
        <r>
          <rPr>
            <b/>
            <sz val="9"/>
            <color indexed="81"/>
            <rFont val="Tahoma"/>
            <family val="2"/>
            <charset val="186"/>
          </rPr>
          <t>Autorius:</t>
        </r>
        <r>
          <rPr>
            <sz val="9"/>
            <color indexed="81"/>
            <rFont val="Tahoma"/>
            <family val="2"/>
            <charset val="186"/>
          </rPr>
          <t xml:space="preserve">
produkto?</t>
        </r>
      </text>
    </comment>
    <comment ref="N9" authorId="0" shapeId="0" xr:uid="{00000000-0006-0000-0200-00000A000000}">
      <text>
        <r>
          <rPr>
            <b/>
            <sz val="9"/>
            <color indexed="81"/>
            <rFont val="Tahoma"/>
            <family val="2"/>
            <charset val="186"/>
          </rPr>
          <t>Autorius:</t>
        </r>
        <r>
          <rPr>
            <sz val="9"/>
            <color indexed="81"/>
            <rFont val="Tahoma"/>
            <family val="2"/>
            <charset val="186"/>
          </rPr>
          <t xml:space="preserve">
n/a produkto rodikliui</t>
        </r>
      </text>
    </comment>
    <comment ref="E10" authorId="0" shapeId="0" xr:uid="{00000000-0006-0000-0200-00000B000000}">
      <text>
        <r>
          <rPr>
            <b/>
            <sz val="9"/>
            <color indexed="81"/>
            <rFont val="Tahoma"/>
            <family val="2"/>
            <charset val="186"/>
          </rPr>
          <t>Autorius:</t>
        </r>
        <r>
          <rPr>
            <sz val="9"/>
            <color indexed="81"/>
            <rFont val="Tahoma"/>
            <family val="2"/>
            <charset val="186"/>
          </rPr>
          <t xml:space="preserve">
Jus paskaiciavote 70, as randu, kad 85 proc.</t>
        </r>
      </text>
    </comment>
    <comment ref="I10" authorId="0" shapeId="0" xr:uid="{00000000-0006-0000-0200-00000C000000}">
      <text>
        <r>
          <rPr>
            <b/>
            <sz val="9"/>
            <color indexed="81"/>
            <rFont val="Tahoma"/>
            <family val="2"/>
            <charset val="186"/>
          </rPr>
          <t>Autorius:</t>
        </r>
        <r>
          <rPr>
            <sz val="9"/>
            <color indexed="81"/>
            <rFont val="Tahoma"/>
            <family val="2"/>
            <charset val="186"/>
          </rPr>
          <t xml:space="preserve">
angliskai</t>
        </r>
      </text>
    </comment>
    <comment ref="L10" authorId="0" shapeId="0" xr:uid="{00000000-0006-0000-0200-00000D000000}">
      <text>
        <r>
          <rPr>
            <b/>
            <sz val="9"/>
            <color indexed="81"/>
            <rFont val="Tahoma"/>
            <family val="2"/>
            <charset val="186"/>
          </rPr>
          <t>Autorius:</t>
        </r>
        <r>
          <rPr>
            <sz val="9"/>
            <color indexed="81"/>
            <rFont val="Tahoma"/>
            <family val="2"/>
            <charset val="186"/>
          </rPr>
          <t xml:space="preserve">
a ngliskai</t>
        </r>
      </text>
    </comment>
    <comment ref="N10" authorId="0" shapeId="0" xr:uid="{00000000-0006-0000-0200-00000E000000}">
      <text>
        <r>
          <rPr>
            <b/>
            <sz val="9"/>
            <color indexed="81"/>
            <rFont val="Tahoma"/>
            <family val="2"/>
            <charset val="186"/>
          </rPr>
          <t>Autorius:</t>
        </r>
        <r>
          <rPr>
            <sz val="9"/>
            <color indexed="81"/>
            <rFont val="Tahoma"/>
            <family val="2"/>
            <charset val="186"/>
          </rPr>
          <t xml:space="preserve">
n/a produkto rodikliams</t>
        </r>
      </text>
    </comment>
    <comment ref="I11" authorId="0" shapeId="0" xr:uid="{00000000-0006-0000-0200-00000F000000}">
      <text>
        <r>
          <rPr>
            <b/>
            <sz val="9"/>
            <color indexed="81"/>
            <rFont val="Tahoma"/>
            <family val="2"/>
            <charset val="186"/>
          </rPr>
          <t>Autorius:</t>
        </r>
        <r>
          <rPr>
            <sz val="9"/>
            <color indexed="81"/>
            <rFont val="Tahoma"/>
            <family val="2"/>
            <charset val="186"/>
          </rPr>
          <t xml:space="preserve">
angliskai</t>
        </r>
      </text>
    </comment>
    <comment ref="L11" authorId="0" shapeId="0" xr:uid="{00000000-0006-0000-0200-000010000000}">
      <text>
        <r>
          <rPr>
            <b/>
            <sz val="9"/>
            <color indexed="81"/>
            <rFont val="Tahoma"/>
            <family val="2"/>
            <charset val="186"/>
          </rPr>
          <t>Autorius:</t>
        </r>
        <r>
          <rPr>
            <sz val="9"/>
            <color indexed="81"/>
            <rFont val="Tahoma"/>
            <family val="2"/>
            <charset val="186"/>
          </rPr>
          <t xml:space="preserve">
angliskai</t>
        </r>
      </text>
    </comment>
    <comment ref="I12" authorId="0" shapeId="0" xr:uid="{00000000-0006-0000-0200-000011000000}">
      <text>
        <r>
          <rPr>
            <b/>
            <sz val="9"/>
            <color indexed="81"/>
            <rFont val="Tahoma"/>
            <family val="2"/>
            <charset val="186"/>
          </rPr>
          <t>Autorius:</t>
        </r>
        <r>
          <rPr>
            <sz val="9"/>
            <color indexed="81"/>
            <rFont val="Tahoma"/>
            <family val="2"/>
            <charset val="186"/>
          </rPr>
          <t xml:space="preserve">
angliskai</t>
        </r>
      </text>
    </comment>
    <comment ref="L12" authorId="0" shapeId="0" xr:uid="{00000000-0006-0000-0200-000012000000}">
      <text>
        <r>
          <rPr>
            <b/>
            <sz val="9"/>
            <color indexed="81"/>
            <rFont val="Tahoma"/>
            <family val="2"/>
            <charset val="186"/>
          </rPr>
          <t>Autorius:</t>
        </r>
        <r>
          <rPr>
            <sz val="9"/>
            <color indexed="81"/>
            <rFont val="Tahoma"/>
            <family val="2"/>
            <charset val="186"/>
          </rPr>
          <t xml:space="preserve">
users</t>
        </r>
      </text>
    </comment>
    <comment ref="C13" authorId="0" shapeId="0" xr:uid="{00000000-0006-0000-0200-00001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C16" authorId="0" shapeId="0" xr:uid="{00000000-0006-0000-0200-000014000000}">
      <text>
        <r>
          <rPr>
            <b/>
            <sz val="9"/>
            <color indexed="81"/>
            <rFont val="Tahoma"/>
            <family val="2"/>
            <charset val="186"/>
          </rPr>
          <t>Autorius:</t>
        </r>
        <r>
          <rPr>
            <sz val="9"/>
            <color indexed="81"/>
            <rFont val="Tahoma"/>
            <family val="2"/>
            <charset val="186"/>
          </rPr>
          <t xml:space="preserve">
VVL</t>
        </r>
      </text>
    </comment>
    <comment ref="C17" authorId="0" shapeId="0" xr:uid="{00000000-0006-0000-0200-000015000000}">
      <text>
        <r>
          <rPr>
            <b/>
            <sz val="9"/>
            <color indexed="81"/>
            <rFont val="Tahoma"/>
            <family val="2"/>
            <charset val="186"/>
          </rPr>
          <t>Autorius:</t>
        </r>
        <r>
          <rPr>
            <sz val="9"/>
            <color indexed="81"/>
            <rFont val="Tahoma"/>
            <family val="2"/>
            <charset val="186"/>
          </rPr>
          <t xml:space="preserve">
Visa Lietuva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A6" authorId="0" shapeId="0" xr:uid="{00000000-0006-0000-0300-000001000000}">
      <text>
        <r>
          <rPr>
            <b/>
            <sz val="9"/>
            <color indexed="81"/>
            <rFont val="Tahoma"/>
            <family val="2"/>
            <charset val="186"/>
          </rPr>
          <t>Autorius:
atitinkančius kibernetinio ir fizinio saugumo reikalavimus pagal atliktą investicinių poreikių analizę identifikuotuose „baltosiose dėmėse“, prioritetą teikiant vietovėse, kuriose tinklų diegimas nėra ekonomiškai naudingas, kad užtikrintų tolygią elektroninių ryšių tinklų plėtrą bei diegti naujas interneto ryšio technologijas (5G ir 6G), siekiant skaitmeninės ekonomikos transformacijos . Didelio pralaidumo plačiajuosčio ryšio tinklų plėtojimą numatoma įgyvendinti Vidurio ir Vakarų Lietuvos regione. Naujos interneto ryšio technologijos bus diegiamos Vidurio ir Vakarų Lietuvos regione ir Sostinės regione.</t>
        </r>
      </text>
    </comment>
    <comment ref="I6" authorId="0" shapeId="0" xr:uid="{00000000-0006-0000-0300-000002000000}">
      <text>
        <r>
          <rPr>
            <b/>
            <sz val="9"/>
            <color indexed="81"/>
            <rFont val="Tahoma"/>
            <family val="2"/>
            <charset val="186"/>
          </rPr>
          <t>Autorius:</t>
        </r>
        <r>
          <rPr>
            <sz val="9"/>
            <color indexed="81"/>
            <rFont val="Tahoma"/>
            <family val="2"/>
            <charset val="186"/>
          </rPr>
          <t xml:space="preserve">
angliskai idekit</t>
        </r>
      </text>
    </comment>
    <comment ref="N6" authorId="0" shapeId="0" xr:uid="{00000000-0006-0000-0300-000003000000}">
      <text>
        <r>
          <rPr>
            <b/>
            <sz val="9"/>
            <color indexed="81"/>
            <rFont val="Tahoma"/>
            <family val="2"/>
            <charset val="186"/>
          </rPr>
          <t>Autorius:</t>
        </r>
        <r>
          <rPr>
            <sz val="9"/>
            <color indexed="81"/>
            <rFont val="Tahoma"/>
            <family val="2"/>
            <charset val="186"/>
          </rPr>
          <t xml:space="preserve">
produkto rodikliams n/a</t>
        </r>
      </text>
    </comment>
    <comment ref="I7" authorId="0" shapeId="0" xr:uid="{00000000-0006-0000-0300-000004000000}">
      <text>
        <r>
          <rPr>
            <b/>
            <sz val="9"/>
            <color indexed="81"/>
            <rFont val="Tahoma"/>
            <family val="2"/>
            <charset val="186"/>
          </rPr>
          <t>Autorius:</t>
        </r>
        <r>
          <rPr>
            <sz val="9"/>
            <color indexed="81"/>
            <rFont val="Tahoma"/>
            <family val="2"/>
            <charset val="186"/>
          </rPr>
          <t xml:space="preserve">
angliskai idekite</t>
        </r>
      </text>
    </comment>
    <comment ref="N7" authorId="0" shapeId="0" xr:uid="{00000000-0006-0000-0300-000005000000}">
      <text>
        <r>
          <rPr>
            <b/>
            <sz val="9"/>
            <color indexed="81"/>
            <rFont val="Tahoma"/>
            <family val="2"/>
            <charset val="186"/>
          </rPr>
          <t>Autorius:</t>
        </r>
        <r>
          <rPr>
            <sz val="9"/>
            <color indexed="81"/>
            <rFont val="Tahoma"/>
            <family val="2"/>
            <charset val="186"/>
          </rPr>
          <t xml:space="preserve">
n/a</t>
        </r>
      </text>
    </comment>
    <comment ref="I8" authorId="0" shapeId="0" xr:uid="{00000000-0006-0000-0300-000006000000}">
      <text>
        <r>
          <rPr>
            <b/>
            <sz val="9"/>
            <color indexed="81"/>
            <rFont val="Tahoma"/>
            <family val="2"/>
            <charset val="186"/>
          </rPr>
          <t>Autorius:</t>
        </r>
        <r>
          <rPr>
            <sz val="9"/>
            <color indexed="81"/>
            <rFont val="Tahoma"/>
            <family val="2"/>
            <charset val="186"/>
          </rPr>
          <t xml:space="preserve">
angliskai idekite</t>
        </r>
      </text>
    </comment>
    <comment ref="O8" authorId="0" shapeId="0" xr:uid="{00000000-0006-0000-0300-000007000000}">
      <text>
        <r>
          <rPr>
            <b/>
            <sz val="9"/>
            <color indexed="81"/>
            <rFont val="Tahoma"/>
            <family val="2"/>
            <charset val="186"/>
          </rPr>
          <t>Autorius:</t>
        </r>
        <r>
          <rPr>
            <sz val="9"/>
            <color indexed="81"/>
            <rFont val="Tahoma"/>
            <family val="2"/>
            <charset val="186"/>
          </rPr>
          <t xml:space="preserve">
rezultato rodikliams n/a (ziureti fishes)</t>
        </r>
      </text>
    </comment>
    <comment ref="P8" authorId="0" shapeId="0" xr:uid="{00000000-0006-0000-0300-000008000000}">
      <text>
        <r>
          <rPr>
            <b/>
            <sz val="9"/>
            <color indexed="81"/>
            <rFont val="Tahoma"/>
            <family val="2"/>
            <charset val="186"/>
          </rPr>
          <t>Autorius:</t>
        </r>
        <r>
          <rPr>
            <sz val="9"/>
            <color indexed="81"/>
            <rFont val="Tahoma"/>
            <family val="2"/>
            <charset val="186"/>
          </rPr>
          <t xml:space="preserve">
o kodel galvojate, kad tik 20 proc?
</t>
        </r>
        <r>
          <rPr>
            <b/>
            <sz val="9"/>
            <color indexed="81"/>
            <rFont val="Tahoma"/>
            <family val="2"/>
            <charset val="186"/>
          </rPr>
          <t>Vaida. Kazlauskienė</t>
        </r>
        <r>
          <rPr>
            <sz val="9"/>
            <color indexed="81"/>
            <rFont val="Tahoma"/>
            <family val="2"/>
            <charset val="186"/>
          </rPr>
          <t xml:space="preserve">: planuojama, kad prisijungs 80 proc. </t>
        </r>
      </text>
    </comment>
    <comment ref="O9" authorId="0" shapeId="0" xr:uid="{00000000-0006-0000-0300-000009000000}">
      <text>
        <r>
          <rPr>
            <b/>
            <sz val="9"/>
            <color indexed="81"/>
            <rFont val="Tahoma"/>
            <family val="2"/>
            <charset val="186"/>
          </rPr>
          <t>Autorius:</t>
        </r>
        <r>
          <rPr>
            <sz val="9"/>
            <color indexed="81"/>
            <rFont val="Tahoma"/>
            <family val="2"/>
            <charset val="186"/>
          </rPr>
          <t xml:space="preserve">
n/a</t>
        </r>
      </text>
    </comment>
    <comment ref="P9" authorId="0" shapeId="0" xr:uid="{00000000-0006-0000-0300-00000A000000}">
      <text>
        <r>
          <rPr>
            <b/>
            <sz val="9"/>
            <color indexed="81"/>
            <rFont val="Tahoma"/>
            <family val="2"/>
            <charset val="186"/>
          </rPr>
          <t>Autorius:</t>
        </r>
        <r>
          <rPr>
            <sz val="9"/>
            <color indexed="81"/>
            <rFont val="Tahoma"/>
            <family val="2"/>
            <charset val="186"/>
          </rPr>
          <t xml:space="preserve">
kodel tik 20 proc.?
</t>
        </r>
        <r>
          <rPr>
            <b/>
            <sz val="9"/>
            <color indexed="81"/>
            <rFont val="Tahoma"/>
            <family val="2"/>
            <charset val="186"/>
          </rPr>
          <t xml:space="preserve">
Vaida Kazlauskienė: </t>
        </r>
        <r>
          <rPr>
            <sz val="9"/>
            <color indexed="81"/>
            <rFont val="Tahoma"/>
            <family val="2"/>
            <charset val="186"/>
          </rPr>
          <t xml:space="preserve">planuojama, kad prisijungs 80 proc. </t>
        </r>
      </text>
    </comment>
    <comment ref="I12" authorId="0" shapeId="0" xr:uid="{00000000-0006-0000-0300-00000B000000}">
      <text>
        <r>
          <rPr>
            <b/>
            <sz val="9"/>
            <color indexed="81"/>
            <rFont val="Tahoma"/>
            <family val="2"/>
            <charset val="186"/>
          </rPr>
          <t>Autorius:</t>
        </r>
        <r>
          <rPr>
            <sz val="9"/>
            <color indexed="81"/>
            <rFont val="Tahoma"/>
            <family val="2"/>
            <charset val="186"/>
          </rPr>
          <t xml:space="preserve">
angliskai idekite</t>
        </r>
      </text>
    </comment>
    <comment ref="I16" authorId="0" shapeId="0" xr:uid="{00000000-0006-0000-0300-00000C000000}">
      <text>
        <r>
          <rPr>
            <b/>
            <sz val="9"/>
            <color indexed="81"/>
            <rFont val="Tahoma"/>
            <family val="2"/>
            <charset val="186"/>
          </rPr>
          <t>Autorius:</t>
        </r>
        <r>
          <rPr>
            <sz val="9"/>
            <color indexed="81"/>
            <rFont val="Tahoma"/>
            <family val="2"/>
            <charset val="186"/>
          </rPr>
          <t xml:space="preserve">
angliskai idekite</t>
        </r>
      </text>
    </comment>
    <comment ref="I20" authorId="0" shapeId="0" xr:uid="{00000000-0006-0000-0300-00000D000000}">
      <text>
        <r>
          <rPr>
            <b/>
            <sz val="9"/>
            <color indexed="81"/>
            <rFont val="Tahoma"/>
            <family val="2"/>
            <charset val="186"/>
          </rPr>
          <t>Autorius:</t>
        </r>
        <r>
          <rPr>
            <sz val="9"/>
            <color indexed="81"/>
            <rFont val="Tahoma"/>
            <family val="2"/>
            <charset val="186"/>
          </rPr>
          <t xml:space="preserve">
angliskai idekite</t>
        </r>
      </text>
    </comment>
    <comment ref="I24" authorId="0" shapeId="0" xr:uid="{00000000-0006-0000-0300-00000E000000}">
      <text>
        <r>
          <rPr>
            <b/>
            <sz val="9"/>
            <color indexed="81"/>
            <rFont val="Tahoma"/>
            <family val="2"/>
            <charset val="186"/>
          </rPr>
          <t>Autorius:</t>
        </r>
        <r>
          <rPr>
            <sz val="9"/>
            <color indexed="81"/>
            <rFont val="Tahoma"/>
            <family val="2"/>
            <charset val="186"/>
          </rPr>
          <t xml:space="preserve">
angliskai idekite</t>
        </r>
      </text>
    </comment>
    <comment ref="I28" authorId="0" shapeId="0" xr:uid="{00000000-0006-0000-0300-00000F000000}">
      <text>
        <r>
          <rPr>
            <b/>
            <sz val="9"/>
            <color indexed="81"/>
            <rFont val="Tahoma"/>
            <family val="2"/>
            <charset val="186"/>
          </rPr>
          <t>Autorius:</t>
        </r>
        <r>
          <rPr>
            <sz val="9"/>
            <color indexed="81"/>
            <rFont val="Tahoma"/>
            <family val="2"/>
            <charset val="186"/>
          </rPr>
          <t xml:space="preserve">
angliskai idekite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Autorius</author>
    <author>tc={3FAE42A8-F0BE-458B-A7E8-0DFB8D7B3637}</author>
  </authors>
  <commentList>
    <comment ref="P7" authorId="0" shapeId="0" xr:uid="{00000000-0006-0000-0400-000001000000}">
      <text>
        <r>
          <rPr>
            <b/>
            <sz val="9"/>
            <color indexed="81"/>
            <rFont val="Tahoma"/>
            <family val="2"/>
            <charset val="186"/>
          </rPr>
          <t>Autorius:</t>
        </r>
        <r>
          <rPr>
            <sz val="9"/>
            <color indexed="81"/>
            <rFont val="Tahoma"/>
            <family val="2"/>
            <charset val="186"/>
          </rPr>
          <t xml:space="preserve">
0,01</t>
        </r>
      </text>
    </comment>
    <comment ref="P10" authorId="1" shapeId="0" xr:uid="{3FAE42A8-F0BE-458B-A7E8-0DFB8D7B3637}">
      <text>
        <t>[Komentarų gija]
„Excel“ versija leidžia jums skaityti šią komentarų giją, tačiau visi jos taisymai bus pašalinti, jei failas atidaromas naudojant naujesnę „Excel“ versiją. Daugiau informacijos: https://go.microsoft.com/fwlink/?linkid=870924.
Komentaras:
    25-2, dėl pabrangusių pervažų įrengimo darbų kainų</t>
      </text>
    </comment>
    <comment ref="P11" authorId="0" shapeId="0" xr:uid="{00000000-0006-0000-0400-000002000000}">
      <text>
        <r>
          <rPr>
            <b/>
            <sz val="9"/>
            <color indexed="81"/>
            <rFont val="Tahoma"/>
            <family val="2"/>
            <charset val="186"/>
          </rPr>
          <t>Autorius:</t>
        </r>
        <r>
          <rPr>
            <sz val="9"/>
            <color indexed="81"/>
            <rFont val="Tahoma"/>
            <family val="2"/>
            <charset val="186"/>
          </rPr>
          <t xml:space="preserve">
0,01</t>
        </r>
      </text>
    </comment>
    <comment ref="P14" authorId="0" shapeId="0" xr:uid="{7F5617BA-E65D-4C36-BAE6-FB59D39EFEA9}">
      <text>
        <r>
          <rPr>
            <b/>
            <sz val="9"/>
            <color indexed="81"/>
            <rFont val="Tahoma"/>
            <family val="2"/>
            <charset val="186"/>
          </rPr>
          <t>Autorius:</t>
        </r>
        <r>
          <rPr>
            <sz val="9"/>
            <color indexed="81"/>
            <rFont val="Tahoma"/>
            <family val="2"/>
            <charset val="186"/>
          </rPr>
          <t xml:space="preserve">
0,01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E6" authorId="0" shapeId="0" xr:uid="{00000000-0006-0000-0500-000001000000}">
      <text>
        <r>
          <rPr>
            <b/>
            <sz val="9"/>
            <color indexed="81"/>
            <rFont val="Tahoma"/>
            <family val="2"/>
            <charset val="186"/>
          </rPr>
          <t>Autorius:</t>
        </r>
        <r>
          <rPr>
            <sz val="9"/>
            <color indexed="81"/>
            <rFont val="Tahoma"/>
            <family val="2"/>
            <charset val="186"/>
          </rPr>
          <t xml:space="preserve">
LT dalis</t>
        </r>
      </text>
    </comment>
    <comment ref="F6" authorId="0" shapeId="0" xr:uid="{00000000-0006-0000-0500-000002000000}">
      <text>
        <r>
          <rPr>
            <b/>
            <sz val="9"/>
            <color indexed="81"/>
            <rFont val="Tahoma"/>
            <family val="2"/>
            <charset val="186"/>
          </rPr>
          <t>Autorius:</t>
        </r>
        <r>
          <rPr>
            <sz val="9"/>
            <color indexed="81"/>
            <rFont val="Tahoma"/>
            <family val="2"/>
            <charset val="186"/>
          </rPr>
          <t xml:space="preserve">
ES+LT</t>
        </r>
      </text>
    </comment>
    <comment ref="C7" authorId="0" shapeId="0" xr:uid="{00000000-0006-0000-0500-00000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A9" authorId="0" shapeId="0" xr:uid="{00000000-0006-0000-0500-000004000000}">
      <text>
        <r>
          <rPr>
            <b/>
            <sz val="9"/>
            <color indexed="81"/>
            <rFont val="Tahoma"/>
            <family val="2"/>
            <charset val="186"/>
          </rPr>
          <t>Autorius:</t>
        </r>
        <r>
          <rPr>
            <sz val="9"/>
            <color indexed="81"/>
            <rFont val="Tahoma"/>
            <family val="2"/>
            <charset val="186"/>
          </rPr>
          <t xml:space="preserve">
 atsizvelgiant I EK komentara: Please also note that the investments to cycling and walking paths if they are in the city should be programmed under the SO 2.8 ‘Promoting sustainable multi-modal urban mobility’ and be part of the cities’ respective urban development strategies and SUMPs and the cycling paths outside of the cities could be programmed under the PO3 SO 3.3.
Perkelta veikla is 3.3.</t>
        </r>
      </text>
    </comment>
    <comment ref="L10" authorId="0" shapeId="0" xr:uid="{00000000-0006-0000-0500-000005000000}">
      <text>
        <r>
          <rPr>
            <b/>
            <sz val="9"/>
            <color indexed="81"/>
            <rFont val="Tahoma"/>
            <family val="2"/>
            <charset val="186"/>
          </rPr>
          <t>Autorius:</t>
        </r>
        <r>
          <rPr>
            <sz val="9"/>
            <color indexed="81"/>
            <rFont val="Tahoma"/>
            <family val="2"/>
            <charset val="186"/>
          </rPr>
          <t xml:space="preserve">
users
</t>
        </r>
        <r>
          <rPr>
            <b/>
            <sz val="9"/>
            <color indexed="81"/>
            <rFont val="Tahoma"/>
            <family val="2"/>
            <charset val="186"/>
          </rPr>
          <t>Vaida Kazlauskienė</t>
        </r>
        <r>
          <rPr>
            <sz val="9"/>
            <color indexed="81"/>
            <rFont val="Tahoma"/>
            <family val="2"/>
            <charset val="186"/>
          </rPr>
          <t>: Naujausioje Jasper rodiklių apskaičiavimo metodikoje nurodyti patikslinti rodiklių matavimo vnt.</t>
        </r>
      </text>
    </comment>
    <comment ref="O10" authorId="0" shapeId="0" xr:uid="{00000000-0006-0000-0500-000006000000}">
      <text>
        <r>
          <rPr>
            <b/>
            <sz val="9"/>
            <color indexed="81"/>
            <rFont val="Tahoma"/>
            <family val="2"/>
            <charset val="186"/>
          </rPr>
          <t>Autorius:</t>
        </r>
        <r>
          <rPr>
            <sz val="9"/>
            <color indexed="81"/>
            <rFont val="Tahoma"/>
            <family val="2"/>
            <charset val="186"/>
          </rPr>
          <t xml:space="preserve">
not required</t>
        </r>
      </text>
    </comment>
    <comment ref="C12" authorId="0" shapeId="0" xr:uid="{00000000-0006-0000-0500-000007000000}">
      <text>
        <r>
          <rPr>
            <b/>
            <sz val="9"/>
            <color indexed="81"/>
            <rFont val="Tahoma"/>
            <family val="2"/>
            <charset val="186"/>
          </rPr>
          <t>Autorius:</t>
        </r>
        <r>
          <rPr>
            <sz val="9"/>
            <color indexed="81"/>
            <rFont val="Tahoma"/>
            <family val="2"/>
            <charset val="186"/>
          </rPr>
          <t xml:space="preserve">
VVL</t>
        </r>
      </text>
    </comment>
    <comment ref="C13" authorId="0" shapeId="0" xr:uid="{00000000-0006-0000-0500-000008000000}">
      <text>
        <r>
          <rPr>
            <b/>
            <sz val="9"/>
            <color indexed="81"/>
            <rFont val="Tahoma"/>
            <family val="2"/>
            <charset val="186"/>
          </rPr>
          <t>Autorius:</t>
        </r>
        <r>
          <rPr>
            <sz val="9"/>
            <color indexed="81"/>
            <rFont val="Tahoma"/>
            <family val="2"/>
            <charset val="186"/>
          </rPr>
          <t xml:space="preserve">
Visa Lietuva</t>
        </r>
      </text>
    </comment>
  </commentList>
</comments>
</file>

<file path=xl/sharedStrings.xml><?xml version="1.0" encoding="utf-8"?>
<sst xmlns="http://schemas.openxmlformats.org/spreadsheetml/2006/main" count="1881" uniqueCount="519">
  <si>
    <t>4 lentelė. 1 matmuo. Intervencinių priemonių sritis</t>
  </si>
  <si>
    <t>Prioriteto Nr.</t>
  </si>
  <si>
    <t>Fondas</t>
  </si>
  <si>
    <t>Regiono kategorija</t>
  </si>
  <si>
    <t>Konkretus uždavinys</t>
  </si>
  <si>
    <t xml:space="preserve">Kodas </t>
  </si>
  <si>
    <t>Suma (EUR)</t>
  </si>
  <si>
    <t>po korekcijos 10.01 = LAKD</t>
  </si>
  <si>
    <t>po korekcijos 11-18</t>
  </si>
  <si>
    <t>2.2.3      2.2.4</t>
  </si>
  <si>
    <t xml:space="preserve">1.Skatinti transporto sektoriuje naudoti AEI, įrengiant alternatyvių degalų užpildymo/įkrovimo infrastruktūrą                                                                                                                                                                                                      2.  Skatinti transporto sektoriuje AEI naudojimą, įsigyjant, pagaminant ir (ar) pritaikant transporto priemones, naudojančias alternatyvius degalus, </t>
  </si>
  <si>
    <t>ERPF</t>
  </si>
  <si>
    <t>Vidurio Vakarų Lietuva</t>
  </si>
  <si>
    <t>2.2</t>
  </si>
  <si>
    <t>077</t>
  </si>
  <si>
    <t>077 Alternatyviųjų degalų infrastruktūra</t>
  </si>
  <si>
    <t xml:space="preserve">2 prioritetas ERPF         103 039 200                       2 prioritetas SaF           175 682 600              </t>
  </si>
  <si>
    <t>SaF</t>
  </si>
  <si>
    <t>-</t>
  </si>
  <si>
    <t>2.8.1</t>
  </si>
  <si>
    <t xml:space="preserve">Įgyvendinti Darnaus judumo planuose (angl. SUMP) numatytas darnaus judumo priemones miestuose bei rajonų savivaldybėse </t>
  </si>
  <si>
    <t>2.8</t>
  </si>
  <si>
    <t>073</t>
  </si>
  <si>
    <t>73 Švaraus miesto transporto infrastruktūra</t>
  </si>
  <si>
    <t>SAF</t>
  </si>
  <si>
    <t>2.8.2</t>
  </si>
  <si>
    <t>Skatinti gyventojus naudotis viešuoju transportu, Įsigyjantti AEI naudojančias vietinio susisiekimo viešojo transporto priemones</t>
  </si>
  <si>
    <t>074</t>
  </si>
  <si>
    <t>074 Švaraus miesto transporto riedmenys</t>
  </si>
  <si>
    <t xml:space="preserve">2.8.3. </t>
  </si>
  <si>
    <t>Plėtoti dviračių ir pėsčiųjų infrastruktūrą miestuose ir priemiesčiuose (savivaldybės)</t>
  </si>
  <si>
    <t>075</t>
  </si>
  <si>
    <t>075 Dviračių infrastruktūra</t>
  </si>
  <si>
    <t>3.1.1</t>
  </si>
  <si>
    <t>Plėtoti itin didelio pralaidumo plačiajuosčio ryšio tinklus, atitinkančius kibernetinio ir fizinio saugumo reikalavimus pagal atliktą investicinių poreikių analizę identifikuotuose „baltosiose dėmėse</t>
  </si>
  <si>
    <t>051</t>
  </si>
  <si>
    <t xml:space="preserve"> 051 IRT: itin didelio pajėgumo plačiajuosčio ryšio tinklas (pagrindinis / tranzitinis tinklas) </t>
  </si>
  <si>
    <t xml:space="preserve">3 prioritetas ERPF        110 017 360                 3 prioritetas SaF           406 290 000                   </t>
  </si>
  <si>
    <t>Sostinės regionas</t>
  </si>
  <si>
    <t>3.1</t>
  </si>
  <si>
    <t>052</t>
  </si>
  <si>
    <t>052 IRT: itin didelio pajėgumo plačiajuosčio ryšio tinklas (prieigos / vietinė linija, kurios efektyvumas lygus optinių skaidulinių kabelių įrenginiams iki paskirstymo taško aptarnaujamojoje vietoje daugiabučiuose pastatuose)</t>
  </si>
  <si>
    <t>053</t>
  </si>
  <si>
    <t xml:space="preserve">053 IRT: itin didelio pajėgumo plačiajuosčio ryšio tinklas (prieigos / vietinė linija, kurios efektyvumas lygus optinių skaidulinių kabelių įrenginiams iki paskirstymo taško aptarnaujamojoje vietoje namuose ir verslo patalpose)  </t>
  </si>
  <si>
    <t>054</t>
  </si>
  <si>
    <t xml:space="preserve">054 	IRT: itin didelio pajėgumo plačiajuosčio ryšio tinklas (prieigos / vietinė linija, kurios efektyvumas lygus optinių skaidulinių kabelių įrenginiams iki bazinės stoties pažangiam belaidžiam ryšiui) </t>
  </si>
  <si>
    <t>3.2.1</t>
  </si>
  <si>
    <t xml:space="preserve">tiesti, atnaujinti, tobulinti ir plėtoti TEN-T tinklo geležinkelių infrastruktūrą, diegti intelektines transporto sistemas (ITS), gerinti aplinkosauginius parametrus ir didinti eismo saugą TEN-T tinklo geležinkeliuose, užtikrinant sąveiką su kitais TEN-T tinklo koridoriais ir kitų transporto rūšių infrastruktūra (NECP: T2  ) </t>
  </si>
  <si>
    <t>3.2</t>
  </si>
  <si>
    <t>067</t>
  </si>
  <si>
    <t xml:space="preserve">067 Rekonstruoti ar pagerinti geležinkeliai – TEN-T pagrindinis tinklas </t>
  </si>
  <si>
    <t>068</t>
  </si>
  <si>
    <t>068 Rekonstruoti ar pagerinti geležinkeliai – TEN-T visuotinis tinklas</t>
  </si>
  <si>
    <t>070</t>
  </si>
  <si>
    <t>070 Transporto skaitmeninimas: geležinkelis</t>
  </si>
  <si>
    <t>3.2.2</t>
  </si>
  <si>
    <t xml:space="preserve">Tobulinti ir plėtoti TEN-T kelių tinklą, diegti ITS, eismo saugumo ir aplinkosaugines priemones, kad būtų pasiekti TEN-T kelių techniniai parametrai, kurie tenkintų kelių transporto apkrovimo reikalavimus, užtikrintų tinkamą TEN-T tinklo pralaidumą ir eismo saugumą </t>
  </si>
  <si>
    <t>056</t>
  </si>
  <si>
    <t>056 Naujai nutiesti greitkeliai ir keliai – TEN-T pagrindinis tinklas</t>
  </si>
  <si>
    <t>060</t>
  </si>
  <si>
    <t>060 Rekonstruoti ar pagerinti greitkeliai ir keliai – TEN-T pagrindinis tinklas</t>
  </si>
  <si>
    <t>Saf</t>
  </si>
  <si>
    <t>061</t>
  </si>
  <si>
    <t>061 Rekonstruoti ar pagerinti greitkeliai ir keliai – TEN-T visuotinis tinklas</t>
  </si>
  <si>
    <t>063</t>
  </si>
  <si>
    <t>063 Transporto skaitmeninimas: kelias</t>
  </si>
  <si>
    <t>3.2.3</t>
  </si>
  <si>
    <t>plėtoti skirtingų transporto rūšių (daugiarūšio vežimo jungčių) sąveikos efektyvumą didinančią infrastruktūrą</t>
  </si>
  <si>
    <t>078</t>
  </si>
  <si>
    <t>078 Daugiarūšis transportas (TEN-T)</t>
  </si>
  <si>
    <t>3.3.1</t>
  </si>
  <si>
    <t xml:space="preserve">tiesti, atnaujinti tobulinti  ir rekonstruoti valstybinės reikšmės kelius (regionų jungtis su TEN-T tinklu), </t>
  </si>
  <si>
    <t>3.3</t>
  </si>
  <si>
    <t>062</t>
  </si>
  <si>
    <t>062 Kiti rekonstruoti ar pagerinti keliai (greitkeliai, nacionaliniai, regioniniai ar vietos keliai)</t>
  </si>
  <si>
    <t>3.3.2</t>
  </si>
  <si>
    <t xml:space="preserve">Plėtoti dviračių ir pėsčiųjų infrastruktūrą miestuose ir priemiesčiose, kurie neįgyvendina Darnaus judumo mieste planų. </t>
  </si>
  <si>
    <t>2ERPF</t>
  </si>
  <si>
    <t>2SaF</t>
  </si>
  <si>
    <t>3ERPF</t>
  </si>
  <si>
    <t>3SaF</t>
  </si>
  <si>
    <t>5 lentelė. 2 matmuo. Finansavimo forma</t>
  </si>
  <si>
    <t>02, 03, 04, 05</t>
  </si>
  <si>
    <t>02 Naudojantis finansinėmis priemonėmis teikimama parama: nuosavas kapitalas arba kvazinuosavas kapitalas                    03 Nauodjantis finansinėmis priemonėmis teikiama parama: paskola                                                             04 Naudojantis finansinėmis priemonėmis teikiama parama: garantija                                                                    05 Naudojantis finansinėmis priemonėmis teikiama parama: garantija</t>
  </si>
  <si>
    <t>01</t>
  </si>
  <si>
    <t>Dotacija</t>
  </si>
  <si>
    <t>6 lentelė. 3 matmuo. Teritorinės paramos paskirstymo priemonė ir teritorinė kryptis</t>
  </si>
  <si>
    <t>7 lentelė. 6 matmuo. ESF+ antrinės temos</t>
  </si>
  <si>
    <t>Konkretus uždavinys – 2.2. Skatinti naudoti atsinaujinančiąją energiją</t>
  </si>
  <si>
    <r>
      <t>finansavimo forma</t>
    </r>
    <r>
      <rPr>
        <sz val="11"/>
        <color theme="1"/>
        <rFont val="Times New Roman"/>
        <family val="1"/>
        <charset val="186"/>
      </rPr>
      <t xml:space="preserve"> – AEI plėtrai Lietuvoje yra subsidijos, o komercinės alternatyvių degalų infrastruktūros plėtrai ir AEI naudojančių komercinio transporto skatinimui planuojama taikyti finansinę priemonę. Be to, daliai investicijų į šilumos tinklus bus numatytas grąžinamosios subsidijos finansinis mechanizmas dėl ilgo investicijų atsiperkamumo laikotarpio, didelio reikalingų pradinių investicijų dydžio ir siekiamybės nedidinti šilumos kainos vartotojams.</t>
    </r>
  </si>
  <si>
    <r>
      <t xml:space="preserve">2.2.1. Skatinti elektros energijos gamybą iš AEI ir energijos kaupimo sprendimų diegimą namų ūkiuose, įmonėse bei AIE bendrijose </t>
    </r>
    <r>
      <rPr>
        <b/>
        <sz val="11"/>
        <rFont val="Calibri"/>
        <family val="2"/>
        <charset val="186"/>
        <scheme val="minor"/>
      </rPr>
      <t>EM</t>
    </r>
  </si>
  <si>
    <r>
      <t xml:space="preserve">2.2.2. Skatinti šilumos energijos gamybą iš AEI namų ūkiuose, įmonėse </t>
    </r>
    <r>
      <rPr>
        <b/>
        <sz val="11"/>
        <rFont val="Calibri"/>
        <family val="2"/>
        <charset val="186"/>
        <scheme val="minor"/>
      </rPr>
      <t>EM</t>
    </r>
  </si>
  <si>
    <t>BJRS</t>
  </si>
  <si>
    <t>2.2.3. Skatinti AEI diegimą pramonės MVĮ EIM</t>
  </si>
  <si>
    <r>
      <t xml:space="preserve">2.2.3. Diegti degalų iš AEI gamybos infrastruktūrą, mažinant neigiamą transporto sektoriaus poveikį aplinkai ir klimatui </t>
    </r>
    <r>
      <rPr>
        <b/>
        <sz val="11"/>
        <rFont val="Calibri"/>
        <family val="2"/>
        <charset val="186"/>
        <scheme val="minor"/>
      </rPr>
      <t>EM</t>
    </r>
  </si>
  <si>
    <t>2.2.4. Skatinti transporto sektoriuje naudoti AEI, įrengiant alternatyvių degalų užpildymo / įkrovimo infrastruktūrą</t>
  </si>
  <si>
    <t>2.2.5. Skatinti transporto sektoriuje AEI naudojimą, įsigyjant, pagaminant ir (ar) pritaikant transporto priemones, naudojančias alternatyvius degalus</t>
  </si>
  <si>
    <r>
      <t xml:space="preserve">2.2.6. Didinti AEI panaudojimą šilumos ir vėsumos gamybai CŠT sektoriuje </t>
    </r>
    <r>
      <rPr>
        <b/>
        <sz val="11"/>
        <rFont val="Calibri"/>
        <family val="2"/>
        <charset val="186"/>
        <scheme val="minor"/>
      </rPr>
      <t>EM</t>
    </r>
  </si>
  <si>
    <r>
      <t xml:space="preserve">2.2.7. Pažangios elektros energijos perdavimo infrastruktūros AEI integracijai plėtra </t>
    </r>
    <r>
      <rPr>
        <b/>
        <sz val="11"/>
        <rFont val="Calibri"/>
        <family val="2"/>
        <charset val="186"/>
        <scheme val="minor"/>
      </rPr>
      <t>EM</t>
    </r>
  </si>
  <si>
    <t>EM+SM+ EIM</t>
  </si>
  <si>
    <t>Action</t>
  </si>
  <si>
    <t>Total allocation at action level (indicative)</t>
  </si>
  <si>
    <t>EU Amount (EUR)</t>
  </si>
  <si>
    <t>Intervention field</t>
  </si>
  <si>
    <r>
      <t>allocation 2021-</t>
    </r>
    <r>
      <rPr>
        <b/>
        <sz val="11"/>
        <color theme="1"/>
        <rFont val="Calibri"/>
        <family val="2"/>
        <charset val="186"/>
        <scheme val="minor"/>
      </rPr>
      <t xml:space="preserve"> 2027 used for calculation of 2029 target </t>
    </r>
  </si>
  <si>
    <t>Indicator</t>
  </si>
  <si>
    <t>Category of region</t>
  </si>
  <si>
    <t>Fund</t>
  </si>
  <si>
    <t>M.U.</t>
  </si>
  <si>
    <t>Baseline</t>
  </si>
  <si>
    <t>Milestone 2024</t>
  </si>
  <si>
    <t>Target 2029</t>
  </si>
  <si>
    <t>Data source</t>
  </si>
  <si>
    <t>Methodology for calculating the values for the indicator</t>
  </si>
  <si>
    <t>code and name</t>
  </si>
  <si>
    <t>co-financing rate (Eur.)</t>
  </si>
  <si>
    <t>Amount (EU+ national)(Eur.)</t>
  </si>
  <si>
    <t>code</t>
  </si>
  <si>
    <t>name</t>
  </si>
  <si>
    <t>value</t>
  </si>
  <si>
    <t>year</t>
  </si>
  <si>
    <t>2.2.1. Skatinti elektros energijos gamybą iš AEI ir energijos kaupimo sprendimų diegimą namų ūkiuose, įmonėse bei AEI bendrijose</t>
  </si>
  <si>
    <r>
      <t xml:space="preserve">028 - Atsinaujinanti energija - vėjas. </t>
    </r>
    <r>
      <rPr>
        <b/>
        <sz val="11"/>
        <color theme="1"/>
        <rFont val="Calibri"/>
        <family val="2"/>
        <charset val="186"/>
        <scheme val="minor"/>
      </rPr>
      <t>Renewable energy: wind</t>
    </r>
  </si>
  <si>
    <t>RCR32</t>
  </si>
  <si>
    <t>Additional operational capacity installed for renewable energy</t>
  </si>
  <si>
    <t>Whole Lithuania</t>
  </si>
  <si>
    <t>MW</t>
  </si>
  <si>
    <t>n/a</t>
  </si>
  <si>
    <t>&gt; 0</t>
  </si>
  <si>
    <t>Projects</t>
  </si>
  <si>
    <t>RCR31</t>
  </si>
  <si>
    <t>Total renewable energy produced (of which: electricity, thermal)</t>
  </si>
  <si>
    <t>MWh/year</t>
  </si>
  <si>
    <r>
      <t>&gt;</t>
    </r>
    <r>
      <rPr>
        <sz val="11"/>
        <color rgb="FFFF0000"/>
        <rFont val="Calibri"/>
        <family val="2"/>
        <charset val="186"/>
      </rPr>
      <t>=</t>
    </r>
    <r>
      <rPr>
        <sz val="11"/>
        <color rgb="FFFF0000"/>
        <rFont val="Calibri"/>
        <family val="2"/>
        <charset val="186"/>
        <scheme val="minor"/>
      </rPr>
      <t>0</t>
    </r>
  </si>
  <si>
    <t>RCO22</t>
  </si>
  <si>
    <t>Additional production capacity for renewable energy (of which: electricity, thermal)</t>
  </si>
  <si>
    <t>RCO97</t>
  </si>
  <si>
    <t>Renewable energy communities supported</t>
  </si>
  <si>
    <t>renewable energy communities</t>
  </si>
  <si>
    <r>
      <t>&gt;</t>
    </r>
    <r>
      <rPr>
        <sz val="11"/>
        <color rgb="FFFF0000"/>
        <rFont val="Calibri"/>
        <family val="2"/>
      </rPr>
      <t>=</t>
    </r>
    <r>
      <rPr>
        <sz val="11"/>
        <color rgb="FFFF0000"/>
        <rFont val="Calibri"/>
        <family val="2"/>
        <scheme val="minor"/>
      </rPr>
      <t>0</t>
    </r>
  </si>
  <si>
    <t>RCR29</t>
  </si>
  <si>
    <t>Estimated greenhouse emissions</t>
  </si>
  <si>
    <t>tons of CO2eq/year</t>
  </si>
  <si>
    <r>
      <t xml:space="preserve">029 - Atsinaujinanti energija - saulė. </t>
    </r>
    <r>
      <rPr>
        <b/>
        <sz val="11"/>
        <color theme="1"/>
        <rFont val="Calibri"/>
        <family val="2"/>
        <charset val="186"/>
        <scheme val="minor"/>
      </rPr>
      <t>Renewable energy: solar</t>
    </r>
  </si>
  <si>
    <t>2.2.2. Skatinti šilumos energijos gamybą iš AEI namų ūkiuose,įmonėse.</t>
  </si>
  <si>
    <t>034 - efektyvi kogeneracija, centrinis šildymas ir vėsinimas</t>
  </si>
  <si>
    <t>Projektai</t>
  </si>
  <si>
    <r>
      <t xml:space="preserve">030 - Atsinaujinanti energija - biomasė. </t>
    </r>
    <r>
      <rPr>
        <b/>
        <sz val="11"/>
        <color theme="1"/>
        <rFont val="Calibri"/>
        <family val="2"/>
        <charset val="186"/>
        <scheme val="minor"/>
      </rPr>
      <t>Renewable energy: biomass</t>
    </r>
  </si>
  <si>
    <r>
      <t xml:space="preserve">032 - Kita atsinaujinanti energija (tame tarpe geoterminė). </t>
    </r>
    <r>
      <rPr>
        <b/>
        <sz val="11"/>
        <color theme="1"/>
        <rFont val="Calibri"/>
        <family val="2"/>
        <charset val="186"/>
        <scheme val="minor"/>
      </rPr>
      <t>Other renewable energy (including geothermal energy)</t>
    </r>
  </si>
  <si>
    <t>2.2.3.Diegti degalų iš AEI gamybos infrastruktūrą, mažinant neigiamą transporto sektoriaus poveikį aplinkai ir klimatui</t>
  </si>
  <si>
    <t>077 Alternative fuels infrastructure</t>
  </si>
  <si>
    <t>RCO59</t>
  </si>
  <si>
    <t>Alternative fuels infrastructure (refuelling/ recharging points)</t>
  </si>
  <si>
    <t>Midle- west Lithuania region</t>
  </si>
  <si>
    <t>ERDF</t>
  </si>
  <si>
    <t>refuelling/recharging points</t>
  </si>
  <si>
    <t>2021</t>
  </si>
  <si>
    <t>Supported projects</t>
  </si>
  <si>
    <r>
      <t>Įvertinus skirtingo tipo pakrovimo stotelių įrengimo kaštus, skaičiuojama kad 1 stotelės įkainis yra apie 80 000 eurų,  todėl planuojama, kad 2029 m. rodiklio reikšmė 126618185,41/80 000</t>
    </r>
    <r>
      <rPr>
        <sz val="11"/>
        <rFont val="Calibri"/>
        <family val="2"/>
      </rPr>
      <t>≈</t>
    </r>
    <r>
      <rPr>
        <sz val="11"/>
        <rFont val="Calibri"/>
        <family val="2"/>
        <scheme val="minor"/>
      </rPr>
      <t>1583.  Skaičiuojama, kad 2024 m. bus pasiekta 10 proc., t. y. 1583*0,1</t>
    </r>
    <r>
      <rPr>
        <sz val="11"/>
        <rFont val="Calibri"/>
        <family val="2"/>
      </rPr>
      <t>≈</t>
    </r>
    <r>
      <rPr>
        <sz val="11"/>
        <rFont val="Calibri"/>
        <family val="2"/>
        <scheme val="minor"/>
      </rPr>
      <t>158.  Šie skaičiavimai pateikiami labai preliminarūs. Tikslūs skaičiai bus žinomi atlikus ex-ante vertinimą.</t>
    </r>
  </si>
  <si>
    <t>After estimating the costs of installing different types of refuelling/recharching stations, the tariff of 1 refuelling/recharching station is about 80 000 Eur. The target value for 2029 is calculated  126618185.41/80 000≈1583.  It is planned, that the milestone value will be 10 percent in 2024 (1583 * 0.1≈158). These calculations are very preliminary. The final values will be known after ex-ante evaluation.</t>
  </si>
  <si>
    <t xml:space="preserve">Rodiklio skaičiavimai atliekami remiantis NECP T13 "Elektromobilių naudojimo skatinimas ir jų įkrovimo infrastruktūros plėtra" priemonės skaičiavimais.  Pati infrastruktūra  nemažina ŠESD kiekio, ji skatina naudotis/rinktis mažiau taršias priemones, kurių naudojimas mažina ŠESD kiekį, todėl atskirai įkrovimo prieigų poveikis nebuvo vertintas.  ŠESD kiekis skaičiuojmas per elektromobilių, kuriems vystoma infrastruktūra, skaičių. Remiantis skaičiavimais 2021 m.  prognozuojama 2171 elektromobilių, kurių ŠESD poveikis yra 6,21 ktCO2e.Rodiklio reikšmės proporcingai nuo apskaičiuotų įkrovimo prieigų padalinamos ERDF (95,5 proc.) ir SaF (4,5 proc.) rodikliams. Skaičuojama, kad pradinė reikšmė 2021 m. yra 6,21/1000*0,955≈0,00593, 2029 m. prognozuojama 46005 elektromobiliai, kurių ŠESD poveikis yra 131,51 ktCO2e, todėl  2029 m. reikšmė skaičiuojama 131,51/1000*0,045=0,12559. </t>
  </si>
  <si>
    <t xml:space="preserve">The calculations of the indicator are performed on the basis of the calculations of the National energy and climate action plan (NECP) T13 measure "Promoting  the use of electric vehicles and developingt of the recharging infrastructure". The infrastructure itself does not reduce GHG emissions, it encourages the use of less polluting vehicles that reduce GHG emissions. GHG emissions are calculated per number of electric vehicles for which recharching  infrastructure is being developed. According to the RCO 59 values in ERDF (95.5 percent) and SaF  (4.5 percent), the values of RCO 29 indicator are divided proportionally.  2171 electric vehicles with a GHG impact of 6.21 ktCO2eq are projected in 2021. The baseline value for 2021 is calculated  6.21 / 1000 * 0.955≈0.00593. 46005 electric vehicles with a GHG impact of 131.51 ktCO2eq are forecast in 2029. The target value for 2029 is calculated  131.51 / 1000 * 0.955 = 0.12559. </t>
  </si>
  <si>
    <t>RCO 59</t>
  </si>
  <si>
    <t>CF</t>
  </si>
  <si>
    <r>
      <t>Įvertinus skirtingo tipo alternatyvaus kuro užpylimo/pakrovimo stotelių įrengimo kaštus, skaičiuojama kad 1 stotelės įkainis yra 80 000 eurų, todėl planuojama, kad 2029 m. rodiklio reikšmė 6023529,41/80 000</t>
    </r>
    <r>
      <rPr>
        <sz val="11"/>
        <rFont val="Calibri"/>
        <family val="2"/>
      </rPr>
      <t>≈</t>
    </r>
    <r>
      <rPr>
        <sz val="11"/>
        <rFont val="Calibri"/>
        <family val="2"/>
        <scheme val="minor"/>
      </rPr>
      <t>75. Skaičiuojama, kad 2024 m. bus pasiekta 10 proc., t. y. 7,5*0,1</t>
    </r>
    <r>
      <rPr>
        <sz val="11"/>
        <rFont val="Calibri"/>
        <family val="2"/>
      </rPr>
      <t>≈8</t>
    </r>
    <r>
      <rPr>
        <sz val="11"/>
        <rFont val="Calibri"/>
        <family val="2"/>
        <scheme val="minor"/>
      </rPr>
      <t>.  Šie skaičiavimai pateikiami labai preliminarūs. Tikslūs skaičiai bus žinomi atlikus ex-ante vertinimą.</t>
    </r>
  </si>
  <si>
    <t>After estimating the costs of installing different types of refuelling/recharching stations, the tariff of 1 refuelling/recharching station is about 80 000 euros. The target value for 2029 is calculated  6023529.41/80 000≈75.  It is planned, that the milestone value will be 10 percent in 2024 (75 * 0.1≈8). These calculations are very preliminary. The final values will be known after ex-ante evaluation.</t>
  </si>
  <si>
    <t>RCR 29</t>
  </si>
  <si>
    <t xml:space="preserve">Rodiklio skaičiavimai atliekami remiantis NECP T13 "Elektromobilių naudojimo skatinimas ir jų įkrovimo infrastruktūros plėtra" priemonės skaičiavimais.  Pati infrastruktūra  nemažina ŠESD kiekio, ji skatina naudotis/rinktis mažiau taršias priemones, kurių naudojimas mažina ŠESD kiekį, todėl atskirai įkrovimo prieigų poveikis nebuvo vertintas.  ŠESD kiekis skaičiuojmas per elektromobilių, kuriems vystoma infrastruktūra, skaičių. Remiantis skaičiavimais 2021 m.  prognozuojama 2171 elektromibilių, kurių ŠESD poveikis yra 6,21 ktCO2e.Rodiklio reikšmės proporcingai nuo apskaičiuotų įkrovimo prieigų padalinamos ERDF (95,5 proc.) ir SaF (4,5 proc.) rodikliams. Skaičuojama, kad pradinė reikšmė 2021 m. yra 6,21/1000*0,045≈0,00028, 2029 m. prognozuojama 46005 elektromobiliai, kurių ŠESD poveikis yra 131,51 ktCO2e, todėl  2029 m. reikšmė skaičiuojama 131,51/1000*0,045=0,00592. </t>
  </si>
  <si>
    <t>The calculations of the indicator are performed on the basis of the calculations of the National energy and climate action plan (NECP) T13 measure "Promoting  the use of electric vehicles and developingt of the recharging infrastructure". The infrastructure itself does not reduce GHG emissions, it encourages the use of less polluting vehicles that reduce GHG emissions. GHG emissions are calculated per number of electric vehicles for which recharching  infrastructure is being developed. According to the RCO 59 values in ERDF (95.5 percent) and SaF  (4.5 percent), the values of RCO 29 indicator are divided proportionally.  2171 electric vehicles with a GHG impact of 6.21 ktCO2e are projected in 2021. The baseline value for 2021 is calculated  6.21 / 1000 * 0.045≈0.00028. 46005 electric vehicles with a GHG impact of 131.51 ktCO2e are forecast in 2029. The target value for 2029 is calculted  131.51 / 1000 * 0.045 = 0.00592.</t>
  </si>
  <si>
    <t>Rodiklių siektinos reikšmės bus nustatytos atlikus  ex-ante vertinimą.</t>
  </si>
  <si>
    <t>The target values will be known after ex-ante evaluation.</t>
  </si>
  <si>
    <t>Specialusis produkto</t>
  </si>
  <si>
    <t>Įsigytos, pritaitkytos ir (ar) pagamintos) AEI naudojančios transporto priemonės</t>
  </si>
  <si>
    <t>Number</t>
  </si>
  <si>
    <t>number</t>
  </si>
  <si>
    <t>2.2.6. Didinti AEI panaudojimą šilumos ir vėsumos gamybai CŠT</t>
  </si>
  <si>
    <r>
      <t xml:space="preserve">029 - Atsinaujinanti energija - saulė. </t>
    </r>
    <r>
      <rPr>
        <b/>
        <sz val="11"/>
        <rFont val="Calibri"/>
        <family val="2"/>
        <charset val="186"/>
        <scheme val="minor"/>
      </rPr>
      <t>Renewable energy: solar</t>
    </r>
  </si>
  <si>
    <r>
      <t xml:space="preserve">030 - Atsinaujinanti energija - biomasė. </t>
    </r>
    <r>
      <rPr>
        <b/>
        <sz val="11"/>
        <rFont val="Calibri"/>
        <family val="2"/>
        <charset val="186"/>
        <scheme val="minor"/>
      </rPr>
      <t>Renewable energy: biomass</t>
    </r>
  </si>
  <si>
    <r>
      <t xml:space="preserve">032 - Kita atsinaujinanti energija (tame tarpe geoterminė). </t>
    </r>
    <r>
      <rPr>
        <b/>
        <sz val="11"/>
        <rFont val="Calibri"/>
        <family val="2"/>
        <charset val="186"/>
        <scheme val="minor"/>
      </rPr>
      <t>Other renewable energy (including geothermal energy)</t>
    </r>
  </si>
  <si>
    <t>2.2.7. Pažangios elektros energijos perdavimo infrastruktūros AEI integracijai plėtra</t>
  </si>
  <si>
    <t>033 - Pažangios elektros energijos sistemos (įskaitant išmaniuosius tinklus ir IT sistemas) ir susijęs kaupimas</t>
  </si>
  <si>
    <t>nac.</t>
  </si>
  <si>
    <t>Naujai nutiesti elektros perdavimo tinklai</t>
  </si>
  <si>
    <t>Midle-West Lithuania region</t>
  </si>
  <si>
    <t>km</t>
  </si>
  <si>
    <t>Naujai pastatytų perdavimo tinklo elementų skaičius</t>
  </si>
  <si>
    <t>vnt</t>
  </si>
  <si>
    <t>Rodiklio kodas</t>
  </si>
  <si>
    <t>Rodiklio pavadinimas</t>
  </si>
  <si>
    <t>Rodiklio matavimo vienetas</t>
  </si>
  <si>
    <t>Rodiklio pradinė reikšmė</t>
  </si>
  <si>
    <t>Rodiklio pradinės reikšmės metai</t>
  </si>
  <si>
    <t>Rodiklio tarpinė 2024 m. reikšmė</t>
  </si>
  <si>
    <t>Rodiklio siektina 2029 m. reikšmė</t>
  </si>
  <si>
    <t>Apskaičiuotas šiltnamio efektą sukeliančių dujų emisijos kiekis</t>
  </si>
  <si>
    <t>Tonos CO2 ekvivalentu per metus</t>
  </si>
  <si>
    <t>Visa Lietuva</t>
  </si>
  <si>
    <t>RCR 31</t>
  </si>
  <si>
    <t>Papildomai veikiantys AEI gamybos pajėgumai</t>
  </si>
  <si>
    <t>RCR 32</t>
  </si>
  <si>
    <t>Iš viso pagaminta atsinaujinančios energijos (tame tarpe: elektros, šilumos)</t>
  </si>
  <si>
    <t>MWh/metus</t>
  </si>
  <si>
    <t>RCO 22</t>
  </si>
  <si>
    <t>Papildomi AEI pajėgumai</t>
  </si>
  <si>
    <t>RCO 97</t>
  </si>
  <si>
    <t>Paramą gavusių AEI bendrijų skaičius</t>
  </si>
  <si>
    <t>Vidurio ir Vakarų Lietuvos regionas</t>
  </si>
  <si>
    <t>SM</t>
  </si>
  <si>
    <t>Skaičius</t>
  </si>
  <si>
    <t>Konkretus uždavinys – 2.8. Skatinti darnų įvairiarūšį judumą miestuose</t>
  </si>
  <si>
    <r>
      <t>finansavimo forma</t>
    </r>
    <r>
      <rPr>
        <sz val="11"/>
        <color theme="1"/>
        <rFont val="Times New Roman"/>
        <family val="1"/>
        <charset val="186"/>
      </rPr>
      <t xml:space="preserve"> darnaus įvairiarūšio judumo veikloms įgyvendinti yra subsidijos, nes numatoma kurti viešąją infrastruktūrą, kuri negeneruos pajamų.</t>
    </r>
  </si>
  <si>
    <t>2.8.1. Įgyvendinti Darnaus judumo planuose (angl. SUMP) numatytas darnaus judumo priemones miestuose bei rajonų savivaldybėse</t>
  </si>
  <si>
    <t>2.8.2. Skatinti gyventojus naudotis viešuoju transportu, įsigyjant AEI naudojančias vietinio susisiekimo viešojo transporto priemones</t>
  </si>
  <si>
    <t>Action Veiksmas</t>
  </si>
  <si>
    <t>Rodiklis</t>
  </si>
  <si>
    <t xml:space="preserve">Rodiklio pradinė </t>
  </si>
  <si>
    <t>Duomenų šaltinis</t>
  </si>
  <si>
    <t>Rodiklio siektinų reikšmų apskaičiavimo metodika</t>
  </si>
  <si>
    <t>Finansinė proporcija (EU+ nacionalinis)(Eur.)</t>
  </si>
  <si>
    <t>reikšmė</t>
  </si>
  <si>
    <t>metai</t>
  </si>
  <si>
    <r>
      <rPr>
        <b/>
        <sz val="11"/>
        <color theme="1"/>
        <rFont val="Calibri"/>
        <family val="2"/>
        <charset val="186"/>
        <scheme val="minor"/>
      </rPr>
      <t xml:space="preserve">073 </t>
    </r>
    <r>
      <rPr>
        <sz val="11"/>
        <color theme="1"/>
        <rFont val="Calibri"/>
        <family val="2"/>
        <scheme val="minor"/>
      </rPr>
      <t>Clean urban transport infrastructure</t>
    </r>
  </si>
  <si>
    <t>Tons of CO2eq/year</t>
  </si>
  <si>
    <t>Reikšmės nurodytos iš NECP skaičiavimo dokumentų. Skaičiavimuose nurodyta, kad pronozuojama, kad 2021 m. darnaus judumo miestuose planų įgyvendinimo ŠESD poveikis bus 60,96 ktCO2e, todėl 2021 m. rodiklio reikšmė skaičiuojama 60,96/1000=0,06096. Prognozuojama, kad 2029 m. ŠESD poveikis bus 223,54 ktCO2e, todėl rodiklio 2029 m. siektina reikšmė apskaičiuojama 223,54/1000=0,22354.</t>
  </si>
  <si>
    <t>The calculations of the indicator are performed on the basis of the calculations of NECP T4 measure "Implementation of sustainableurban mobility plans (SUMP)".  According to the calculations, it is projected,  that the GHG impact of the implementation of the sustainable urban mobility plans will be 60.96 ktCO2eq in 2021 , therefore the baseline value for 2021  is calculated 60.96 / 1000 = 0.06096. The GHG impact  is projected to be 223.54 ktCO2eq in 2029, therefore the target value for 2029 m is calculated  223.54 / 1000 = 0.22354.</t>
  </si>
  <si>
    <r>
      <t>Įgyvendintos darnaus judumo priemones/</t>
    </r>
    <r>
      <rPr>
        <sz val="11"/>
        <color rgb="FFFF0000"/>
        <rFont val="Calibri"/>
        <family val="2"/>
        <charset val="186"/>
        <scheme val="minor"/>
      </rPr>
      <t xml:space="preserve"> Sustainable mobility measures implemented</t>
    </r>
  </si>
  <si>
    <r>
      <t>Įvertinus 2014-2020 m. laikotarpio projektus 1 darnaus judumo priemonės įgyvendinimo įkainis yra 1 900 000 Eur.  Planuojama, kad bus skiriama 67 proc. 073 intervencijos lėšų, todėl 143212698,82*0,67</t>
    </r>
    <r>
      <rPr>
        <sz val="11"/>
        <rFont val="Calibri"/>
        <family val="2"/>
      </rPr>
      <t>=9595208,21</t>
    </r>
    <r>
      <rPr>
        <sz val="11"/>
        <rFont val="Calibri"/>
        <family val="2"/>
        <scheme val="minor"/>
      </rPr>
      <t>.  Rodiklio siektina 2029 m. reikšmė apskaičiuojama 95952508,21/1 900 000</t>
    </r>
    <r>
      <rPr>
        <sz val="11"/>
        <rFont val="Calibri"/>
        <family val="2"/>
      </rPr>
      <t>≈</t>
    </r>
    <r>
      <rPr>
        <sz val="11"/>
        <rFont val="Calibri"/>
        <family val="2"/>
        <scheme val="minor"/>
      </rPr>
      <t>51. Planuojama, kad 2024 m. bus pasiekta 10 proc.  51*0,1</t>
    </r>
    <r>
      <rPr>
        <sz val="11"/>
        <rFont val="Calibri"/>
        <family val="2"/>
      </rPr>
      <t>≈</t>
    </r>
    <r>
      <rPr>
        <sz val="11"/>
        <rFont val="Calibri"/>
        <family val="2"/>
        <scheme val="minor"/>
      </rPr>
      <t>5.</t>
    </r>
  </si>
  <si>
    <t>After evaluating the completed projects of 2014-2020 period, the tariff  of 1  sustainable mobility measure implemented  is  1 900 000 Eur. 67 percent of intervension investments is allocated to this indicator. The target value fot 2029 is calculated  143212698.82 * 0.67  / 1 900 000≈51.  It is planned that the milestone value will be 10 percent in 2024 (51 * 0.1≈5).</t>
  </si>
  <si>
    <r>
      <t>Įdiegtos intelektinės transporto sistemos/</t>
    </r>
    <r>
      <rPr>
        <sz val="11"/>
        <color rgb="FFFF0000"/>
        <rFont val="Calibri"/>
        <family val="2"/>
        <charset val="186"/>
        <scheme val="minor"/>
      </rPr>
      <t>Intelligent transport systems introduced</t>
    </r>
  </si>
  <si>
    <r>
      <t>Įvertinus 2014-2020 m. laikotarpio projektus 1 intelektinės transporto sistemos diegimui  įkainis yra 1900000 Eur.  Planuojama, kad bus skiriama 33 proc. 073 intervencijos lėšų, todėl 143212698,82*0,33=47260190,61.  Rodiklio siektina 2029 m. reikšmė apskaičiuojama 47260190,61/1 900 000≈25. Planuojama, kad 2024 m. bus pasiekta 10 proc.  25*0,1</t>
    </r>
    <r>
      <rPr>
        <sz val="11"/>
        <rFont val="Calibri"/>
        <family val="2"/>
      </rPr>
      <t>≈</t>
    </r>
    <r>
      <rPr>
        <sz val="11"/>
        <rFont val="Calibri"/>
        <family val="2"/>
        <scheme val="minor"/>
      </rPr>
      <t>3.</t>
    </r>
  </si>
  <si>
    <t>After evaluating the completed projects of 2014-2020 period, the tariff  of 1  intelligent transport systems introduced  is  1 900 000 Eur. 33 percent of intervension investments is allocated to this indicator. The target value fot 2029 is calculated  143212698.82 * 0.33  / 1 900 000≈25.  It is planned that the milestone value will be 10 percent in 2024 (25 * 0.1≈3).</t>
  </si>
  <si>
    <r>
      <rPr>
        <b/>
        <sz val="11"/>
        <color theme="1"/>
        <rFont val="Calibri"/>
        <family val="2"/>
        <charset val="186"/>
        <scheme val="minor"/>
      </rPr>
      <t>074</t>
    </r>
    <r>
      <rPr>
        <sz val="11"/>
        <color theme="1"/>
        <rFont val="Calibri"/>
        <family val="2"/>
        <scheme val="minor"/>
      </rPr>
      <t xml:space="preserve"> Clean urban transport rolling stock</t>
    </r>
  </si>
  <si>
    <t>RCO57</t>
  </si>
  <si>
    <t>Capacity of environmentally friendly rolling stock for collective public transport</t>
  </si>
  <si>
    <t>Passengers</t>
  </si>
  <si>
    <t>9900</t>
  </si>
  <si>
    <r>
      <t xml:space="preserve">Priklausomai nuo elektra varomo autobuso tipo (baterijos vietos, jos tipo, įkrovimo tipo, autobuso ilgio ir pan.), </t>
    </r>
    <r>
      <rPr>
        <sz val="11"/>
        <rFont val="Calibri"/>
        <family val="2"/>
        <charset val="186"/>
        <scheme val="minor"/>
      </rPr>
      <t xml:space="preserve">vidutinė jo kaina yra 545 500 eurų. </t>
    </r>
    <r>
      <rPr>
        <sz val="11"/>
        <color theme="1"/>
        <rFont val="Calibri"/>
        <family val="2"/>
        <scheme val="minor"/>
      </rPr>
      <t>Planuojama įsigyti 99 autobusus (53764705,88/545 500</t>
    </r>
    <r>
      <rPr>
        <sz val="11"/>
        <color theme="1"/>
        <rFont val="Calibri"/>
        <family val="2"/>
        <charset val="186"/>
      </rPr>
      <t>≈</t>
    </r>
    <r>
      <rPr>
        <sz val="11"/>
        <color theme="1"/>
        <rFont val="Calibri"/>
        <family val="2"/>
        <scheme val="minor"/>
      </rPr>
      <t>99). Priklausomai nuo autobuso ilgio, vidutinis vietų skaičius yra 100. RCO 57 rodiklio reikšmė apskaičiuojama 100*99=9900. Tarpinė reikšmė 2024m. sudarys 10 proc.,  9900*0,1=990.</t>
    </r>
  </si>
  <si>
    <t>Depending on the type of public vehicle powered by electricity (battery location, type, charging type, length of the vehicle, etc.), the average price is 545 500 Eur. It is planned to purchase 99 public vehicles powered by electricity (53764705.88 / 545 500≈99). Depending on the length of the vehicle, the average number of seats is 100. The target value for 2029 is calculated 100 * 99 = 9900. It is planned, that the milestone value will be 10 percent in 2024  (9900 * 0.1 = 990).</t>
  </si>
  <si>
    <t>0</t>
  </si>
  <si>
    <r>
      <t>Reikšmės apskaičiuojamos iš NECP.  Vieno el. autobuso ŠESD kiekis yra 0,005 kt CO2 ekv.. Planuojama įsigyti 99 el. autobusų (Žr. RCO 57 rodiklio skaičiavimo metodiką). 2029 m. rodiklis apskaičiuojamas 99*0,005/1000</t>
    </r>
    <r>
      <rPr>
        <sz val="11"/>
        <color theme="1"/>
        <rFont val="Calibri"/>
        <family val="2"/>
        <charset val="186"/>
      </rPr>
      <t>≈</t>
    </r>
    <r>
      <rPr>
        <sz val="11"/>
        <color theme="1"/>
        <rFont val="Calibri"/>
        <family val="2"/>
        <scheme val="minor"/>
      </rPr>
      <t xml:space="preserve">0,0005. </t>
    </r>
  </si>
  <si>
    <r>
      <t>The calculations of the indicator are performed on the basis of the calculations of NECP T1 measure "Renewal of urban and suburban public transport fleets by promoting vehicles running on alternative fuels ". The GHG impact of public vehicle powered electricity is 0.005 kt CO2 eq. The targer value for 2029 is calculated  99*0,005/1000</t>
    </r>
    <r>
      <rPr>
        <sz val="11"/>
        <color theme="1"/>
        <rFont val="Calibri"/>
        <family val="2"/>
        <charset val="186"/>
      </rPr>
      <t>≈0,0005.</t>
    </r>
  </si>
  <si>
    <t>RCR62</t>
  </si>
  <si>
    <t>Annual users of new or modernised public transport</t>
  </si>
  <si>
    <t>Users</t>
  </si>
  <si>
    <r>
      <t>Statistikos departamentas/</t>
    </r>
    <r>
      <rPr>
        <sz val="11"/>
        <color rgb="FFFF0000"/>
        <rFont val="Calibri"/>
        <family val="2"/>
        <charset val="186"/>
        <scheme val="minor"/>
      </rPr>
      <t>Department of Statistics</t>
    </r>
  </si>
  <si>
    <r>
      <t>Planuojamai reikšmei nustatyti naudojami Statistikos departamento 2017-2019 m. (2020 m. nevertinti dėl Covid-19 įtakos) laikotarpio duomenys: autobusų skaičius ir  pervežtų keleivių skaičius. Vidutiniškai yra 7442 autobusai, kurie vidutiniškai pervežė 290 344 533 keleivius. Apskaičiuota, kad vidutinškai 1 autobusas perveža 39 013 keleivių (290344533/7442</t>
    </r>
    <r>
      <rPr>
        <sz val="11"/>
        <rFont val="Calibri"/>
        <family val="2"/>
        <charset val="186"/>
      </rPr>
      <t>≈39013). Todėl skaičiuojama, kad 2029 m.  RCR62=39013*99 (planuojamų naujų autobusų sk., žr. RCO 57 skaičiavimo metodiką)≈3862287.</t>
    </r>
  </si>
  <si>
    <t>In order to determine the planned value, the data of the Department of Statistics 2017-2019 ( number of buses and number of transported passengers) were used. After evaluating static data, it was found that an average  1 bus carried 39013 passengers per year (290344533 / 7442≈39013). The targer value for 2029 is calculated  39013 * 99 (number of planned new buses, see RCO 57 calculation methodology) ≈3862287.</t>
  </si>
  <si>
    <t xml:space="preserve"> </t>
  </si>
  <si>
    <t>Įgyvendintos darnaus judumo priemones</t>
  </si>
  <si>
    <t>Įdiegtos intelektinės transporto sistemos</t>
  </si>
  <si>
    <t>Konkretus uždavinys – 3.1. Gerinti skaitmeninį junglumą</t>
  </si>
  <si>
    <r>
      <t>finansavimo forma</t>
    </r>
    <r>
      <rPr>
        <sz val="11"/>
        <color theme="1"/>
        <rFont val="Times New Roman"/>
        <family val="1"/>
        <charset val="186"/>
      </rPr>
      <t xml:space="preserve"> – subsidija, dėl jos skatinamojo poveikio. Planuojamos vykdyti veiklos negeneruoja pajamų, nes yra numatomos viešųjų institucijų įgyvendinamiems projektams, todėl joms neplanuojama taikyti finansinių priemonių.</t>
    </r>
  </si>
  <si>
    <t>3.1.1. Plėtoti itin didelio pralaidumo plačiajuosčio ryšio tinklus</t>
  </si>
  <si>
    <t xml:space="preserve">Milestone 2024 </t>
  </si>
  <si>
    <t>Code</t>
  </si>
  <si>
    <t>Name</t>
  </si>
  <si>
    <t>Year</t>
  </si>
  <si>
    <r>
      <rPr>
        <b/>
        <sz val="11"/>
        <color theme="1"/>
        <rFont val="Calibri"/>
        <family val="2"/>
        <scheme val="minor"/>
      </rPr>
      <t>051</t>
    </r>
    <r>
      <rPr>
        <sz val="11"/>
        <color theme="1"/>
        <rFont val="Calibri"/>
        <family val="2"/>
        <scheme val="minor"/>
      </rPr>
      <t xml:space="preserve"> ICT: Very High-Capacity broadband network (backbone/backhaul network)  </t>
    </r>
  </si>
  <si>
    <t>RCO41</t>
  </si>
  <si>
    <t>Additional dwellings with broadband access of very high capacity</t>
  </si>
  <si>
    <t>dwellings</t>
  </si>
  <si>
    <t>2019</t>
  </si>
  <si>
    <r>
      <t xml:space="preserve"> Skaičiuojama, kad bus paklota apie 570 km šviesolaidinių linijų (ŠKL) už apie 8 550 000,00 Eur - apie 15 000 Eur už 1 km. ŠKL skirta magistraliniam ryšiui, papildomai joje įrengiant prisijungimo taškus netoliese esantiems vartotojams. Daroma prielaida, kad kiekvienam paklotam ŠKL kilometrui vidutiniškai bus įrengti prisijungimo taškai 25 vartotojams (</t>
    </r>
    <r>
      <rPr>
        <sz val="11"/>
        <color theme="1"/>
        <rFont val="Calibri"/>
        <family val="2"/>
        <charset val="186"/>
      </rPr>
      <t>~</t>
    </r>
    <r>
      <rPr>
        <sz val="8.25"/>
        <color theme="1"/>
        <rFont val="Calibri"/>
        <family val="2"/>
      </rPr>
      <t xml:space="preserve"> </t>
    </r>
    <r>
      <rPr>
        <sz val="11"/>
        <color theme="1"/>
        <rFont val="Calibri"/>
        <family val="2"/>
        <charset val="186"/>
      </rPr>
      <t>66,7</t>
    </r>
    <r>
      <rPr>
        <sz val="8.25"/>
        <color theme="1"/>
        <rFont val="Calibri"/>
        <family val="2"/>
      </rPr>
      <t xml:space="preserve"> </t>
    </r>
    <r>
      <rPr>
        <sz val="11"/>
        <color theme="1"/>
        <rFont val="Calibri"/>
        <family val="2"/>
        <charset val="186"/>
      </rPr>
      <t>proc.</t>
    </r>
    <r>
      <rPr>
        <sz val="8.25"/>
        <color theme="1"/>
        <rFont val="Calibri"/>
        <family val="2"/>
      </rPr>
      <t xml:space="preserve"> </t>
    </r>
    <r>
      <rPr>
        <sz val="11"/>
        <color theme="1"/>
        <rFont val="Calibri"/>
        <family val="2"/>
        <scheme val="minor"/>
      </rPr>
      <t xml:space="preserve">namų ūkiams ir </t>
    </r>
    <r>
      <rPr>
        <sz val="11"/>
        <color theme="1"/>
        <rFont val="Calibri"/>
        <family val="2"/>
        <charset val="186"/>
      </rPr>
      <t xml:space="preserve">~33,3 proc. </t>
    </r>
    <r>
      <rPr>
        <sz val="11"/>
        <color theme="1"/>
        <rFont val="Calibri"/>
        <family val="2"/>
        <charset val="186"/>
        <scheme val="minor"/>
      </rPr>
      <t xml:space="preserve"> į</t>
    </r>
    <r>
      <rPr>
        <sz val="11"/>
        <color theme="1"/>
        <rFont val="Calibri"/>
        <family val="2"/>
        <scheme val="minor"/>
      </rPr>
      <t xml:space="preserve">monėms). Apie 5 459 564,71 Eur bus skirta tinklo įrangai, pagalbinei įrangai, projekto valdymui ir administravimui, viešinimo veikloms ir kt. Viso prie tinklo planuojama prijungti 570*25= 14 250 vartotojų. </t>
    </r>
    <r>
      <rPr>
        <sz val="11"/>
        <color theme="1"/>
        <rFont val="Calibri"/>
        <family val="2"/>
        <charset val="186"/>
        <scheme val="minor"/>
      </rPr>
      <t>RCO41 =14 250*0,667</t>
    </r>
    <r>
      <rPr>
        <sz val="11"/>
        <color theme="1"/>
        <rFont val="Calibri"/>
        <family val="2"/>
        <charset val="186"/>
      </rPr>
      <t>≈9 500, o RCO42=14 250*0,333</t>
    </r>
    <r>
      <rPr>
        <sz val="8.25"/>
        <color theme="1"/>
        <rFont val="Calibri"/>
        <family val="2"/>
        <charset val="186"/>
      </rPr>
      <t>≈</t>
    </r>
    <r>
      <rPr>
        <sz val="11"/>
        <color theme="1"/>
        <rFont val="Calibri"/>
        <family val="2"/>
        <charset val="186"/>
      </rPr>
      <t xml:space="preserve">4750. </t>
    </r>
    <r>
      <rPr>
        <sz val="11"/>
        <color theme="1"/>
        <rFont val="Calibri"/>
        <family val="2"/>
        <scheme val="minor"/>
      </rPr>
      <t>Planuojama, kad 2024 m. prisijungs 20 proc, todėl RCO41=9500*0,2=1900, o RCO42=4750*0,2=950.</t>
    </r>
  </si>
  <si>
    <r>
      <t xml:space="preserve"> It is estimated that </t>
    </r>
    <r>
      <rPr>
        <sz val="11"/>
        <rFont val="Calibri"/>
        <family val="2"/>
      </rPr>
      <t>~</t>
    </r>
    <r>
      <rPr>
        <sz val="11"/>
        <rFont val="Calibri"/>
        <family val="2"/>
        <scheme val="minor"/>
      </rPr>
      <t xml:space="preserve"> 570 km of fiber optic lines will be laid ( </t>
    </r>
    <r>
      <rPr>
        <sz val="11"/>
        <rFont val="Calibri"/>
        <family val="2"/>
      </rPr>
      <t>~</t>
    </r>
    <r>
      <rPr>
        <sz val="6.05"/>
        <rFont val="Calibri"/>
        <family val="2"/>
      </rPr>
      <t xml:space="preserve"> </t>
    </r>
    <r>
      <rPr>
        <sz val="11"/>
        <rFont val="Calibri"/>
        <family val="2"/>
        <scheme val="minor"/>
      </rPr>
      <t xml:space="preserve">8 550 000.00 Eur)   - </t>
    </r>
    <r>
      <rPr>
        <sz val="11"/>
        <rFont val="Calibri"/>
        <family val="2"/>
      </rPr>
      <t>~</t>
    </r>
    <r>
      <rPr>
        <sz val="11"/>
        <rFont val="Calibri"/>
        <family val="2"/>
        <scheme val="minor"/>
      </rPr>
      <t xml:space="preserve">  15 000  Eur for 1 km. These lines  are intended for backbone network, additionally installing access points for nearby users. It is assumed that access points will be installed for </t>
    </r>
    <r>
      <rPr>
        <sz val="11"/>
        <rFont val="Calibri"/>
        <family val="2"/>
      </rPr>
      <t>~</t>
    </r>
    <r>
      <rPr>
        <sz val="11"/>
        <rFont val="Calibri"/>
        <family val="2"/>
        <scheme val="minor"/>
      </rPr>
      <t xml:space="preserve"> 25 users (~ 66.7% dwellings and ~ 33.3% enterprises) for each kilometer of fiber optic line. </t>
    </r>
    <r>
      <rPr>
        <sz val="11"/>
        <rFont val="Calibri"/>
        <family val="2"/>
      </rPr>
      <t>~</t>
    </r>
    <r>
      <rPr>
        <sz val="11"/>
        <rFont val="Calibri"/>
        <family val="2"/>
        <scheme val="minor"/>
      </rPr>
      <t xml:space="preserve"> 5 459 564.71 Eur will be allocated for network equipment, ancillary equipment, project management and administration, publicity activities, etc. It is caculated  to connect  570 * 25 = 14 250 users to the network. The target values for 2029 is calculated RCO41 = 14 250 * 0.667=9 500 and RCO42 = 14 250 * 0.333=4 750. It is planned, that the milestone value will be 20 percent in 2024 ( RCO41 = 9500 * 0.2 = 1 900 and RCO42 = 4750 * 0.2 = 950).</t>
    </r>
  </si>
  <si>
    <t>RCO42</t>
  </si>
  <si>
    <t>Additional enterprises with broadband access of very high capacity</t>
  </si>
  <si>
    <t>enterprises</t>
  </si>
  <si>
    <t>RCR53</t>
  </si>
  <si>
    <t>Dwellings with broadband subscriptions to a very high capacity network</t>
  </si>
  <si>
    <t>\Planuojama, kad prisijungusių bus apie 80% namų ūkių, turėjusių prisijungimo taškus. Todėl RCR53=9500*0,8=7600.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</si>
  <si>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9500 * 0.8 = 7600. </t>
    </r>
  </si>
  <si>
    <t>RCR54</t>
  </si>
  <si>
    <t>Enterprises with broadband subscriptions to a very high capacity network</t>
  </si>
  <si>
    <t xml:space="preserve"> Planuojama, kad prisijungusių bus apie 80% įmonių, turėjusių prisijungimo taškus. Todėl RCR54=4750*0,8=3800.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</si>
  <si>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4750 * 0.8 = 3800. </t>
    </r>
  </si>
  <si>
    <t>Capital region</t>
  </si>
  <si>
    <t>Skaičiuojama, kad bus paklota apie 48 km šviesolaidinių linijų (ŠKL) už apie 720 000,00 Eur - apie 15 000 Eur už 1 km. ŠKL skirta magistraliniam ryšiui, papildomai joje įrengiant prisijungimo taškus netoliese esantiems vartotojams. Daroma prielaida, kad kiekvienam paklotam ŠKL kilometrui vidutiniškai bus įrengti prisijungimo taškai 25 vartotojams (~ 66,7 proc. namų ūkiams ir ~33,3 proc.  įmonėms). Apie 456 400 Eur bus skirta tinklo įrangai, pagalbinei įrangai, projekto valdymui ir administravimui, viešinimo veikloms ir kt. Viso prie tinklo planuojama prijungti 48*25= 1200 vartotojų. RCO41 =1200*0,667≈800, o RCO42=1200*0,333≈400. Planuojama, kad 2024 m. prisijungs 20 proc, todėl RCO41=800*0,2=160, o RCO42=400*0,2=80.</t>
  </si>
  <si>
    <r>
      <rPr>
        <sz val="11"/>
        <rFont val="Calibri"/>
        <family val="2"/>
        <charset val="186"/>
        <scheme val="minor"/>
      </rPr>
      <t xml:space="preserve"> It is estimated that ~ 48 km of fiber optic lines will be laid ( ~ 720 000 Eur)   - ~  15 000  Eur for 1 km. These lines  are intended for backbone network, additionally installing access points for nearby users. It is assumed that access points will be installed for ~ 25 users (~ 66.7% dwellings and ~ 33.3% enterprises) for each kilometer of fiber optic line. ~ 456 400 Eur will be allocated for network equipment, ancillary equipment, project management and administration, publicity activities, etc. It is caculated  to connect  48* 25 = 1200 users to the network. The target values for 2029 is calculated RCO41 = 1200 * 0.667=800 and RCO42 = 1200* 0.333=400. It is planned, that the milestone value will be 20 percent in 2024 ( RCO41 = 800* 0.2 = 160 and RCO42 = 1200 * 0.2 = 80)</t>
    </r>
    <r>
      <rPr>
        <sz val="11"/>
        <color rgb="FFFF0000"/>
        <rFont val="Calibri"/>
        <family val="2"/>
        <charset val="186"/>
        <scheme val="minor"/>
      </rPr>
      <t xml:space="preserve">.  </t>
    </r>
  </si>
  <si>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Planuojama, kad prisijungusių bus apie 80% namų ūkių, turėjusių prisijungimo taškus. Todėl RCR53=800*0,8=640.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</si>
  <si>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800 * 0.8 = 640. It should be noted that  value ​​have been calculated preliminarily. It will be revised following the evaluation of the Pre-investment of EU Funds in Digital Connectivity Activities for the 2021-2027 funding period. The final report  should be confirm untill 2021. </t>
    </r>
  </si>
  <si>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Planuojama, kad prisijungusių bus apie 80% įmonių, turėjusių prisijungimo taškus. Todėl RCR54=400*0,8=320.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</si>
  <si>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400 * 0.8 = 320. I</t>
    </r>
  </si>
  <si>
    <r>
      <t xml:space="preserve"> </t>
    </r>
    <r>
      <rPr>
        <b/>
        <sz val="11"/>
        <rFont val="Calibri"/>
        <family val="2"/>
        <scheme val="minor"/>
      </rPr>
      <t xml:space="preserve">053 </t>
    </r>
    <r>
      <rPr>
        <sz val="11"/>
        <rFont val="Calibri"/>
        <family val="2"/>
        <scheme val="minor"/>
      </rPr>
      <t xml:space="preserve"> ICT: Very High-Capacity broadband network (access/local loop with a performance equivalent to an optical fibre installation up to the distribution point at the serving location for homes and business premises) equivalent to an optical fibre installation up to the distribution point at the serving location for multi-dwelling premises) </t>
    </r>
  </si>
  <si>
    <t xml:space="preserve"> Skaičiuojama, kad bus paklota apie 350 km šviesolaidinių linijų (ŠKL) iki paslaugų paskirstymo taškų už apie 5 250 000,00 Eur - apie 15 000 Eur už 1 km.  Daroma prielaida, kad vidutiniškai iki kiekvieno paskirstymo mazgo bus klojama ~2 km ŠKL, o nuo kiekvieno paskirstymo mazgo vidutiniškai bus suteikta galimybė prisijungti ~ 40 vartotojų (~ 66,7 proc. namų ūkiams ir ~33,3 proc.  įmonėms). Apie 1 762 070,59 Eur bus skirta tinklo įrangai, pagalbinei įrangai, projekto valdymui ir administravimui, viešinimo veikloms ir kt. Viso prie tinklo planuojama prijungti 350/2*40= 7000 vartotojų. RCO41 =7000*0,667≈4700, o RCO42=7000*0,333≈2300. Planuojama, kad 2024 m. bus pasiekta 20 proc., todėl RCO41=4700*0,2=940, o RCO42=2300*0,2=460.</t>
  </si>
  <si>
    <r>
      <t xml:space="preserve"> It is estimated that </t>
    </r>
    <r>
      <rPr>
        <sz val="11"/>
        <rFont val="Calibri"/>
        <family val="2"/>
      </rPr>
      <t>~</t>
    </r>
    <r>
      <rPr>
        <sz val="11"/>
        <rFont val="Calibri"/>
        <family val="2"/>
        <scheme val="minor"/>
      </rPr>
      <t xml:space="preserve"> 350 km of fiber optic lines will be laid ( </t>
    </r>
    <r>
      <rPr>
        <sz val="11"/>
        <rFont val="Calibri"/>
        <family val="2"/>
      </rPr>
      <t>~</t>
    </r>
    <r>
      <rPr>
        <sz val="6.05"/>
        <rFont val="Calibri"/>
        <family val="2"/>
      </rPr>
      <t xml:space="preserve"> </t>
    </r>
    <r>
      <rPr>
        <sz val="11"/>
        <rFont val="Calibri"/>
        <family val="2"/>
        <scheme val="minor"/>
      </rPr>
      <t xml:space="preserve">5 250 000.00 Eur, </t>
    </r>
    <r>
      <rPr>
        <sz val="11"/>
        <rFont val="Calibri"/>
        <family val="2"/>
      </rPr>
      <t>~</t>
    </r>
    <r>
      <rPr>
        <sz val="11"/>
        <rFont val="Calibri"/>
        <family val="2"/>
        <scheme val="minor"/>
      </rPr>
      <t xml:space="preserve">  15 000  Eur for 1 km) up to the distribution point.  It is assumed that  ~ 2 km of fiber-optic lines will be laid up to each distribution point,  40 users  (~ 66.7% dwellings and ~ 33.3% enterprises) will be able to connect from each distribution point.  </t>
    </r>
    <r>
      <rPr>
        <sz val="11"/>
        <rFont val="Calibri"/>
        <family val="2"/>
      </rPr>
      <t>~</t>
    </r>
    <r>
      <rPr>
        <sz val="11"/>
        <rFont val="Calibri"/>
        <family val="2"/>
        <scheme val="minor"/>
      </rPr>
      <t xml:space="preserve">1 762 070.59  Eur will be allocated for network equipment, ancillary equipment, project management and administration, publicity activities, etc. It is caculated  to connect  350/2*40 = 7000 users. The target values for 2029 is calculated RCO41 = 7000 * 0.667=4700 and RCO42 = 7000 * 0.333=2300. It is planned, that the milestone value will be 20 percent in 2024 ( RCO41 = 4700 * 0.2 = 940 and RCO42 = 2300 * 0.2 = 460).  </t>
    </r>
  </si>
  <si>
    <t>A Planuojama, kad prisijungusių bus apie 80% namų ūkių, turėjusių prisijungimo taškus. Todėl RCR53=4700*0,8=3760.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</si>
  <si>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4700 * 0.8 = 3760. It should be noted that  value ​​have been calculated preliminarily. It will be revised following the evaluation of the Pre-investment of EU Funds in Digital Connectivity Activities for the 2021-2027 funding period. The final report  should be confirm untill 2021. </t>
    </r>
  </si>
  <si>
    <t xml:space="preserve"> Planuojama, kad prisijungusių bus apie 80% įmonių, turėjusių prisijungimo taškus. Todėl RCR54=2300*0,8=1840.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</si>
  <si>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2300 * 0.8 = 1840. It should be noted that  value ​​have been calculated preliminarily. It will be revised following the evaluation of the Pre-investment of EU Funds in Digital Connectivity Activities for the 2021-2027 funding period. The final report  should be confirm untill 2021. </t>
    </r>
  </si>
  <si>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Skaičiuojama, kad bus paklota apie 30 km šviesolaidinių linijų (ŠKL) iki paslaugų paskirstymo taškų už apie 450 000,00 Eur - apie 15 000 Eur už 1 km.  Daroma prielaida, kad vidutiniškai iki kiekvieno paskirstymo mazgo bus klojama ~2 km ŠKL, o nuo kiekvieno paskirstymo mazgo vidutiniškai bus suteikta galimybė prisijungti ~ 40 vartotojų (~ 66,7 proc. namų ūkiams ir ~33,3 proc.  įmonėms). Apie 132 400 Eur bus skirta tinklo įrangai, pagalbinei įrangai, projekto valdymui ir administravimui, viešinimo veikloms ir kt. Viso prie tinklo planuojama prijungti 30/2*40= 600 vartotojų. RCO41 =600*0,667≈400, o RCO42=600*0,333≈200. Planuojama, kad 2024 m. bus pasiekta 20 proc., todėl RCO41=400*0,2=80, o RCO42=200*0,2=40.</t>
  </si>
  <si>
    <r>
      <rPr>
        <sz val="11"/>
        <rFont val="Calibri"/>
        <family val="2"/>
        <charset val="186"/>
        <scheme val="minor"/>
      </rPr>
      <t xml:space="preserve"> It is estimated that ~ 30 km of fiber optic lines will be laid ( ~ 450 000 Eur, ~  15 000  Eur for 1 km) up to the distribution point.  It is assumed that  ~ 2 km of fiber-optic lines will be laid up to each distribution point,  40 users  (~ 66.7% dwellings and ~ 33.3% enterprises) will be able to connect from each distribution point.  ~132 400  Eur will be allocated for network equipment, ancillary equipment, project management and administration, publicity activities, etc. It is caculated  to connect  30/2*40 = 600 users. The target values for 2029 is calculated RCO41 = 600 * 0.667=400 and RCO42 = 600 * 0.333=200. It is planned, that the milestone value will be 20 percent in 2024 ( RCO41 = 400 * 0.2 = 80 and RCO42 = 200* 0.2 = 40). </t>
    </r>
    <r>
      <rPr>
        <sz val="11"/>
        <color rgb="FFFF0000"/>
        <rFont val="Calibri"/>
        <family val="2"/>
        <scheme val="minor"/>
      </rPr>
      <t xml:space="preserve"> </t>
    </r>
  </si>
  <si>
    <t xml:space="preserve"> Planuojama, kad prisijungusių bus apie 80% namų ūkių, turėjusių prisijungimo taškus. Todėl RCR53=400*0,8=320.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</si>
  <si>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400 * 0.8 = 320. </t>
    </r>
  </si>
  <si>
    <t>Apskaičiuotos reikšmės yra preliminarios. Jos bus patikslintos atlikus Išankstinio  ES fondų investicijų į skaitmeninio junglumo gerinimo veiklą 2021–2027 m. finansavimo laikotarpiu vertinimą. Galutinę ataskaitą planuojamą gauti 2020 gruodžio mėn. viduryje. Apskaičiuota įvertinus vykdytų/vykdomų projektų rodiklius. Planuojama, kad prisijungusių bus apie 80% įmonių, turėjusių prisijungimo taškus. Todėl RCR53=200*0,8=160.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</si>
  <si>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200 * 0.8 = 160.</t>
    </r>
  </si>
  <si>
    <r>
      <rPr>
        <b/>
        <sz val="11"/>
        <rFont val="Calibri"/>
        <family val="2"/>
        <scheme val="minor"/>
      </rPr>
      <t xml:space="preserve"> 054</t>
    </r>
    <r>
      <rPr>
        <sz val="11"/>
        <rFont val="Calibri"/>
        <family val="2"/>
        <scheme val="minor"/>
      </rPr>
      <t xml:space="preserve"> ICT: Very High-Capacity broadband network (access/local loop with a performance equivalent to an optical fibre installation up to the base station for advanced wireless communication) </t>
    </r>
  </si>
  <si>
    <r>
      <t>Skaičiuojama, kad bus paklota apie 400 km šviesolaidinių linijų (ŠKL) iki bazinių stočių už apie 6 000 000,00 Eur - apie 15 000 Eur už 1 km.  Daroma prielaida, kad vidutiniškai iki kiekvienos bazinės stoties bus klojama ~5 km ŠKL, o nuo kiekvienos bazinės stoties vidutiniškai bus suteikta galimybė prisijungti ~ 90 vartotojų (~ 66,7 proc. namų ūkiams ir ~33,3 proc.  įmonėms). Apie 1 013 776,46 Eur bus skirta tinklo įrangai, pagalbinei įrangai, projekto valdymui ir administravimui, viešinimo veikloms ir kt. Viso prie tinklo planuojama prijungti 400/5*90</t>
    </r>
    <r>
      <rPr>
        <sz val="11"/>
        <color theme="1"/>
        <rFont val="Calibri"/>
        <family val="2"/>
      </rPr>
      <t>≈</t>
    </r>
    <r>
      <rPr>
        <sz val="11"/>
        <color theme="1"/>
        <rFont val="Calibri"/>
        <family val="2"/>
        <scheme val="minor"/>
      </rPr>
      <t xml:space="preserve"> 7200 vartotojų. RCO41 =7200*0,667≈4800, o RCO42=7200*0,333≈2400. Planuojama, kad 2024 m. bus pasiekta 20 proc., todėl RCO41=4800*0,2=960, o RCO42=2400*0,2=480.</t>
    </r>
  </si>
  <si>
    <r>
      <rPr>
        <sz val="11"/>
        <rFont val="Calibri"/>
        <family val="2"/>
        <charset val="186"/>
        <scheme val="minor"/>
      </rPr>
      <t xml:space="preserve"> It is estimated that ~ 400 km of fiber optic lines will be laid ( ~ 6 000 000 Eur, ~  15 000  Eur for 1 km) to the base stations.  It is assumed that  ~ 5 km of fiber-optic lines will be laid to each base station, and  ~ 90 (~ 66.7% dwellings and ~ 33.3% enterprises) users will be able to connect from each base station.~ 1 013 776,46 Eur will be allocated for network equipment, ancillary equipment, project management and administration, publicity activities, etc. It is caculated  to connect  400/5*90 = 7200 users. The target values for 2029 is calculated RCO41 = 7200*0,667≈4800 and  RCO42=7200*0,333≈2400. It is planned, that the milestone value will be 20 percent in 2024 ( RCO41 =4800 * 0.2 = 960 and RCO42 = 2400 * 0.2 = 480).</t>
    </r>
    <r>
      <rPr>
        <sz val="11"/>
        <color rgb="FFFF0000"/>
        <rFont val="Calibri"/>
        <family val="2"/>
        <scheme val="minor"/>
      </rPr>
      <t xml:space="preserve">  </t>
    </r>
  </si>
  <si>
    <t xml:space="preserve"> Planuojama, kad prisijungusių bus apie 80% namų ūkių, turėjusių prisijungimo taškus. Todėl RCR53=4800*0,8=3840.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</si>
  <si>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4800 * 0.8 = 3840. </t>
    </r>
  </si>
  <si>
    <t>Planuojama, kad prisijungusių bus apie 80% įmonių, turėjusių prisijungimo taškus. Todėl RCR54=2400*0,8=1920.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</si>
  <si>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2400 * 0.8 = 1920.</t>
    </r>
    <r>
      <rPr>
        <sz val="11"/>
        <color rgb="FFFF0000"/>
        <rFont val="Calibri"/>
        <family val="2"/>
        <charset val="186"/>
        <scheme val="minor"/>
      </rPr>
      <t xml:space="preserve"> </t>
    </r>
  </si>
  <si>
    <t xml:space="preserve"> Skaičiuojama, kad bus paklota apie 32 km šviesolaidinių linijų (ŠKL) iki bazinių stočių už apie 480 000,00 Eur - apie 15 000 Eur už 1 km.  Daroma prielaida, kad vidutiniškai iki kiekvienos bazinės stoties bus klojama ~5 km ŠKL, o nuo kiekvienos bazinės stoties vidutiniškai bus suteikta galimybė prisijungti ~ 90 vartotojų (~ 66,7 proc. namų ūkiams ir ~33,3 proc.  įmonėms). Apie 101 000 Eur bus skirta tinklo įrangai, pagalbinei įrangai, projekto valdymui ir administravimui, viešinimo veikloms ir kt. Viso prie tinklo planuojama prijungti 32/5*90≈ 576 vartotojų. RCO41 =576*0,667=384, o RCO42=576*0,333=192. Planuojama, kad 2024 m. bus pasiekta 20 proc., todėl RCO41=384*0,2=77, o RCO42=192*0,2=38.</t>
  </si>
  <si>
    <r>
      <rPr>
        <sz val="11"/>
        <rFont val="Calibri"/>
        <family val="2"/>
        <charset val="186"/>
        <scheme val="minor"/>
      </rPr>
      <t xml:space="preserve"> It is estimated that ~ 32 km of fiber optic lines will be laid ( ~ 480 000 Eur, ~  15 000  Eur for 1 km) to the base stations.  It is assumed that  ~ 5 km of fiber-optic lines will be laid to each base station, and  ~ 90 (~ 66.7% dwellings and ~ 33.3% enterprises) users will be able to connect from each base station.~ 101 000 Eur will be allocated for network equipment, ancillary equipment, project management and administration, publicity activities, etc. It is caculated  to connect  32/5*90 = 576 users. The target values for 2029 is calculated RCO41 = 576*0,667≈384 and  RCO42=576*0,333≈192. It is planned, that the milestone value will be 20 percent in 2024 ( RCO41 =384* 0.2 = 77 and RCO42 = 192 * 0.2 = 38). </t>
    </r>
    <r>
      <rPr>
        <sz val="11"/>
        <color rgb="FFFF0000"/>
        <rFont val="Calibri"/>
        <family val="2"/>
        <scheme val="minor"/>
      </rPr>
      <t xml:space="preserve"> </t>
    </r>
  </si>
  <si>
    <t xml:space="preserve"> Planuojama, kad prisijungusių bus apie 80% namų ūkių, turėjusių prisijungimo taškus. Todėl RCR53=384*0,8=307.</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</si>
  <si>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384 * 0.8 = 307. </t>
    </r>
  </si>
  <si>
    <t>Planuojama, kad prisijungusių bus apie 80% įmonių, turėjusių prisijungimo taškus. Todėl RCR53=192*0,8=154.</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</si>
  <si>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192* 0.8 = 154.</t>
    </r>
  </si>
  <si>
    <t>VVT</t>
  </si>
  <si>
    <t>Viso</t>
  </si>
  <si>
    <t>bendrai</t>
  </si>
  <si>
    <t>Bendrai</t>
  </si>
  <si>
    <t>Sostonės</t>
  </si>
  <si>
    <t>VVL</t>
  </si>
  <si>
    <t>Policy objective - 3. A more connected Europe by enhancing mobility</t>
  </si>
  <si>
    <t>Specific objective- 3.1 Developing a climate resilient, intelligent, secure, sustainable and intermodal TEN-T (Plėtoti klimato kaitai atsparų, pažangų, saugų, tvarų ir įvairiarūšį TEN-T)</t>
  </si>
  <si>
    <t>Ministry of transport</t>
  </si>
  <si>
    <t xml:space="preserve">allocation 2021- 2027 used for calculation of 2029 target </t>
  </si>
  <si>
    <t xml:space="preserve">Target 2029 </t>
  </si>
  <si>
    <t>Justification for the proposed change 2024-04</t>
  </si>
  <si>
    <t>Justification for the proposed change 2025-03</t>
  </si>
  <si>
    <t>Justification for the proposed change 2025-12</t>
  </si>
  <si>
    <t>Comments</t>
  </si>
  <si>
    <t>Value</t>
  </si>
  <si>
    <t xml:space="preserve">3.1.1. Improve and develop the rail infrastructure of the TEN-T network (Tobulinti ir plėtoti TEN-T tinklo geležinkelių infrastruktūrą) </t>
  </si>
  <si>
    <r>
      <rPr>
        <b/>
        <sz val="11"/>
        <color theme="1"/>
        <rFont val="Calibri"/>
        <family val="2"/>
        <scheme val="minor"/>
      </rPr>
      <t>100</t>
    </r>
    <r>
      <rPr>
        <b/>
        <sz val="11"/>
        <color rgb="FFFF0000"/>
        <rFont val="Calibri"/>
        <family val="2"/>
        <scheme val="minor"/>
      </rPr>
      <t xml:space="preserve"> </t>
    </r>
    <r>
      <rPr>
        <sz val="11"/>
        <color theme="1"/>
        <rFont val="Calibri"/>
        <family val="2"/>
        <scheme val="minor"/>
      </rPr>
      <t>Reconstructed or modernised railways - TEN-T core network (Rekonstruoti ar modernizuoti geležinkeliai – TEN-T pagrindinis tinklas)</t>
    </r>
  </si>
  <si>
    <t>RCO49</t>
  </si>
  <si>
    <t>Length of rail reconstructed or modernised - TENT-T (rekonstruotų arba modernizuotų geležinkelių ilgis – TEN-T)</t>
  </si>
  <si>
    <t>Km</t>
  </si>
  <si>
    <t>Projects data</t>
  </si>
  <si>
    <t xml:space="preserve">69,28  percent (~85 106 687 Eur) of intervension investments is allocated to this indicator. It is planned to modernise rail catenary track on the line  Nauja Vilnia - Vilnius - Paneriai - Kaišiadorys  section, which is 111 km.  This modernization will ensure posibility for electrified traction, suitable not just for pasenger, but also for cargo trafic. The required investments for the modernisation ( 100 000 000 Eur) of this section are determined according to the contracts on similar works (~600 000 Eur tariff per 1 km), when constructing new electrified lines, set in contract "Electrification of the Vilnius-Klaipėda (Draugystės st.), and not including works, specifical for building of new electrified lines (considering that part of the infrastructure is already in place and should be renovated ant bild new) Section" for electrification projected currently being implemented by LTG Infra.  The final cost is obtained  by indexing 2019 tariff by estimating the price change before the start  of the planned works (in 2024) (the change was based on the actual values ​​and forecasts of the harmonized price index published on the website of the Ministry of Finance (source: https://finmin.lrv.lt/lt/aktualus-valstybes-finansu-duomenys/ekonomines-raidos-scenarijus)) and adjusting for scope of investments  (catenary reneval works, replacement of existing structures, reneval of substations that are unsuitable, etc.) which were not assessed in mentioned  modernisation electrificated track project. The final tariff is ~900 900 Eur per 1 km. The required investments are calculeted 111*900900≈100000000. In order to ensure the reelectrification of the integrated section, in addition to the planned investments of the program (~85 106 687  Eur), it is planned  addition private contribution (~14 893 313 Eur). 
Therefore the target value for 2029 of the indicator is determined taking into account all the investments necessary for the implementation of the project. The milestone value is not calculated because the project is planned to start in 2024.
</t>
  </si>
  <si>
    <r>
      <rPr>
        <strike/>
        <sz val="11"/>
        <rFont val="Calibri"/>
        <family val="2"/>
        <scheme val="minor"/>
      </rPr>
      <t>69,28  percent (~85 106 687 Eur) of intervension investments is allocated to this indicator. It is planned to modernise rail catenary track on the line  Nauja Vilnia - Vilnius - Paneriai - Kaišiadorys  section, which is 111 km.  This modernization will ensure posibility for electrified traction, suitable not just for pasenger, but also for cargo trafic. The required investments for the modernisation ( 100 000 000 Eur) of this section are determined according to the contracts on similar works (~600 000 Eur tariff per 1 km), when constructing new electrified lines, set in contract "Electrification of the Vilnius-Klaipėda (Draugystės st.), and not including works, specifical for building of new electrified lines (considering that part of the infrastructure is already in place and should be renovated ant bild new) Section" for electrification projected currently being implemented by LTG Infra.  The final cost is obtained  by indexing 2019 tariff by estimating the price change before the start  of the planned works (in 2024) (the change was based on the actual values ​​and forecasts of the harmonized price index published on the website of the Ministry of Finance (source: https://finmin.lrv.lt/lt/aktualus-valstybes-finansu-duomenys/ekonomines-raidos-scenarijus)) and adjusting for scope of investments  (catenary reneval works, replacement of existing structures, reneval of substations that are unsuitable, etc.) which were not assessed in mentioned  modernisation electrificated track project. The final tariff is ~900 900 Eur per 1 km. The required investments are calculeted 111*900900≈100000000. In order to ensure the reelectrification of the integrated section, in addition to the planned investments of the program (~85 106 687  Eur), it is planned  addition private contribution (~14 893 313 Eur). 
Therefore the target value for 2029 of the indicator is determined taking into account all the investments necessary for the implementation of the project. The milestone value is not calculated because the project is planned to start in 2024.</t>
    </r>
    <r>
      <rPr>
        <b/>
        <sz val="11"/>
        <rFont val="Calibri"/>
        <family val="2"/>
        <scheme val="minor"/>
      </rPr>
      <t xml:space="preserve">
On 13 March 2024, the European Commission approved a phased project entitled "Electrification of the section Kaišiadorys–Klaipėda (Draugystės st.)". Phase I of the project has already been completed and has been financed by the EU funds and national funds for 2014-2020 financial period, and phase II of the project is planned to be financed by the EU funds and national funds for the 2021-2027 financial period. In the EC project approval notification the following costs of the above-mentioned project were indicated: 
1. Other sources:
50 000 000,00 (Loans, LTG Infra) and EC grant under 2021-2027 (82 470 796,10 EUR).
2. Information about the total eligible costs of phase II and the CF amount for phase II to be
financed from 2021-2027 Programme:
Total eligible costs of Phase II – 97 024 466,00 EUR (EU contribution from 2021-2027 IP -
82 470 796,10 EUR).                                                                                                                                                                                                    
Railway section Kaišiadorys–Klaipėda (Draugystės station) (321 km) (hereinafter – the Section) belongs to the 423.9 km Country border–Kena–Klaipėda (Draugystės station) railway line. The aim of the Project is to modernize the infrastructure of the railway section Kaišiadorys-Klaipėda (Draugystės st.), which is a part of transport corridor IXB and belongs to the TEN-T network, and to reduce the consumption of fossil fuels in the railway transport sector, thus increasing the efficiency of the railway transport operations and reducing the environmental pollution. Electrification of the Section, which length of railway lines is around 321 km. The whole scope is divided into two stages. Phase I is finished in year 2024 and consists of completed technical design for whole line and 122 km of installed catenary network; phase II - all 321 km are electrified and completely operable in 2025 QIV. Within the scope of the Project  II phase it is planned to: 1) construct catenary  (199 km) and power supply equipment (foundations, poles, wires, feeders, etc.); 2) construct (reconstruct) traction substations and autotransformers (5 TPS + 8 ATS); 3) install power networks and connections of  high voltage lines from the traction substations to national grid controlled by JSC Litgrid; 4) implement other activities directly related with electrification of the Section (EIA screenings, spatial planning, land acquisition, etc.). Within the scope of the Project the infrastructure of the railway section Kaišiadorys–Klaipėda (Draugystės station) will be modernised by electrifying 1520 mm gauge 321 km length railway lines. Hence, after the implementation of the Project, the indicators of the OP will be achieved to the full extent. </t>
    </r>
  </si>
  <si>
    <t>Estimated greenhouse emissions (numatomas išmetamas šiltnamio efektą sukeliančių dujų kiekis)</t>
  </si>
  <si>
    <t>2020</t>
  </si>
  <si>
    <t>The value of the indicator is determined taking into account: (i) the planned train volume (tr.km); (ii) diesel train fuel consumption (l / tr.km); (iii) the emission values ​​(kg / t) specified in the methodology for rail transport emissions developed by the European Environment Agency; (iv) Estimates of air pollution reduction provided in the Methodology for Calculation of Conversion Factors and Socio-Economic Impact (Benefit / Harm) Assessment of the Central Project Management Agency. 
The walue of emissions is valued at 0 for tracks, that wil be modernized, considering, that al the traction power, curently in use, comes from renevable energy sources.  AB “LTG Infra” uses energy, produced from renewable sources for electrical traction from 2018 and will continue to use this type of electrical energy for all electrified railway network (present ant planned) for foreseeable future. It is planned that after the implementation of the project, fully electric LTG Cargo and LTG LINK trains will run on the electrified section. From year 2020 AB „LTG Infra“ is purchasing electric energy for al company uses on the open market according to laws and regulation of Republic of Lithuania. During purchase procedure for electrical energy, conditions of tender stated, that no less than 10 percent of electrical energy should be produced from renewable sources.  In winning proposition 93 890 845 kWh of electrical energy, comprising al the electrical energy needs of AB “LTG Infra” and including electrical energy for all electrified rail traction is produced from renewable energy sources.
AB “LTG Infra” main priority is greening of transport system by promoting use of train transport as low emissions alternative and purchase of electrical energy, produced from renewable sources, is a way to achieve long term goals of green transport.
Considering these factors, after modernization greenhouse emisions wil be at 0. 
Due to technical limitations, the target value  is 0,01 in system SFC2021. ​​</t>
  </si>
  <si>
    <t>Specific output</t>
  </si>
  <si>
    <t>Platforms at railway stations reconstructed to ensure level access (Geležinkelių stotyse esantys peronai, rekonstruoti juos pritaikant vienalygei prieigai)</t>
  </si>
  <si>
    <r>
      <t xml:space="preserve">20,14 percent (~24 742 692 Eur) of intervension investments is allocated to this indicator. It is planned  to reconstruct platforms in 44 TEN-T ( </t>
    </r>
    <r>
      <rPr>
        <u/>
        <sz val="11"/>
        <rFont val="Calibri"/>
        <family val="2"/>
        <scheme val="minor"/>
      </rPr>
      <t>26- in TEN-T core network</t>
    </r>
    <r>
      <rPr>
        <sz val="11"/>
        <rFont val="Calibri"/>
        <family val="2"/>
        <scheme val="minor"/>
      </rPr>
      <t>, 18 - in TEN-T comprehensive network) Lithuanian railway stations serving the largest passenger flows according to the principles of universal design. The required investments for the reconstruction of platforms ( 43 000 000 Eur)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adjusted for 2022 and also for scope of the project average are ~ 977 272 per one station, where platforms are reconstructed. 
The required investments are calculeted 26*977 272≈25 410 000 Eur. In order to ensure the of reconstruction paltforms in railway stations serving the largest passenger flows, in addition to the planned investments of the program (~24 742 692 Eur), it is planned  addition private contribution (~667 308 Eur). The milestone value is not calculated because the project is planned to start after 2024.</t>
    </r>
  </si>
  <si>
    <r>
      <rPr>
        <strike/>
        <sz val="11"/>
        <rFont val="Calibri"/>
        <family val="2"/>
        <scheme val="minor"/>
      </rPr>
      <t>20,14 percent (~24 742 692 Eur)</t>
    </r>
    <r>
      <rPr>
        <sz val="11"/>
        <rFont val="Calibri"/>
        <family val="2"/>
        <scheme val="minor"/>
      </rPr>
      <t xml:space="preserve"> </t>
    </r>
    <r>
      <rPr>
        <b/>
        <sz val="11"/>
        <rFont val="Calibri"/>
        <family val="2"/>
        <scheme val="minor"/>
      </rPr>
      <t>44 999 895 Eur</t>
    </r>
    <r>
      <rPr>
        <sz val="11"/>
        <rFont val="Calibri"/>
        <family val="2"/>
        <scheme val="minor"/>
      </rPr>
      <t xml:space="preserve"> of intervension investments is allocated to this indicator. It is planned  to reconstruct platforms in </t>
    </r>
    <r>
      <rPr>
        <b/>
        <sz val="11"/>
        <rFont val="Calibri"/>
        <family val="2"/>
        <scheme val="minor"/>
      </rPr>
      <t>approximately</t>
    </r>
    <r>
      <rPr>
        <sz val="11"/>
        <rFont val="Calibri"/>
        <family val="2"/>
        <scheme val="minor"/>
      </rPr>
      <t xml:space="preserve"> 44 TEN-T (</t>
    </r>
    <r>
      <rPr>
        <strike/>
        <u/>
        <sz val="11"/>
        <rFont val="Calibri"/>
        <family val="2"/>
        <scheme val="minor"/>
      </rPr>
      <t>26</t>
    </r>
    <r>
      <rPr>
        <u/>
        <sz val="11"/>
        <rFont val="Calibri"/>
        <family val="2"/>
        <scheme val="minor"/>
      </rPr>
      <t xml:space="preserve"> </t>
    </r>
    <r>
      <rPr>
        <b/>
        <u/>
        <sz val="11"/>
        <rFont val="Calibri"/>
        <family val="2"/>
        <scheme val="minor"/>
      </rPr>
      <t>approximately</t>
    </r>
    <r>
      <rPr>
        <u/>
        <sz val="11"/>
        <rFont val="Calibri"/>
        <family val="2"/>
        <scheme val="minor"/>
      </rPr>
      <t xml:space="preserve"> </t>
    </r>
    <r>
      <rPr>
        <b/>
        <u/>
        <sz val="11"/>
        <rFont val="Calibri"/>
        <family val="2"/>
        <scheme val="minor"/>
      </rPr>
      <t>28</t>
    </r>
    <r>
      <rPr>
        <u/>
        <sz val="11"/>
        <rFont val="Calibri"/>
        <family val="2"/>
        <scheme val="minor"/>
      </rPr>
      <t>- in TEN-T core network</t>
    </r>
    <r>
      <rPr>
        <sz val="11"/>
        <rFont val="Calibri"/>
        <family val="2"/>
        <scheme val="minor"/>
      </rPr>
      <t xml:space="preserve">, </t>
    </r>
    <r>
      <rPr>
        <strike/>
        <sz val="11"/>
        <rFont val="Calibri"/>
        <family val="2"/>
        <scheme val="minor"/>
      </rPr>
      <t>18</t>
    </r>
    <r>
      <rPr>
        <sz val="11"/>
        <rFont val="Calibri"/>
        <family val="2"/>
        <scheme val="minor"/>
      </rPr>
      <t xml:space="preserve"> </t>
    </r>
    <r>
      <rPr>
        <b/>
        <sz val="11"/>
        <rFont val="Calibri"/>
        <family val="2"/>
        <scheme val="minor"/>
      </rPr>
      <t>approximately</t>
    </r>
    <r>
      <rPr>
        <sz val="11"/>
        <rFont val="Calibri"/>
        <family val="2"/>
        <scheme val="minor"/>
      </rPr>
      <t xml:space="preserve"> </t>
    </r>
    <r>
      <rPr>
        <b/>
        <sz val="11"/>
        <rFont val="Calibri"/>
        <family val="2"/>
        <scheme val="minor"/>
      </rPr>
      <t>16</t>
    </r>
    <r>
      <rPr>
        <sz val="11"/>
        <rFont val="Calibri"/>
        <family val="2"/>
        <scheme val="minor"/>
      </rPr>
      <t xml:space="preserve"> - in TEN-T comprehensive network) Lithuanian railway stations serving the largest passenger flows according to the principles of universal design. The required investments for the reconstruction of platforms (</t>
    </r>
    <r>
      <rPr>
        <strike/>
        <sz val="11"/>
        <rFont val="Calibri"/>
        <family val="2"/>
        <scheme val="minor"/>
      </rPr>
      <t>43 000 000</t>
    </r>
    <r>
      <rPr>
        <sz val="11"/>
        <rFont val="Calibri"/>
        <family val="2"/>
        <scheme val="minor"/>
      </rPr>
      <t xml:space="preserve"> </t>
    </r>
    <r>
      <rPr>
        <b/>
        <sz val="11"/>
        <rFont val="Calibri"/>
        <family val="2"/>
        <scheme val="minor"/>
      </rPr>
      <t>38 249 911</t>
    </r>
    <r>
      <rPr>
        <sz val="11"/>
        <rFont val="Calibri"/>
        <family val="2"/>
        <scheme val="minor"/>
      </rPr>
      <t xml:space="preserve"> Eur)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were adjusted for </t>
    </r>
    <r>
      <rPr>
        <strike/>
        <sz val="11"/>
        <rFont val="Calibri"/>
        <family val="2"/>
        <scheme val="minor"/>
      </rPr>
      <t>2022</t>
    </r>
    <r>
      <rPr>
        <sz val="11"/>
        <rFont val="Calibri"/>
        <family val="2"/>
        <scheme val="minor"/>
      </rPr>
      <t xml:space="preserve"> </t>
    </r>
    <r>
      <rPr>
        <b/>
        <sz val="11"/>
        <rFont val="Calibri"/>
        <family val="2"/>
        <scheme val="minor"/>
      </rPr>
      <t>2024</t>
    </r>
    <r>
      <rPr>
        <sz val="11"/>
        <rFont val="Calibri"/>
        <family val="2"/>
        <scheme val="minor"/>
      </rPr>
      <t xml:space="preserve"> and also for scope of the project average are </t>
    </r>
    <r>
      <rPr>
        <strike/>
        <sz val="11"/>
        <rFont val="Calibri"/>
        <family val="2"/>
        <scheme val="minor"/>
      </rPr>
      <t>~ 977 272</t>
    </r>
    <r>
      <rPr>
        <sz val="11"/>
        <rFont val="Calibri"/>
        <family val="2"/>
        <scheme val="minor"/>
      </rPr>
      <t xml:space="preserve"> </t>
    </r>
    <r>
      <rPr>
        <b/>
        <sz val="11"/>
        <rFont val="Calibri"/>
        <family val="2"/>
        <scheme val="minor"/>
      </rPr>
      <t>~ 1 022 725</t>
    </r>
    <r>
      <rPr>
        <sz val="11"/>
        <rFont val="Calibri"/>
        <family val="2"/>
        <scheme val="minor"/>
      </rPr>
      <t xml:space="preserve"> per one station, where platforms are reconstructed. 
The required investments are calculeted </t>
    </r>
    <r>
      <rPr>
        <strike/>
        <sz val="11"/>
        <rFont val="Calibri"/>
        <family val="2"/>
        <scheme val="minor"/>
      </rPr>
      <t>26*977 272≈25 410 000 Eur</t>
    </r>
    <r>
      <rPr>
        <sz val="11"/>
        <rFont val="Calibri"/>
        <family val="2"/>
        <scheme val="minor"/>
      </rPr>
      <t xml:space="preserve"> </t>
    </r>
    <r>
      <rPr>
        <b/>
        <sz val="11"/>
        <rFont val="Calibri"/>
        <family val="2"/>
        <scheme val="minor"/>
      </rPr>
      <t>28*1 022 725 ≈28 636 292 Eur</t>
    </r>
    <r>
      <rPr>
        <sz val="11"/>
        <rFont val="Calibri"/>
        <family val="2"/>
        <scheme val="minor"/>
      </rPr>
      <t>. In order to ensure the of reconstruction paltforms in railway stations serving the largest passenger flows, in addition to the planned investments of the program (</t>
    </r>
    <r>
      <rPr>
        <strike/>
        <sz val="11"/>
        <rFont val="Calibri"/>
        <family val="2"/>
        <scheme val="minor"/>
      </rPr>
      <t xml:space="preserve">~24 742 692 Eur </t>
    </r>
    <r>
      <rPr>
        <b/>
        <sz val="11"/>
        <rFont val="Calibri"/>
        <family val="2"/>
        <scheme val="minor"/>
      </rPr>
      <t>~24 340 848 Eur</t>
    </r>
    <r>
      <rPr>
        <sz val="11"/>
        <rFont val="Calibri"/>
        <family val="2"/>
        <scheme val="minor"/>
      </rPr>
      <t>), it is planned addition private contribution (</t>
    </r>
    <r>
      <rPr>
        <strike/>
        <sz val="11"/>
        <rFont val="Calibri"/>
        <family val="2"/>
        <scheme val="minor"/>
      </rPr>
      <t>~667 308 Eu</t>
    </r>
    <r>
      <rPr>
        <sz val="11"/>
        <rFont val="Calibri"/>
        <family val="2"/>
        <scheme val="minor"/>
      </rPr>
      <t xml:space="preserve">r </t>
    </r>
    <r>
      <rPr>
        <b/>
        <sz val="11"/>
        <rFont val="Calibri"/>
        <family val="2"/>
        <scheme val="minor"/>
      </rPr>
      <t>~4 295 444 Eur</t>
    </r>
    <r>
      <rPr>
        <sz val="11"/>
        <rFont val="Calibri"/>
        <family val="2"/>
        <scheme val="minor"/>
      </rPr>
      <t>). The milestone value is not calculated because the project is planned to start after 2024.</t>
    </r>
  </si>
  <si>
    <r>
      <rPr>
        <strike/>
        <sz val="11"/>
        <rFont val="Calibri"/>
        <family val="2"/>
        <scheme val="minor"/>
      </rPr>
      <t xml:space="preserve"> 44 999 895 </t>
    </r>
    <r>
      <rPr>
        <sz val="11"/>
        <rFont val="Calibri"/>
        <family val="2"/>
        <scheme val="minor"/>
      </rPr>
      <t xml:space="preserve">46 739 122 Eur of intervension investments is allocated to this indicator. It is planned  to reconstruct 52 platforms, by adapting them to level access,  </t>
    </r>
    <r>
      <rPr>
        <strike/>
        <sz val="11"/>
        <rFont val="Calibri"/>
        <family val="2"/>
        <scheme val="minor"/>
      </rPr>
      <t xml:space="preserve">in approximately 44 TEN-T </t>
    </r>
    <r>
      <rPr>
        <sz val="11"/>
        <rFont val="Calibri"/>
        <family val="2"/>
        <scheme val="minor"/>
      </rPr>
      <t>(</t>
    </r>
    <r>
      <rPr>
        <strike/>
        <u/>
        <sz val="11"/>
        <rFont val="Calibri"/>
        <family val="2"/>
        <scheme val="minor"/>
      </rPr>
      <t>26 approximately 28</t>
    </r>
    <r>
      <rPr>
        <u/>
        <sz val="11"/>
        <rFont val="Calibri"/>
        <family val="2"/>
        <scheme val="minor"/>
      </rPr>
      <t xml:space="preserve"> 32 - in TEN-T core network</t>
    </r>
    <r>
      <rPr>
        <sz val="11"/>
        <rFont val="Calibri"/>
        <family val="2"/>
        <scheme val="minor"/>
      </rPr>
      <t xml:space="preserve">, </t>
    </r>
    <r>
      <rPr>
        <strike/>
        <sz val="11"/>
        <rFont val="Calibri"/>
        <family val="2"/>
        <scheme val="minor"/>
      </rPr>
      <t>18 approximately 16</t>
    </r>
    <r>
      <rPr>
        <sz val="11"/>
        <rFont val="Calibri"/>
        <family val="2"/>
        <scheme val="minor"/>
      </rPr>
      <t xml:space="preserve"> 20 - in TEN-T comprehensive network) in Lithuanian railway stations serving the largest passenger flows  (Vilnius-Klaipėda, Vilnius-Kaunas, Vilnius-Turmantas, Klaipėda-Pagėgiai). After assessing the technical condition of the platforms planned for reconstruction and the corresponding nature of the required construction works, the platforms have been divided into three groups:
•	Group 1: Platforms at railway stations in good technical condition where partial platform reconstruction is planned (smaller-scale construction works).
•	Group 2: Platforms at railway stations in poor technical condition where full platform reconstruction is planned (large-scale construction works and individual solutions for the platforms).
•	Group 3: Platforms at railway stops, where standard solution platforms made of prefabricated structures will be installed, including mandatory platform elements such as ramps, lighting, shelters, benches, and level crossings between platforms.
The cost of works includes: design, obtaining construction permits, project expertise, PRM TSI (Persons with Reduced Mobility Technical Specifications for Interoperability) evaluation, project supervision, construction, technical supervision of construction, and PRM TSI certification.
The final cost of the necessary works was calculated by determining the cost of reconstructing one platform assigned to a specific group and multiplying it by the number of platforms planned for reconstruction at a particular railway station or stop.
Calculations considered the estimated costs from 2021 for the reconstruction of four railway stops (one platform each) on the Šilutė-Klaipėda section, the costs for reconstructing a platform in the middle track at Plungė railway station during the construction of the second Plungė-Šateikiai railway track in 2020, the PRM TSI certification costs for platforms constructed on the Rail Baltica 1 railway line, the construction costs of the ongoing project “Implementation of Barrier-Free Solutions in Station Territories,” as well as the current increase in material and labor prices.
•	It is preliminarily estimated that the cost of reconstructing one platform (standard solution) at a railway stop is approximately €469 000. 
•	•	The cost of reconstructing one platform at a railway station depends on its current technical condition and ranges from €1 million to €1.6 million per platform. Accordingly, it is preliminarily estimated that the average cost of reconstructing one platform at a railway station is approximately €1 440 800 (smaller-scale and large-scale construction works).
The  total cost of reconstructing 32 platforms in TEN-T core network is (22 * €1 440 800)+ (10 * €469 000) ≈ €36 387 600.
In order to ensure the of reconstruction platforms in railway stations serving the largest passenger flows, in addition to the planned preliminary investments of the program (~30 929 518 Eur), it is planned addition private contribution (~5 458 151 Eur). The milestone value is not calculated because the project is planned to start after 2024</t>
    </r>
  </si>
  <si>
    <t>Specific result</t>
  </si>
  <si>
    <t>Part of platforms adapted for level access (Peronų, pritaikytų  vienalygei prieigai, dalis )</t>
  </si>
  <si>
    <t>percent</t>
  </si>
  <si>
    <t>2024</t>
  </si>
  <si>
    <t>Infrastructure manager’s report</t>
  </si>
  <si>
    <r>
      <t>Currently AB "LTG Infra" have 134  stations on the rail network (55 - in TEN-T core network, 79 - in TEN-T comprehensive network) of Republic of Lithuania. According to evaluation of 2020, 17 (</t>
    </r>
    <r>
      <rPr>
        <u/>
        <sz val="11"/>
        <rFont val="Calibri"/>
        <family val="2"/>
        <scheme val="minor"/>
      </rPr>
      <t>10 - in TEN-T core network</t>
    </r>
    <r>
      <rPr>
        <sz val="11"/>
        <rFont val="Calibri"/>
        <family val="2"/>
        <scheme val="minor"/>
      </rPr>
      <t>, 7 - in TEN-T comprehensive network) stations of these stations have the access to the platforms and trains for people with special needs and disabilities. During implementation of  projects, additional in 2</t>
    </r>
    <r>
      <rPr>
        <u/>
        <sz val="11"/>
        <rFont val="Calibri"/>
        <family val="2"/>
        <scheme val="minor"/>
      </rPr>
      <t>6  stations (in TEN-T core  network)</t>
    </r>
    <r>
      <rPr>
        <sz val="11"/>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(10+26)*100/134≈26,9. The baseline value in 2020 is calculated 10*100/134≈7,5.</t>
    </r>
  </si>
  <si>
    <r>
      <t>Currently AB "LTG Infra" have 134  stations on the rail network (55 - in TEN-T core network, 79 - in TEN-T comprehensive network) of Republic of Lithuania. According to evaluation of 2020, 17 (</t>
    </r>
    <r>
      <rPr>
        <u/>
        <sz val="11"/>
        <rFont val="Calibri"/>
        <family val="2"/>
        <scheme val="minor"/>
      </rPr>
      <t>10 - in TEN-T core network</t>
    </r>
    <r>
      <rPr>
        <sz val="11"/>
        <rFont val="Calibri"/>
        <family val="2"/>
        <scheme val="minor"/>
      </rPr>
      <t xml:space="preserve">, 7 - in TEN-T comprehensive network) stations of these stations have the access to the platforms and trains for people with special needs and disabilities. During implementation of  projects, additional in </t>
    </r>
    <r>
      <rPr>
        <strike/>
        <sz val="11"/>
        <rFont val="Calibri"/>
        <family val="2"/>
        <scheme val="minor"/>
      </rPr>
      <t>26</t>
    </r>
    <r>
      <rPr>
        <sz val="11"/>
        <rFont val="Calibri"/>
        <family val="2"/>
        <scheme val="minor"/>
      </rPr>
      <t xml:space="preserve"> </t>
    </r>
    <r>
      <rPr>
        <b/>
        <sz val="11"/>
        <rFont val="Calibri"/>
        <family val="2"/>
        <scheme val="minor"/>
      </rPr>
      <t>28</t>
    </r>
    <r>
      <rPr>
        <u/>
        <sz val="11"/>
        <rFont val="Calibri"/>
        <family val="2"/>
        <scheme val="minor"/>
      </rPr>
      <t xml:space="preserve">  stations (in TEN-T core  network)</t>
    </r>
    <r>
      <rPr>
        <sz val="11"/>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(10+</t>
    </r>
    <r>
      <rPr>
        <strike/>
        <sz val="11"/>
        <rFont val="Calibri"/>
        <family val="2"/>
        <scheme val="minor"/>
      </rPr>
      <t>26</t>
    </r>
    <r>
      <rPr>
        <b/>
        <sz val="11"/>
        <rFont val="Calibri"/>
        <family val="2"/>
        <scheme val="minor"/>
      </rPr>
      <t xml:space="preserve"> 28</t>
    </r>
    <r>
      <rPr>
        <sz val="11"/>
        <rFont val="Calibri"/>
        <family val="2"/>
        <scheme val="minor"/>
      </rPr>
      <t>)*100/134≈</t>
    </r>
    <r>
      <rPr>
        <strike/>
        <sz val="11"/>
        <rFont val="Calibri"/>
        <family val="2"/>
        <scheme val="minor"/>
      </rPr>
      <t>26,9</t>
    </r>
    <r>
      <rPr>
        <sz val="11"/>
        <rFont val="Calibri"/>
        <family val="2"/>
        <scheme val="minor"/>
      </rPr>
      <t xml:space="preserve"> </t>
    </r>
    <r>
      <rPr>
        <b/>
        <sz val="11"/>
        <rFont val="Calibri"/>
        <family val="2"/>
        <scheme val="minor"/>
      </rPr>
      <t>28,4</t>
    </r>
    <r>
      <rPr>
        <sz val="11"/>
        <rFont val="Calibri"/>
        <family val="2"/>
        <scheme val="minor"/>
      </rPr>
      <t>. The baseline value in 2020 is calculated 10*100/134≈7,5.</t>
    </r>
  </si>
  <si>
    <t>Within the scope of the project, the platforms at Lithuanian railway stations serving the largest passenger flows (Vilnius-Klaipėda, Vilnius-Kaunas, Vilnius-Turmantas, Klaipėda-Pagėgiai) are currently not reconstructed to provide level access.
During the implementation of the projects, 32 platforms will be reconstructed to ensure level access. This will make boarding and alighting from train carriages more convenient for persons with mobility impairments and other train passengers.
As a result, the target value for the indicator in 2029 is calculated as 32*100/52≈61,5. The baseline value in 2024 is calculated as 0*100/52≈0.</t>
  </si>
  <si>
    <t xml:space="preserve"> Implemented traffic safety improvement and environmental protection measures in railways (Įdiegtos saugų eismą gerinančios ir
aplinkosaugos priemonės
geležinkeliuose)</t>
  </si>
  <si>
    <r>
      <t xml:space="preserve">
10,57 percent (12 989 098 Eur) of intervension investments is allocated to this indicator.  26,31 percent  (3 416 817 Eur) is allocated to measures to improve traffic safety and   73,69 percent (9 572 281Eur) is allocated to measures improve enviromental protection.
The tariff of  1 safety improvement measure is ~ 341 681  Eur, is determined according to the contract of  completed project "Modernization and implementation of railway traffic safety measures (signaling equipment and safety systems) at Valčiūnai railway station". The tariff of 1 measure improve enviromental protection is ~3 190 760 Eur is determined according to the data of projects implemented in 2014-2020 period by measure Measure no. 06.2.1-TID-V-509 "Reduction of negative environmental impact on railways" in Priority 6 "Development of Sustainable Transport and Core Network Infrastructure". 
The target value for 2029  is calculated  (3416817/341681)+(9572281/3190760)=13. The activities will be completed until 2024, therefore it is planned, that the milestone value will be 100 percent. </t>
    </r>
    <r>
      <rPr>
        <sz val="11"/>
        <color rgb="FFFF0000"/>
        <rFont val="Calibri"/>
        <family val="2"/>
        <scheme val="minor"/>
      </rPr>
      <t xml:space="preserve">
</t>
    </r>
  </si>
  <si>
    <r>
      <rPr>
        <strike/>
        <sz val="11"/>
        <rFont val="Calibri"/>
        <family val="2"/>
        <scheme val="minor"/>
      </rPr>
      <t xml:space="preserve">10,57 percent (12 989 098 Eur) of intervension investments is allocated to this indicator.  26,31 percent  (3 416 817 Eur) is allocated to measures to improve traffic safety and   73,69 percent (9 572 281Eur) is allocated to measures improve enviromental protection.
The tariff of  1 safety improvement measure is ~ 341 681  Eur, is determined according to the contract of  completed project "Modernization and implementation of railway traffic safety measures (signaling equipment and safety systems) at Valčiūnai railway station". The tariff of 1 measure improve enviromental protection is ~3 190 760 Eur is determined accoording to the data of projects implemented in 2014-2020 period by measure Measure no. 06.2.1-TID-V-509 "Reduction of negative environmental impact on railways" in Priority 6 "Development of Sustainable Transport and Core Network Infrastructure". 
The target value for 2029  is calculated  (3416817/341681)+(9572281/3190760)=13. The activities will be completed until 2024, therefore it is planned, that the milestone value will be 100 percent.
</t>
    </r>
    <r>
      <rPr>
        <b/>
        <sz val="11"/>
        <rFont val="Calibri"/>
        <family val="2"/>
        <scheme val="minor"/>
      </rPr>
      <t xml:space="preserve">
8 136 439 Eur (EU funds) of intervension investments is allocated to the installation of noise reduction measures on railway sections in Klaipeda and Kretinga (Total: 9 624 890=8 136 439 (EU) + 1 488 451(private)). Total 2 projects.
2 904 294 Eur (EU funds) of intervension investments is allocated to the Project "Modernization of priority crossings of the Vilnius–Klaipėda railway line" . (Total: 4 204 573=2 904 294 (EU) + 1 300 279 (private)). Total 10 projects.
824 354 Eur (EU funds) of intervension investments is allocated to 2 new priority crossings in TEN-T core network. The private funds 145 475 Eur. The public tendering for the reconstruction of crossings has not been finished. The necessary amount of funds was calculated taking into account the winning proposal. The price of one crossing ~484 915 Eur. The total amount 484 915 X 2 = ~ 969 829 Eur. Total 2 projects.
Approximately 10 mln (EU funds). Eur of intervension investments is allocated to construct a pedestrian crossings over railway tracks in Kretinga (Palangos St. and/or Šventosios St.) and Klaipėda (Pušyno Street)
Total value of the projects is 11,7 mln. Eur. Approximately 6 mln Eur. for  1 measure. The value is calculated on the basis of the design and construction contracts for the Kaišiadorys and Vilnius pedeestrian crosings. The activities will be completed until 2027, therefore it is planned, that the milestone value will be 100 percent. Total 2 projects.
The rest of intervension investments is allocated to construct pedestrian railway viaducts in 7 railway stations:
Stage I - Viaduct 1 - Gaižiūnai station. Design -  140.0 t.Eur; Construction - EUR 1 265 000 Eur;
Stage II - 3 viaducts - Radviliškis, Paneriai, Kybartai stations. Design - 375,0 t.Eur; Construction - 3 381 000 Eur;
Stage III - 3 viaducts - Kenos, Panevėžio, N.Vilnios stations. Design - 300.0 t.Eur; Construction - 2 500 000 Eur.
~6 766 850 Eur (EU funds) from the intervention and ~1 194 150 private contribution. (Total 7 961 000 Eur).
Total planned investments 34 460 292 Eur: calculated intervention investments - 33 684 632 (EU funds approximately - 28 631 937 Eur, Private contribution - approximately 5 052 695 Eur), other contribution - approximately 775 660 Eur. Total completed projects with planned investments - 23. 13 projects are planned to be implemented until the end of 2024. So the milestone value for 2024 is 13.</t>
    </r>
  </si>
  <si>
    <t>8 136 439 Eur (EU funds) of intervension investments is allocated to the installation of noise reduction measures on railway sections in Klaipeda and Kretinga (Total: 9 624 890=8 136 439 (EU) + 1 488 451(private)). Total 2 3 measures.
2 904 294 Eur (EU funds) of intervension investments is allocated to the Project "Modernization of priority crossings of the Vilnius–Klaipėda railway line" . (Total: 4 204 573=2 904 294 (EU) + 1 300 279 (private)). Total 10 measures.
874 137 Eur (EU funds) of intervension investments is allocated to the Project "Modernization of priority crossings of the Vilnius–Klaipėda railway line" as additional financing.
824 354 Eur (EU funds) of intervension investments is allocated to 2 new priority crossings in TEN-T core network. The private funds 145 475 Eur. The public tendering for the reconstruction of crossings has not been finished. The necessary amount of funds was calculated taking into account the winning proposal. The price of one crossing ~484 915 Eur. The total amount 484 915 X 2 = ~ 969 829 Eur. Total 2 measures.
552 996 Eur (EU funds) of intervension investments is allocated to the modernization of the level crossing in the project “Level Crossing Safety Improvement Program. Phase V (Kretinga, Šventosios St.).” Private funds amount to €145,475. The cost of the Kretinga level crossing was assessed considering the key works carried out for 14 level crossings included in the project “Level Crossing Safety Improvement Program. Phase III. Modernization of 14 Priority Level Crossings” and 10 level crossings included in the project “Modernization of Priority Level Crossings on the Vilnius–Klaipėda Railway Line,” as well as the automation proposals for level crossings in the mentioned projects and additional works required to address the specific needs of Kretinga level crossing. Total 1 measure.
It became possible to allocate these funds for the modernization of the level crossing by revising the price of the projects “Construction of a grade-separated pedestrian crossing at 375+117 km on the Vilnius–Klaipėda line” (Klaipėda, Pušyno St.) and “Construction of a grade-separated pedestrian crossing at 353+595 km on the Vilnius–Klaipėda line” (Kretinga, Palangos St.). The planned Investment Program funds for these projects are now set at €4,723,500 each, instead of the previously planned preliminary allocation of €5,000,000 each.
9 447 004 Eur (EU funds) of intervension investments is allocated to construct a pedestrian crossings over railway tracks in Kretinga (Palangos St.) and Klaipėda (Pušyno Street).  4 723 502 Eur for  1 measure. 
Total value of the projects is 11,1 mln. Eur. The value is calculated on the basis of the design and construction contracts for the Kaišiadorys and Vilnius pedestrian crossings. The activities will be completed until 2027, therefore it is planned, that the milestone value for 2024 will be 0 percent. Total 2 measures.
The rest of intervension investments is allocated to construct pedestrian railway viaducts in 7 railway stations:
Stage I - Viaduct 1 - Gaižiūnai station. Design -  140.0 t.Eur; Construction - EUR 1 265 000 Eur;
Stage II - 3 viaducts - Radviliškis, Paneriai, Kybartai stations. Design - 375,0 t.Eur; Construction - 3 381 000 Eur;
Stage III - 3 viaducts - Kenos, Panevėžio, N.Vilnios stations. Design - 300.0 t.Eur; Construction - 2 500 000 Eur.
~6 766 850 Eur (EU funds) from the intervention and ~1 194 150 private contribution. (Total 7 961 000 Eur). Total 7 measures.
Total calculated intervention investments – 34 713 030 Eur, out of which EU funds - 29 506 076 Eur. Total completed measures with planned investments - 25.                                                                                                                            
As regards milestones for 2024, it is assumed that 13 projects are planned to be implemented until the end of 2024. So the milestone value for 2024 is 13.</t>
  </si>
  <si>
    <t>Number of fatalities and injuries at level crossings (Žuvusiųjų ir sužeistųjų geležinkelio pervažose skaičius)</t>
  </si>
  <si>
    <t>Persons per year</t>
  </si>
  <si>
    <t>The value of the indicator was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https://ltsa.lrv.lt/lt/naudinga-informacija/gelezinkeliu-transporto-eismo-saug-ir-saveika/saugos-ataskaita and submitted to the European Railway Agency (ERA). It should be noted that the company aims for "0 deaths "by implementing various safety measures on the railway infrastructure.
Due to technical limitations, the target value  is 0,01 in system SFC2021. ​​</t>
  </si>
  <si>
    <r>
      <t xml:space="preserve">The value of the indicator was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t>
    </r>
    <r>
      <rPr>
        <strike/>
        <sz val="11"/>
        <rFont val="Calibri"/>
        <family val="2"/>
        <scheme val="minor"/>
      </rPr>
      <t>https://ltsa.lrv.lt/lt/naudinga-informacija/gelezinkeliu-transporto-eismo-saug-ir-saveika/saugos-ataskaita</t>
    </r>
    <r>
      <rPr>
        <sz val="11"/>
        <rFont val="Calibri"/>
        <family val="2"/>
        <scheme val="minor"/>
      </rPr>
      <t xml:space="preserve"> </t>
    </r>
    <r>
      <rPr>
        <b/>
        <sz val="11"/>
        <rFont val="Calibri"/>
        <family val="2"/>
        <scheme val="minor"/>
      </rPr>
      <t>https://ltsa.lrv.lt/lt/naudinga-informacija/gelezinkeliu-transportas-9/ltsa-saugos-ataskaitos</t>
    </r>
    <r>
      <rPr>
        <sz val="11"/>
        <rFont val="Calibri"/>
        <family val="2"/>
        <scheme val="minor"/>
      </rPr>
      <t xml:space="preserve"> and submitted to the European Railway Agency (ERA). It should be noted that the company aims for "0 deaths "by implementing various safety measures on the railway infrastructure.
Due to technical limitations, the target value  is 0,01 in system SFC2021. ​​</t>
    </r>
  </si>
  <si>
    <t>Special result</t>
  </si>
  <si>
    <t>Proportion of the population living and operating in noise prevention areas with reduced railway noise (Gyventojų, gyvenančių ir veikiančių triukšmo prevencijos zonose, dalis, kuriai sumažintas geležinkelių keliamas triukšmas)</t>
  </si>
  <si>
    <t>The target value of the result indicator is 69 percent. The value of the indicator is calculated assuming that the noise level will be reduced for all residents living and operating in the area exposed to railway noise, taking into account the possible change in the number of inhabitants (affected by railway noise) due to migration, deaths, births, etc. (~ 30%). The technical specifications of each technical project state: "In order to assess the quality and efficiency of the installation of noise abatement measures, the Contractor must carry out measurements of the noise level of railway transport. In accordance with construction technical regulation STR 1.05.01: 2017" Building permits. Elimination of Consequences of Unauthorized Construction: Elimination of Consequences of Construction According to an Illegally Issued Construction Permit ”(approved by Order No. D1-878 of the Minister of Environment of the Republic of Lithuania of 12 December 2016), a program of laboratory tests and noise measurements performed by certified or documents accredited for the relevant tests. Only then, the Construction Completion Commission, seeing that, according to the results specified in the protocol, the railway noise does not exceed the limit values ​​of HN 33: 2011, will allow the issuance of the construction completion act.</t>
  </si>
  <si>
    <r>
      <rPr>
        <b/>
        <sz val="11"/>
        <rFont val="Calibri"/>
        <family val="2"/>
        <scheme val="minor"/>
      </rPr>
      <t xml:space="preserve">101 </t>
    </r>
    <r>
      <rPr>
        <sz val="11"/>
        <rFont val="Calibri"/>
        <family val="2"/>
        <scheme val="minor"/>
      </rPr>
      <t>Reconstructed or modernised railways - TEN-T comprehensive network (Rekonstruoti ar modernizuoti geležinkeliai – TEN-T visuotinis tinklas)</t>
    </r>
  </si>
  <si>
    <t>4 946 128 Eur of intervension investments is allocated to 12 new priority crossings in TEN-T comprehensive network. The private funds 872 846 Eur. The public tendering for the reconstruction of crossings has not been finished. The necessary amount of funds was calculated taking into account the winning proposal. The price of one crossing ~484 915 Eur. The total amount 484 915 X 12 = ~ 5 818 968 Eur.
Total completed projects with planned investments - 12. The milestone value for 2024 is not calculated because the projects are planned to start after 2024.</t>
  </si>
  <si>
    <t>The value of the indicator was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https://ltsa.lrv.lt/lt/naudinga-informacija/gelezinkeliu-transportas-9/ltsa-saugos-ataskaitos and submitted to the European Railway Agency (ERA). It should be noted that the company aims for "0 deaths "by implementing various safety measures on the railway infrastructure.
Due to technical limitations, the target value  is 0,01 in system SFC2021. ​​</t>
  </si>
  <si>
    <r>
      <t xml:space="preserve"> It is planned  to reconstruct platforms in 44 TEN-T ( 26- in TEN-T core network, </t>
    </r>
    <r>
      <rPr>
        <u/>
        <sz val="11"/>
        <rFont val="Calibri"/>
        <family val="2"/>
        <scheme val="minor"/>
      </rPr>
      <t>18 - in TEN-T comprehensive network</t>
    </r>
    <r>
      <rPr>
        <sz val="11"/>
        <rFont val="Calibri"/>
        <family val="2"/>
        <scheme val="minor"/>
      </rPr>
      <t xml:space="preserve">) Lithuanian railway stations serving the largest passenger flows according to the principles of universal design. The required investments for the reconstruction of platforms ( </t>
    </r>
    <r>
      <rPr>
        <sz val="11"/>
        <rFont val="Calibri"/>
        <family val="2"/>
      </rPr>
      <t>17 590 000</t>
    </r>
    <r>
      <rPr>
        <sz val="11"/>
        <rFont val="Calibri"/>
        <family val="2"/>
        <scheme val="minor"/>
      </rPr>
      <t xml:space="preserve"> Eur)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adjusted for 2022 and also for scope of the project average are ~ 977 272 per one station, where platforms are reconstructed. 
The required investments are calculeted 18*977272≈17 590 000 Eur. In order to ensure the of reconstruction paltforms in railway stations serving the largest passenger flows, in addition to the planned investments of the program (~17 194 073  Eur), it is planned  addition private contribution (~395 927 Eur). The milestone value is not calculated because the project is planned to start after 2024.</t>
    </r>
  </si>
  <si>
    <r>
      <rPr>
        <b/>
        <sz val="11"/>
        <rFont val="Calibri"/>
        <family val="2"/>
        <scheme val="minor"/>
      </rPr>
      <t xml:space="preserve">44 999 895 Eur of intervension investments is allocated to this indicator. 
</t>
    </r>
    <r>
      <rPr>
        <sz val="11"/>
        <rFont val="Calibri"/>
        <family val="2"/>
        <scheme val="minor"/>
      </rPr>
      <t xml:space="preserve">It is planned  to reconstruct platforms in </t>
    </r>
    <r>
      <rPr>
        <b/>
        <sz val="11"/>
        <rFont val="Calibri"/>
        <family val="2"/>
        <scheme val="minor"/>
      </rPr>
      <t>approximately</t>
    </r>
    <r>
      <rPr>
        <sz val="11"/>
        <rFont val="Calibri"/>
        <family val="2"/>
        <scheme val="minor"/>
      </rPr>
      <t xml:space="preserve"> 44 TEN-T (</t>
    </r>
    <r>
      <rPr>
        <strike/>
        <sz val="11"/>
        <rFont val="Calibri"/>
        <family val="2"/>
        <scheme val="minor"/>
      </rPr>
      <t>26</t>
    </r>
    <r>
      <rPr>
        <sz val="11"/>
        <rFont val="Calibri"/>
        <family val="2"/>
        <scheme val="minor"/>
      </rPr>
      <t xml:space="preserve"> </t>
    </r>
    <r>
      <rPr>
        <b/>
        <sz val="11"/>
        <rFont val="Calibri"/>
        <family val="2"/>
        <scheme val="minor"/>
      </rPr>
      <t>approximately</t>
    </r>
    <r>
      <rPr>
        <sz val="11"/>
        <rFont val="Calibri"/>
        <family val="2"/>
        <scheme val="minor"/>
      </rPr>
      <t xml:space="preserve"> </t>
    </r>
    <r>
      <rPr>
        <b/>
        <sz val="11"/>
        <rFont val="Calibri"/>
        <family val="2"/>
        <scheme val="minor"/>
      </rPr>
      <t>28</t>
    </r>
    <r>
      <rPr>
        <sz val="11"/>
        <rFont val="Calibri"/>
        <family val="2"/>
        <scheme val="minor"/>
      </rPr>
      <t xml:space="preserve">- in TEN-T core network, </t>
    </r>
    <r>
      <rPr>
        <strike/>
        <u/>
        <sz val="11"/>
        <rFont val="Calibri"/>
        <family val="2"/>
        <scheme val="minor"/>
      </rPr>
      <t>18</t>
    </r>
    <r>
      <rPr>
        <u/>
        <sz val="11"/>
        <rFont val="Calibri"/>
        <family val="2"/>
        <scheme val="minor"/>
      </rPr>
      <t xml:space="preserve"> </t>
    </r>
    <r>
      <rPr>
        <b/>
        <u/>
        <sz val="11"/>
        <rFont val="Calibri"/>
        <family val="2"/>
        <scheme val="minor"/>
      </rPr>
      <t>approximately 16</t>
    </r>
    <r>
      <rPr>
        <u/>
        <sz val="11"/>
        <rFont val="Calibri"/>
        <family val="2"/>
        <scheme val="minor"/>
      </rPr>
      <t xml:space="preserve"> - in TEN-T comprehensive network</t>
    </r>
    <r>
      <rPr>
        <sz val="11"/>
        <rFont val="Calibri"/>
        <family val="2"/>
        <scheme val="minor"/>
      </rPr>
      <t>) Lithuanian railway stations serving the largest passenger flows according to the principles of universal design. The required investments for the reconstruction of platforms (</t>
    </r>
    <r>
      <rPr>
        <strike/>
        <sz val="11"/>
        <rFont val="Calibri"/>
        <family val="2"/>
        <scheme val="minor"/>
      </rPr>
      <t>17 590 000 Eur</t>
    </r>
    <r>
      <rPr>
        <sz val="11"/>
        <rFont val="Calibri"/>
        <family val="2"/>
        <scheme val="minor"/>
      </rPr>
      <t xml:space="preserve"> </t>
    </r>
    <r>
      <rPr>
        <b/>
        <sz val="11"/>
        <rFont val="Calibri"/>
        <family val="2"/>
        <scheme val="minor"/>
      </rPr>
      <t>38 249 911 Eur</t>
    </r>
    <r>
      <rPr>
        <sz val="11"/>
        <rFont val="Calibri"/>
        <family val="2"/>
        <scheme val="minor"/>
      </rPr>
      <t xml:space="preserve">)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were adjusted for </t>
    </r>
    <r>
      <rPr>
        <strike/>
        <sz val="11"/>
        <rFont val="Calibri"/>
        <family val="2"/>
        <scheme val="minor"/>
      </rPr>
      <t>2022</t>
    </r>
    <r>
      <rPr>
        <sz val="11"/>
        <rFont val="Calibri"/>
        <family val="2"/>
        <scheme val="minor"/>
      </rPr>
      <t xml:space="preserve"> </t>
    </r>
    <r>
      <rPr>
        <b/>
        <sz val="11"/>
        <rFont val="Calibri"/>
        <family val="2"/>
        <scheme val="minor"/>
      </rPr>
      <t>2024</t>
    </r>
    <r>
      <rPr>
        <sz val="11"/>
        <rFont val="Calibri"/>
        <family val="2"/>
        <scheme val="minor"/>
      </rPr>
      <t xml:space="preserve"> and also for scope of the project average are </t>
    </r>
    <r>
      <rPr>
        <strike/>
        <sz val="11"/>
        <rFont val="Calibri"/>
        <family val="2"/>
        <scheme val="minor"/>
      </rPr>
      <t>~ 977 272</t>
    </r>
    <r>
      <rPr>
        <sz val="11"/>
        <rFont val="Calibri"/>
        <family val="2"/>
        <scheme val="minor"/>
      </rPr>
      <t xml:space="preserve"> </t>
    </r>
    <r>
      <rPr>
        <b/>
        <sz val="11"/>
        <rFont val="Calibri"/>
        <family val="2"/>
        <scheme val="minor"/>
      </rPr>
      <t>~ 1 022 725</t>
    </r>
    <r>
      <rPr>
        <sz val="11"/>
        <rFont val="Calibri"/>
        <family val="2"/>
        <scheme val="minor"/>
      </rPr>
      <t xml:space="preserve"> per one station, where platforms are reconstructed. 
The required investments are calculeted </t>
    </r>
    <r>
      <rPr>
        <strike/>
        <sz val="11"/>
        <rFont val="Calibri"/>
        <family val="2"/>
        <scheme val="minor"/>
      </rPr>
      <t>18*977272≈17 590 000 Eur</t>
    </r>
    <r>
      <rPr>
        <sz val="11"/>
        <rFont val="Calibri"/>
        <family val="2"/>
        <scheme val="minor"/>
      </rPr>
      <t xml:space="preserve"> </t>
    </r>
    <r>
      <rPr>
        <b/>
        <sz val="11"/>
        <rFont val="Calibri"/>
        <family val="2"/>
        <scheme val="minor"/>
      </rPr>
      <t>16*1 022 725 ≈16 363 604 Eur</t>
    </r>
    <r>
      <rPr>
        <sz val="11"/>
        <rFont val="Calibri"/>
        <family val="2"/>
        <scheme val="minor"/>
      </rPr>
      <t>. In order to ensure the of reconstruction paltforms in railway stations serving the largest passenger flows, in addition to the planned investments of the program (</t>
    </r>
    <r>
      <rPr>
        <strike/>
        <sz val="11"/>
        <rFont val="Calibri"/>
        <family val="2"/>
        <scheme val="minor"/>
      </rPr>
      <t>~17 194 073  Eur</t>
    </r>
    <r>
      <rPr>
        <sz val="11"/>
        <rFont val="Calibri"/>
        <family val="2"/>
        <scheme val="minor"/>
      </rPr>
      <t xml:space="preserve"> </t>
    </r>
    <r>
      <rPr>
        <b/>
        <sz val="11"/>
        <rFont val="Calibri"/>
        <family val="2"/>
        <scheme val="minor"/>
      </rPr>
      <t>~13 909 063 Eur</t>
    </r>
    <r>
      <rPr>
        <sz val="11"/>
        <rFont val="Calibri"/>
        <family val="2"/>
        <scheme val="minor"/>
      </rPr>
      <t>), it is planned  addition private contribution (</t>
    </r>
    <r>
      <rPr>
        <strike/>
        <sz val="11"/>
        <rFont val="Calibri"/>
        <family val="2"/>
        <scheme val="minor"/>
      </rPr>
      <t>~395 927 Eur</t>
    </r>
    <r>
      <rPr>
        <sz val="11"/>
        <rFont val="Calibri"/>
        <family val="2"/>
        <scheme val="minor"/>
      </rPr>
      <t xml:space="preserve"> </t>
    </r>
    <r>
      <rPr>
        <b/>
        <sz val="11"/>
        <rFont val="Calibri"/>
        <family val="2"/>
        <scheme val="minor"/>
      </rPr>
      <t>~2 454 541 Eur</t>
    </r>
    <r>
      <rPr>
        <sz val="11"/>
        <rFont val="Calibri"/>
        <family val="2"/>
        <scheme val="minor"/>
      </rPr>
      <t>). The milestone value is not calculated because the project is planned to start after 2024.</t>
    </r>
  </si>
  <si>
    <r>
      <rPr>
        <strike/>
        <sz val="11"/>
        <rFont val="Calibri"/>
        <family val="2"/>
        <scheme val="minor"/>
      </rPr>
      <t>44 999 895</t>
    </r>
    <r>
      <rPr>
        <sz val="11"/>
        <rFont val="Calibri"/>
        <family val="2"/>
        <scheme val="minor"/>
      </rPr>
      <t xml:space="preserve"> 46 739 122</t>
    </r>
    <r>
      <rPr>
        <sz val="11"/>
        <color rgb="FFFF0000"/>
        <rFont val="Calibri"/>
        <family val="2"/>
        <scheme val="minor"/>
      </rPr>
      <t xml:space="preserve"> </t>
    </r>
    <r>
      <rPr>
        <sz val="11"/>
        <rFont val="Calibri"/>
        <family val="2"/>
        <scheme val="minor"/>
      </rPr>
      <t xml:space="preserve">Eur of intervension investments is allocated to this indicator. It is planned  to reconstruct 52 platforms , by adapting them to level access,  </t>
    </r>
    <r>
      <rPr>
        <strike/>
        <sz val="11"/>
        <rFont val="Calibri"/>
        <family val="2"/>
        <scheme val="minor"/>
      </rPr>
      <t xml:space="preserve">in approximately 44 TEN-T </t>
    </r>
    <r>
      <rPr>
        <sz val="11"/>
        <rFont val="Calibri"/>
        <family val="2"/>
        <scheme val="minor"/>
      </rPr>
      <t>(</t>
    </r>
    <r>
      <rPr>
        <strike/>
        <sz val="11"/>
        <rFont val="Calibri"/>
        <family val="2"/>
        <scheme val="minor"/>
      </rPr>
      <t xml:space="preserve">26 approximately 28 </t>
    </r>
    <r>
      <rPr>
        <sz val="11"/>
        <rFont val="Calibri"/>
        <family val="2"/>
        <scheme val="minor"/>
      </rPr>
      <t xml:space="preserve">32 - in TEN-T core network, </t>
    </r>
    <r>
      <rPr>
        <strike/>
        <sz val="11"/>
        <rFont val="Calibri"/>
        <family val="2"/>
        <scheme val="minor"/>
      </rPr>
      <t>18 approximately 16</t>
    </r>
    <r>
      <rPr>
        <sz val="11"/>
        <rFont val="Calibri"/>
        <family val="2"/>
        <scheme val="minor"/>
      </rPr>
      <t xml:space="preserve"> 20 - in TEN-T comprehensive network) in Lithuanian railway stations serving the largest passenger flows  (Vilnius-Klaipėda, Vilnius-Kaunas, Vilnius-Turmantas, Klaipėda-Pagėgiai). After assessing the technical condition of the platforms planned for reconstruction and the corresponding nature of the required construction works, the platforms have been divided into three groups:
•	Group 1: Platforms at railway stations in good technical condition where partial platform reconstruction is planned (smaller-scale construction works).
•	Group 2: Platforms at railway stations in poor technical condition where full platform reconstruction is planned (large-scale construction works and individual solutions for the platforms).
•	Group 3: Platforms at railway stops, where standard solution platforms made of prefabricated structures will be installed, including mandatory platform elements such as ramps, lighting, shelters, benches, and level crossings between platforms.
The cost of works includes: design, obtaining construction permits, project expertise, PRM TSI (Persons with Reduced Mobility Technical Specifications for Interoperability) evaluation, project supervision, construction, technical supervision of construction, and PRM TSI certification.
The final cost of the necessary works was calculated by determining the cost of reconstructing one platform assigned to a specific group and multiplying it by the number of platforms planned for reconstruction at a particular railway station or stop.
Calculations considered the estimated costs from 2021 for the reconstruction of four railway stops (one platform each) on the Šilutė-Klaipėda section, the costs for reconstructing a platform in the middle track at Plungė railway station during the construction of the second Plungė-Šateikiai railway track in 2020, the PRM TSI certification costs for platforms constructed on the Rail Baltica 1 railway line, the construction costs of the ongoing project “Implementation of Barrier-Free Solutions in Station Territories,” as well as the current increase in material and labor prices.
•	It is preliminarily estimated that the cost of reconstructing one platform (standard solution) at a railway stop is approximately €469 000. 
•	The cost of reconstructing one platform at a railway station depends on its current technical condition and ranges from €1 million to €1.6 million per platform. Accordingly, it is preliminarily estimated that the average cost of reconstructing one platform at a railway station is approximately €1 440 788 (smaller-scale and large-scale construction works).
The  total cost of reconstructing 20 platforms in TEN-T comprehensive network is (1 * €1 440 788)+ (19 * €469 000) ≈ €10 351 454.
In order to ensure the of reconstruction paltforms in railway stations serving the largest passenger flows, in addition to the planned preliminary investments of the program (~8 798 736 Eur), it is planned addition private contribution (~1 552 718 Eur). The milestone value is not calculated because the project is planned to start after 2024.</t>
    </r>
  </si>
  <si>
    <r>
      <t xml:space="preserve">Currently AB "LTG Infra" have 134  stations on the rail network (55 - in TEN-T core network, 79 - in TEN-T comprehensive network) of Republic of Lithuania. According to evaluation of 2020, 17 (10 - in TEN-T core network, </t>
    </r>
    <r>
      <rPr>
        <u/>
        <sz val="11"/>
        <rFont val="Calibri"/>
        <family val="2"/>
        <scheme val="minor"/>
      </rPr>
      <t>7 - in TEN-T comprehensive network</t>
    </r>
    <r>
      <rPr>
        <b/>
        <sz val="11"/>
        <rFont val="Calibri"/>
        <family val="2"/>
        <scheme val="minor"/>
      </rPr>
      <t>)</t>
    </r>
    <r>
      <rPr>
        <sz val="11"/>
        <rFont val="Calibri"/>
        <family val="2"/>
        <scheme val="minor"/>
      </rPr>
      <t xml:space="preserve"> stations of these stations have the access to the platforms and trains for people with special needs and disabilities. During implementation of  projects, additional in </t>
    </r>
    <r>
      <rPr>
        <u/>
        <sz val="11"/>
        <rFont val="Calibri"/>
        <family val="2"/>
        <scheme val="minor"/>
      </rPr>
      <t>18  stations (in TEN-T comprehensive network)</t>
    </r>
    <r>
      <rPr>
        <sz val="11"/>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(7+18)*100/134≈18,7. The baseline value in 2020 is calculated 7*100/134≈5,2.</t>
    </r>
  </si>
  <si>
    <r>
      <t xml:space="preserve">Currently AB "LTG Infra" have 134  stations on the rail network (55 - in TEN-T core network, 79 - in TEN-T comprehensive network) of Republic of Lithuania. According to evaluation of 2020, 17 (10 - in TEN-T core network, </t>
    </r>
    <r>
      <rPr>
        <u/>
        <sz val="11"/>
        <rFont val="Calibri"/>
        <family val="2"/>
        <scheme val="minor"/>
      </rPr>
      <t>7 - in TEN-T comprehensive network</t>
    </r>
    <r>
      <rPr>
        <b/>
        <sz val="11"/>
        <rFont val="Calibri"/>
        <family val="2"/>
        <scheme val="minor"/>
      </rPr>
      <t>)</t>
    </r>
    <r>
      <rPr>
        <sz val="11"/>
        <rFont val="Calibri"/>
        <family val="2"/>
        <scheme val="minor"/>
      </rPr>
      <t xml:space="preserve"> stations of these stations have the access to the platforms and trains for people with special needs and disabilities. During implementation of  projects, additional in </t>
    </r>
    <r>
      <rPr>
        <strike/>
        <sz val="11"/>
        <rFont val="Calibri"/>
        <family val="2"/>
        <scheme val="minor"/>
      </rPr>
      <t>18</t>
    </r>
    <r>
      <rPr>
        <sz val="11"/>
        <rFont val="Calibri"/>
        <family val="2"/>
        <scheme val="minor"/>
      </rPr>
      <t xml:space="preserve"> </t>
    </r>
    <r>
      <rPr>
        <b/>
        <u/>
        <sz val="11"/>
        <rFont val="Calibri"/>
        <family val="2"/>
        <scheme val="minor"/>
      </rPr>
      <t>16</t>
    </r>
    <r>
      <rPr>
        <u/>
        <sz val="11"/>
        <rFont val="Calibri"/>
        <family val="2"/>
        <scheme val="minor"/>
      </rPr>
      <t xml:space="preserve"> stations (in TEN-T comprehensive network)</t>
    </r>
    <r>
      <rPr>
        <sz val="11"/>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(7+</t>
    </r>
    <r>
      <rPr>
        <strike/>
        <sz val="11"/>
        <rFont val="Calibri"/>
        <family val="2"/>
        <scheme val="minor"/>
      </rPr>
      <t>18</t>
    </r>
    <r>
      <rPr>
        <sz val="11"/>
        <rFont val="Calibri"/>
        <family val="2"/>
        <scheme val="minor"/>
      </rPr>
      <t xml:space="preserve"> </t>
    </r>
    <r>
      <rPr>
        <b/>
        <sz val="11"/>
        <rFont val="Calibri"/>
        <family val="2"/>
        <scheme val="minor"/>
      </rPr>
      <t>16</t>
    </r>
    <r>
      <rPr>
        <sz val="11"/>
        <rFont val="Calibri"/>
        <family val="2"/>
        <scheme val="minor"/>
      </rPr>
      <t xml:space="preserve">)*100/134≈ </t>
    </r>
    <r>
      <rPr>
        <strike/>
        <sz val="11"/>
        <rFont val="Calibri"/>
        <family val="2"/>
        <scheme val="minor"/>
      </rPr>
      <t>18,7</t>
    </r>
    <r>
      <rPr>
        <sz val="11"/>
        <rFont val="Calibri"/>
        <family val="2"/>
        <scheme val="minor"/>
      </rPr>
      <t xml:space="preserve"> </t>
    </r>
    <r>
      <rPr>
        <b/>
        <sz val="11"/>
        <rFont val="Calibri"/>
        <family val="2"/>
        <scheme val="minor"/>
      </rPr>
      <t>17,2</t>
    </r>
    <r>
      <rPr>
        <sz val="11"/>
        <rFont val="Calibri"/>
        <family val="2"/>
        <scheme val="minor"/>
      </rPr>
      <t>. The baseline value in 2020 is calculated 7*100/134≈5,2.</t>
    </r>
  </si>
  <si>
    <t>Within the scope of the project, the platforms at Lithuanian railway stations serving the largest passenger flows (Vilnius-Klaipėda, Vilnius-Kaunas, Vilnius-Turmantas, Klaipėda-Pagėgiai) are currently not reconstructed to provide level access.
During the implementation of the projects, 20 platforms will be reconstructed to ensure level access. This will make boarding and alighting from train carriages more convenient for persons with mobility impairments and other train passengers.
As a result, the target value for the indicator in 2029 is calculated as 20*100/52≈38,5. The baseline value in 2024 is calculated as 0*100/52≈0.</t>
  </si>
  <si>
    <t>103 Other reconstructed or modernised railways – electric/zero emission (Kiti rekonstruoti arba modernizuoti
geležinkeliai – elektrifikuoti / netaršūs)</t>
  </si>
  <si>
    <t>Alternative fuels infrastructure (refuelling/recharging points) (Alternatyviųjų degalų infrastruktūra (degalų papildymo / įkrovimo punktai)</t>
  </si>
  <si>
    <t>2 900 000 Eur of intervension investments is allocated to this indicator. During the implementation of the project, it is planned to install a 25 AC battery charging station in Varėna, making it possible to operate BEMU rolling stock on one of the most popular railway routes in Lithuania Vilnius -Varėna . Price is set by analysing the costs of installing corresponding charging stations in other railway stations in European Union  and consulting potential suppliers.
The milestone value is not calculated because the project is planned to start after 2024.</t>
  </si>
  <si>
    <t>The value of the indicator is determined taking into account: 
(i) the planned train volume (tr.km); 
(ii) diesel train fuel consumption (l / tr.km); 
(iii) the emission values ​​(kg / t) specified in the methodology for rail transport emissions developed by the European Environment Agency; 
(iv) Estimates of air pollution reduction provided in the Methodology for Calculation of Conversion Factors and Socio-Economic Impact (Benefit / Harm) Assessment of the Central Project Management Agency. 
AB “LTG Infra” uses energy, produced from renewable sources for electrical traction from 2018 and will continue to use this type of electrical energy for all electrified railway network (present ant planned) for foreseeable future. It is planned that after the implementation of the project, the BEMU trains will be charged with energy, produced from renewable sources. This will reduce the amount of CO2 emissions into the environment by 1,333 t. per year. Until the end of 2021-2027 financing period during the period of 45 months the total amount of CO2 emissions into the environment will be reduced by 45 x (1,333/12)= ~5010 tons. Baseline value 11 910 tons of CO2eq/year (the value was calculated by summing the CO2 emissions from all operational diesel trains in 2019), the target 2029 will be 11 910 - 5010 = 6900 tons of CO2eq/year.
Considering these factors, after modernization greenhouse emisions wil be at 0. 
(The target value  shows  CO2 emissions only from passenger trains)</t>
  </si>
  <si>
    <r>
      <rPr>
        <b/>
        <strike/>
        <sz val="11"/>
        <rFont val="Calibri"/>
        <family val="2"/>
        <scheme val="minor"/>
      </rPr>
      <t>104</t>
    </r>
    <r>
      <rPr>
        <strike/>
        <sz val="11"/>
        <rFont val="Calibri"/>
        <family val="2"/>
        <scheme val="minor"/>
      </rPr>
      <t xml:space="preserve"> Digitalisation of transport: rail (Transporto skaitmeninimas: geležinkeliai)</t>
    </r>
  </si>
  <si>
    <t>Installed or modernised digital
systems in railways (Įdiegtos ar modernizuotos skaitmeninės sistemos geležinkeliuose)</t>
  </si>
  <si>
    <t xml:space="preserve">5,94 percent  (2 668 748 Eur) of intervension investments is  allocated to SIS system. It is planned to achieve the result of the project - 43 TEN-T Lithuanian railway stations ( 30 - in TEN-T core network, 13 - in TEN-T comprehensive network) serving the largest passenger flows have installed a  that provides information to passengers, ensuring travel convenience, passenger safety and ensuring the needs of all target groups. The introduction of a station information system would improve the services provided at stations by informing passengers about traffic changes in a timely manner.
After the project "Implementation of the Station Information System in the LTG Network" was initiated in 2020, in order to determine the market price of purchased goods and provided services, a market consultation of potential suppliers was carried out. 6 suppliers participated in the market plating. After evaluating their proposals, the investments required for the implementation of the project were determined  - 2 797 526 Eur.
In order to ensure the implementation of whole project , in addition to the planned investments  (~2 668 748,24 Eur),  is planned  addition private contribution (~128 778 Eur). 
31,18 percent  (~14 014 204 Eur) of intervension investments is  allocated to unified system for automatic roling stock control, used for dynamic weighing and axle box and wheel control (RAKS). Investments are determined from market consultations, caried out in 2020, in which 2 suplieres of systems participated. According to comercial offer, received during market consultations, selected acoording to lovest price and that complied with recuirements for the system, price for integrated dynamic weighing, system axle box heat sensing system and and wheel surface control was ~14 848 835 Eur.
In order to ensure the implementation of whole project , in addition to the planned investments of the program (~14 014 204 Eur),  is planned  addition private contribution (~834 631,34 Eur).
62,88 percent  (~28 258 588 Eur) of intervension investments is  allocated to automated system for points control (ARE). Investments are determined during market consultations in 2019, where comercial offers were received for solutions of automated points control system. Best solution for automated points control system, with integration in signaling and other systems in use for whole network was submited at price of 34 314 000 Eur. 
In order to ensure the implementation of whole project , in addition to the planned investments of the program (~28 258 588 Eur),  is planned  addition private contribution (~6 055 412 Eur).
The target value of the indicator in 2029 is calculated as 3 istalled or modernised systems. The milestone value is calculated as 1 systems, because it is planned to finish the project of ISIS system modernization until 2024. </t>
  </si>
  <si>
    <t xml:space="preserve"> 5,94 percent  (2 668 748 Eur) of intervension investments is  allocated to SIS system. It is planned to achieve the result of the project - 43 TEN-T Lithuanian railway stations ( 30 - in TEN-T core network, 13 - in TEN-T comprehensive network) serving the largest passenger flows have installed a  that provides information to passengers, ensuring travel convenience, passenger safety and ensuring the needs of all target groups. The introduction of a station information system would improve the services provided at stations by informing passengers about traffic changes in a timely manner.
After the project "Implementation of the Station Information System in the LTG Network" was initiated in 2020, in order to determine the market price of purchased goods and provided services, a market consultation of potential suppliers was carried out. 6 suppliers participated in the market plating. After evaluating their proposals, the investments required for the implementation of the project were determined  - 2 797 526 Eur.
In order to ensure the implementation of whole project , in addition to the planned investments  (~2 668 748,24 Eur),  is planned  addition private contribution (~128 778 Eur). 
31,18 percent  (~14 014 204 Eur) of intervension investments is  allocated to unified system for automatic roling stock control, used for dynamic weighing and axle box and wheel control (RAKS). Investments are determined from market consultations, caried out in 2020, in which 2 suplieres of systems participated. According to comercial offer, received during market consultations, selected acoording to lovest price and that complied with recuirements for the system, price for integrated dynamic weighing, system axle box heat sensing system and and wheel surface control was ~14 848 835 Eur.
In order to ensure the implementation of whole project , in addition to the planned investments of the program (~14 014 204 Eur),  is planned  addition private contribution (~834 631,34 Eur).
62,88 percent  (~28 258 588 Eur) of intervension investments is  allocated to automated system for points control (ARE). Investments are determined during market consultations in 2019, where comercial offers were received for solutions of automated points control system. Best solution for automated points control system, with integration in signaling and other systems in use for whole network was submited at price of 34 314 000 Eur. 
In order to ensure the implementation of whole project , in addition to the planned investments of the program (~28 258 588 Eur),  is planned  addition private contribution (~6 055 412 Eur).
The target value of the indicator in 2029 is calculated as 3 istalled or modernised systems. The milestone value is calculated as 1 systems, because it is planned to finish the project of ISIS system modernization until 2024. </t>
  </si>
  <si>
    <t>Risks to society posed by rail transport (Geležinkelių transporto keliamas pavojus visuomenei)</t>
  </si>
  <si>
    <t>Number of deaths and serious injuries / train-kilometers (km) (žūčių ir sunkių sužalojimų skaičiaus (vnt.)/ traukinių nuvažiuoti kilometrai (km))</t>
  </si>
  <si>
    <t>Annual reporting by Infrastructure Manager/ operator</t>
  </si>
  <si>
    <t>3 installed or modernized digital systems wil ensure safety of the trafic, efective avaoidance of railway incidents and preventative control. The risk to society from rail transport is calculated as the number of deaths and serious injuries (4 deaths and 2 serious injuries in 2020 (estimated at 0.1)) and the number of kilometers traveled by trains (15.8176 million km in 2020). ratio, the estimate of which is compiled annually by AB LTG Infra.
Due to technical limitations, the target value  is 0,01 in system SFC2021. ​​</t>
  </si>
  <si>
    <t xml:space="preserve">3.1.2. Improve and develop the TEN-T road network (Tobulinti ir plėtoti TEN-T kelių tinklą) </t>
  </si>
  <si>
    <r>
      <rPr>
        <b/>
        <sz val="11"/>
        <color theme="1"/>
        <rFont val="Calibri"/>
        <family val="2"/>
        <scheme val="minor"/>
      </rPr>
      <t>091</t>
    </r>
    <r>
      <rPr>
        <sz val="11"/>
        <color theme="1"/>
        <rFont val="Calibri"/>
        <family val="2"/>
        <scheme val="minor"/>
      </rPr>
      <t xml:space="preserve"> Reconstructed or modernised motorways and roads - </t>
    </r>
    <r>
      <rPr>
        <b/>
        <sz val="11"/>
        <color theme="1"/>
        <rFont val="Calibri"/>
        <family val="2"/>
        <scheme val="minor"/>
      </rPr>
      <t>TEN-T core network</t>
    </r>
    <r>
      <rPr>
        <sz val="11"/>
        <color theme="1"/>
        <rFont val="Calibri"/>
        <family val="2"/>
        <scheme val="minor"/>
      </rPr>
      <t xml:space="preserve"> (Rekonstruoti ar modernizuoti greitkeliai ir keliai – TEN-T pagrindinis tinklas)</t>
    </r>
  </si>
  <si>
    <t>RCO45</t>
  </si>
  <si>
    <t>Length of roads reconstructed or modernised - TEN-T (rekonstruotų arba modernizuotų kelių ilgis – TEN-T)</t>
  </si>
  <si>
    <t xml:space="preserve">The target value of the indicator in 2029 is 29.35 km, calculated as the planned reconstruction of  sections:  the Via Baltica road A5 Kaunas – Marijampolė – Suvalkai from 56.83 to 85.00 km (sections I – III) and the section A1 Vilnius – Kaunas – Klaipėda from 99.29 to 100.47 km (A. Meškinis middle bridges over the Neris and viaducts over Jonava str.). Project activities will include reconstruction (15.67 + 6.50 + 6.00 + 1.18 = 29.35 km). The required investments for the  reconstruction (~252 165 000 Eur) of these sections are determined according to the tariff of 1 km  (~  7 476 659 Eur, in 2016  prices) set in technical project of "Reconstruction of the section of the state highway A5 Kaunas - Marijampolė - Suwalki from 45.15 to 56.83 km into the AM category road". This tariff is indexed by estimating the price change  (source: average annual changes in construction input prices for infrastructure structures https://osp.stat.gov.lt/statistiniu-rodikliu-analize?indicator=S7R234#/) before the start of the planned works (2021-2022) (calculated by estimating price changes over the last 10 years),  therefore the final tariff is ~ 8 591 652 Eur. The required  investments are calculated 8 591 652 *29.35≈252 165 000  Eur. 
 In order to ensure the construction and reconstruction of the integrated section, in addition to the planned investments of the program (~170 053 528 Eur),  is planned  additional national budget  funds contribution( ~82 111 472 Eur). 
The target value for 2029 of the indicator is determined taking into account all the investments necessary for the implementation of the projects (252165000 /8591652=29,35).  It is  planned to complete the construction works in 2024, therefore he milestone value in 2024 will be 100 percent.
</t>
  </si>
  <si>
    <r>
      <t xml:space="preserve">The target value of the indicator in 2029 is </t>
    </r>
    <r>
      <rPr>
        <strike/>
        <sz val="11"/>
        <rFont val="Calibri"/>
        <family val="2"/>
        <scheme val="minor"/>
      </rPr>
      <t>29.35</t>
    </r>
    <r>
      <rPr>
        <sz val="11"/>
        <rFont val="Calibri"/>
        <family val="2"/>
        <scheme val="minor"/>
      </rPr>
      <t xml:space="preserve"> </t>
    </r>
    <r>
      <rPr>
        <b/>
        <sz val="11"/>
        <rFont val="Calibri"/>
        <family val="2"/>
        <scheme val="minor"/>
      </rPr>
      <t xml:space="preserve">15.67 </t>
    </r>
    <r>
      <rPr>
        <sz val="11"/>
        <rFont val="Calibri"/>
        <family val="2"/>
        <scheme val="minor"/>
      </rPr>
      <t xml:space="preserve">km, calculated as the planned </t>
    </r>
    <r>
      <rPr>
        <b/>
        <sz val="11"/>
        <rFont val="Calibri"/>
        <family val="2"/>
        <scheme val="minor"/>
      </rPr>
      <t xml:space="preserve">result of the </t>
    </r>
    <r>
      <rPr>
        <sz val="11"/>
        <rFont val="Calibri"/>
        <family val="2"/>
        <scheme val="minor"/>
      </rPr>
      <t>reconstruction of  section</t>
    </r>
    <r>
      <rPr>
        <strike/>
        <sz val="11"/>
        <rFont val="Calibri"/>
        <family val="2"/>
        <scheme val="minor"/>
      </rPr>
      <t>s:</t>
    </r>
    <r>
      <rPr>
        <sz val="11"/>
        <rFont val="Calibri"/>
        <family val="2"/>
        <scheme val="minor"/>
      </rPr>
      <t xml:space="preserve">  the Via Baltica road A5 Kaunas – Marijampolė – Suvalkai from 56.83 to </t>
    </r>
    <r>
      <rPr>
        <strike/>
        <sz val="11"/>
        <rFont val="Calibri"/>
        <family val="2"/>
        <scheme val="minor"/>
      </rPr>
      <t>85.00</t>
    </r>
    <r>
      <rPr>
        <sz val="11"/>
        <rFont val="Calibri"/>
        <family val="2"/>
        <scheme val="minor"/>
      </rPr>
      <t xml:space="preserve"> </t>
    </r>
    <r>
      <rPr>
        <b/>
        <sz val="11"/>
        <rFont val="Calibri"/>
        <family val="2"/>
        <scheme val="minor"/>
      </rPr>
      <t>72.50</t>
    </r>
    <r>
      <rPr>
        <sz val="11"/>
        <rFont val="Calibri"/>
        <family val="2"/>
        <scheme val="minor"/>
      </rPr>
      <t xml:space="preserve"> km (section</t>
    </r>
    <r>
      <rPr>
        <strike/>
        <sz val="11"/>
        <rFont val="Calibri"/>
        <family val="2"/>
        <scheme val="minor"/>
      </rPr>
      <t>s</t>
    </r>
    <r>
      <rPr>
        <sz val="11"/>
        <rFont val="Calibri"/>
        <family val="2"/>
        <scheme val="minor"/>
      </rPr>
      <t xml:space="preserve"> I </t>
    </r>
    <r>
      <rPr>
        <strike/>
        <sz val="11"/>
        <rFont val="Calibri"/>
        <family val="2"/>
        <scheme val="minor"/>
      </rPr>
      <t>– III</t>
    </r>
    <r>
      <rPr>
        <sz val="11"/>
        <rFont val="Calibri"/>
        <family val="2"/>
        <scheme val="minor"/>
      </rPr>
      <t>)</t>
    </r>
    <r>
      <rPr>
        <strike/>
        <sz val="11"/>
        <rFont val="Calibri"/>
        <family val="2"/>
        <scheme val="minor"/>
      </rPr>
      <t xml:space="preserve"> and the section A1 Vilnius – Kaunas – Klaipėda from 99.29 to 100.47 km (A. Meškinis middle bridges over the Neris and viaducts over Jonava str.). Project activities will include reconstruction (15.67 + 6.50 + 6.00 + 1.18 = 29.35 km)</t>
    </r>
    <r>
      <rPr>
        <sz val="11"/>
        <rFont val="Calibri"/>
        <family val="2"/>
        <scheme val="minor"/>
      </rPr>
      <t xml:space="preserve">. </t>
    </r>
    <r>
      <rPr>
        <b/>
        <sz val="11"/>
        <rFont val="Calibri"/>
        <family val="2"/>
        <scheme val="minor"/>
      </rPr>
      <t>Project activities will mainly include reconstruction (15.67 km)</t>
    </r>
    <r>
      <rPr>
        <sz val="11"/>
        <rFont val="Calibri"/>
        <family val="2"/>
        <scheme val="minor"/>
      </rPr>
      <t>. The required investments for the  reconstruction (~</t>
    </r>
    <r>
      <rPr>
        <strike/>
        <sz val="11"/>
        <rFont val="Calibri"/>
        <family val="2"/>
        <scheme val="minor"/>
      </rPr>
      <t xml:space="preserve">252 165 000 </t>
    </r>
    <r>
      <rPr>
        <b/>
        <sz val="11"/>
        <rFont val="Calibri"/>
        <family val="2"/>
        <scheme val="minor"/>
      </rPr>
      <t xml:space="preserve">223 689 000 </t>
    </r>
    <r>
      <rPr>
        <sz val="11"/>
        <rFont val="Calibri"/>
        <family val="2"/>
        <scheme val="minor"/>
      </rPr>
      <t>Eur) of these section</t>
    </r>
    <r>
      <rPr>
        <strike/>
        <sz val="11"/>
        <rFont val="Calibri"/>
        <family val="2"/>
        <scheme val="minor"/>
      </rPr>
      <t>s</t>
    </r>
    <r>
      <rPr>
        <sz val="11"/>
        <rFont val="Calibri"/>
        <family val="2"/>
        <scheme val="minor"/>
      </rPr>
      <t xml:space="preserve"> are determined according to the tariff of 1 km  (~ </t>
    </r>
    <r>
      <rPr>
        <strike/>
        <sz val="11"/>
        <rFont val="Calibri"/>
        <family val="2"/>
        <scheme val="minor"/>
      </rPr>
      <t>7 476 659</t>
    </r>
    <r>
      <rPr>
        <sz val="11"/>
        <rFont val="Calibri"/>
        <family val="2"/>
        <scheme val="minor"/>
      </rPr>
      <t xml:space="preserve"> </t>
    </r>
    <r>
      <rPr>
        <b/>
        <sz val="11"/>
        <rFont val="Calibri"/>
        <family val="2"/>
        <scheme val="minor"/>
      </rPr>
      <t xml:space="preserve">14 274 984 </t>
    </r>
    <r>
      <rPr>
        <sz val="11"/>
        <rFont val="Calibri"/>
        <family val="2"/>
        <scheme val="minor"/>
      </rPr>
      <t xml:space="preserve">Eur, in </t>
    </r>
    <r>
      <rPr>
        <strike/>
        <sz val="11"/>
        <rFont val="Calibri"/>
        <family val="2"/>
        <scheme val="minor"/>
      </rPr>
      <t>2016</t>
    </r>
    <r>
      <rPr>
        <sz val="11"/>
        <rFont val="Calibri"/>
        <family val="2"/>
        <scheme val="minor"/>
      </rPr>
      <t xml:space="preserve"> </t>
    </r>
    <r>
      <rPr>
        <b/>
        <sz val="11"/>
        <rFont val="Calibri"/>
        <family val="2"/>
        <scheme val="minor"/>
      </rPr>
      <t>2022</t>
    </r>
    <r>
      <rPr>
        <sz val="11"/>
        <rFont val="Calibri"/>
        <family val="2"/>
        <scheme val="minor"/>
      </rPr>
      <t xml:space="preserve"> prices) set in technical project of </t>
    </r>
    <r>
      <rPr>
        <strike/>
        <sz val="11"/>
        <rFont val="Calibri"/>
        <family val="2"/>
        <scheme val="minor"/>
      </rPr>
      <t xml:space="preserve">"Reconstruction of the section of the state highway A5 Kaunas - Marijampolė - Suwalki from 45.15 to 56.83 km into the AM category road" </t>
    </r>
    <r>
      <rPr>
        <b/>
        <sz val="11"/>
        <rFont val="Calibri"/>
        <family val="2"/>
        <scheme val="minor"/>
      </rPr>
      <t>reconstruction of the section of the state highway A5 Kaunas - Marijampolė - Suwalki from 56.83 km to 72,50 km</t>
    </r>
    <r>
      <rPr>
        <sz val="11"/>
        <rFont val="Calibri"/>
        <family val="2"/>
        <scheme val="minor"/>
      </rPr>
      <t xml:space="preserve">. </t>
    </r>
    <r>
      <rPr>
        <strike/>
        <sz val="11"/>
        <rFont val="Calibri"/>
        <family val="2"/>
        <scheme val="minor"/>
      </rPr>
      <t xml:space="preserve">This tariff is indexed by estimating the price change  (source: average annual changes in construction input prices for infrastructure structures https://osp.stat.gov.lt/statistiniu-rodikliu-analize?indicator=S7R234#/) before the start of the planned works (2021-2022) (calculated by estimating price changes over the last 10 years),  therefore the final tariff is ~ 8 591 652 Eur. The required  investments are calculated 8 591 652 *29.35≈252 165 000  Eur. </t>
    </r>
    <r>
      <rPr>
        <sz val="11"/>
        <rFont val="Calibri"/>
        <family val="2"/>
        <scheme val="minor"/>
      </rPr>
      <t xml:space="preserve">
 In order to ensure the construction and reconstruction of the integrated section, in addition to the planned investments of the program (~</t>
    </r>
    <r>
      <rPr>
        <strike/>
        <sz val="11"/>
        <rFont val="Calibri"/>
        <family val="2"/>
        <scheme val="minor"/>
      </rPr>
      <t xml:space="preserve">170 053 528 </t>
    </r>
    <r>
      <rPr>
        <b/>
        <sz val="11"/>
        <rFont val="Calibri"/>
        <family val="2"/>
        <scheme val="minor"/>
      </rPr>
      <t>42 323 333</t>
    </r>
    <r>
      <rPr>
        <sz val="11"/>
        <rFont val="Calibri"/>
        <family val="2"/>
        <scheme val="minor"/>
      </rPr>
      <t xml:space="preserve"> Eur), is planned additional national budget funds contribution </t>
    </r>
    <r>
      <rPr>
        <b/>
        <sz val="11"/>
        <rFont val="Calibri"/>
        <family val="2"/>
        <scheme val="minor"/>
      </rPr>
      <t>and other sources</t>
    </r>
    <r>
      <rPr>
        <sz val="11"/>
        <rFont val="Calibri"/>
        <family val="2"/>
        <scheme val="minor"/>
      </rPr>
      <t xml:space="preserve"> ( ~</t>
    </r>
    <r>
      <rPr>
        <strike/>
        <sz val="11"/>
        <rFont val="Calibri"/>
        <family val="2"/>
        <scheme val="minor"/>
      </rPr>
      <t>82 111</t>
    </r>
    <r>
      <rPr>
        <sz val="11"/>
        <rFont val="Calibri"/>
        <family val="2"/>
        <scheme val="minor"/>
      </rPr>
      <t xml:space="preserve"> </t>
    </r>
    <r>
      <rPr>
        <strike/>
        <sz val="11"/>
        <rFont val="Calibri"/>
        <family val="2"/>
        <scheme val="minor"/>
      </rPr>
      <t>472</t>
    </r>
    <r>
      <rPr>
        <sz val="11"/>
        <rFont val="Calibri"/>
        <family val="2"/>
        <scheme val="minor"/>
      </rPr>
      <t xml:space="preserve"> </t>
    </r>
    <r>
      <rPr>
        <b/>
        <sz val="11"/>
        <rFont val="Calibri"/>
        <family val="2"/>
        <scheme val="minor"/>
      </rPr>
      <t>181 365 667</t>
    </r>
    <r>
      <rPr>
        <sz val="11"/>
        <rFont val="Calibri"/>
        <family val="2"/>
        <scheme val="minor"/>
      </rPr>
      <t xml:space="preserve"> Eur). 
The target value for 2029 of the indicator is determined taking into account all the investments necessary for the implementation of the projects (</t>
    </r>
    <r>
      <rPr>
        <strike/>
        <sz val="11"/>
        <rFont val="Calibri"/>
        <family val="2"/>
        <scheme val="minor"/>
      </rPr>
      <t>252165000 /8591652=29,35</t>
    </r>
    <r>
      <rPr>
        <sz val="11"/>
        <rFont val="Calibri"/>
        <family val="2"/>
        <scheme val="minor"/>
      </rPr>
      <t xml:space="preserve"> </t>
    </r>
    <r>
      <rPr>
        <b/>
        <sz val="11"/>
        <rFont val="Calibri"/>
        <family val="2"/>
        <scheme val="minor"/>
      </rPr>
      <t>223 689 000 /14 274 984=15,67</t>
    </r>
    <r>
      <rPr>
        <sz val="11"/>
        <rFont val="Calibri"/>
        <family val="2"/>
        <scheme val="minor"/>
      </rPr>
      <t xml:space="preserve">). </t>
    </r>
    <r>
      <rPr>
        <strike/>
        <sz val="11"/>
        <rFont val="Calibri"/>
        <family val="2"/>
        <scheme val="minor"/>
      </rPr>
      <t xml:space="preserve"> It is  planned to complete the construction works in 2024, therefore he milestone value in 2024 will be 100 percent.</t>
    </r>
    <r>
      <rPr>
        <b/>
        <sz val="11"/>
        <rFont val="Calibri"/>
        <family val="2"/>
        <scheme val="minor"/>
      </rPr>
      <t xml:space="preserve"> 2024 milestone remains the same.</t>
    </r>
    <r>
      <rPr>
        <sz val="11"/>
        <rFont val="Calibri"/>
        <family val="2"/>
        <scheme val="minor"/>
      </rPr>
      <t xml:space="preserve">
</t>
    </r>
  </si>
  <si>
    <t>RCR55</t>
  </si>
  <si>
    <t>Annual users of newly built, reconstructed, upgraded or modernised roads ((naujai pastatytų, rekonstruotų, atnaujintų arba modernizuotų kelių naudotojų skaičius per metus)</t>
  </si>
  <si>
    <t>road passenger-km/ year</t>
  </si>
  <si>
    <t>The target value is calculated using the methodology proposed by Jaspers on 16/10/2020: [Passenger-km] = Σ nj = 1 [AADTj] * [Lengthj] * Occupancy * 365. 
The baseline value for 2021 is calculated  was determined taking into account the existing section of the road A5 Kaunas – Marijampolė – Suvalkai from 56.83 to 85.00 km (sections I – III) and the section of the road Vilnius – Kaunas – Klaipėda from 99.29 to 100.47 km (A. Meškinis middle bridges over the Neris and viaducts over Jonava str.) passenger traffic growth (change) per year in the 29.35 km section:  (11380*15,67*1,85*365)+(10360*6,50*1,74*365)+(10360*6,00*1,74*365)+(23761*1,18*1,69*365)=219954364. 
The target value for 2029 of the indicator is determined taking into account the growth (change) of the road passenger traffic planned to be reconstructed per year in the section of 29.35 km: (11957 * 15.67 * 1.85 * 365) + (10884 * 6.50 * 1.74 * 365) + (10884 * 6.00 * 1.74 * 365) + (25069 * 1.18 * 1.69 * 365) = 231171674. The traffic flow forecast is based on forecasts prepared by the European Commission (source: https://ec.europa.eu/energy/sites/ener/files/documents/20160713%20draft_publication_REF2016_v13.pdf).</t>
  </si>
  <si>
    <r>
      <t>The target value is calculated using the methodology proposed by Jaspers on 16/10/2020: [Passenger-km] = Σ nj = 1 [AADTj] * [Lengthj] * Occupancy * 365. 
The baseline value for 2021 is calculated  was determined taking into account the existing section of the road A5 Kaunas – Marijampolė – Suvalkai from 56.83 to 72.50 km (section I)</t>
    </r>
    <r>
      <rPr>
        <strike/>
        <sz val="11"/>
        <rFont val="Calibri"/>
        <family val="2"/>
        <scheme val="minor"/>
      </rPr>
      <t xml:space="preserve"> </t>
    </r>
    <r>
      <rPr>
        <sz val="11"/>
        <rFont val="Calibri"/>
        <family val="2"/>
        <scheme val="minor"/>
      </rPr>
      <t xml:space="preserve"> passenger traffic growth (change) per year in the</t>
    </r>
    <r>
      <rPr>
        <strike/>
        <sz val="11"/>
        <rFont val="Calibri"/>
        <family val="2"/>
        <scheme val="minor"/>
      </rPr>
      <t xml:space="preserve"> 29,35</t>
    </r>
    <r>
      <rPr>
        <sz val="11"/>
        <rFont val="Calibri"/>
        <family val="2"/>
        <scheme val="minor"/>
      </rPr>
      <t xml:space="preserve"> </t>
    </r>
    <r>
      <rPr>
        <b/>
        <sz val="11"/>
        <rFont val="Calibri"/>
        <family val="2"/>
        <scheme val="minor"/>
      </rPr>
      <t>15,67</t>
    </r>
    <r>
      <rPr>
        <sz val="11"/>
        <rFont val="Calibri"/>
        <family val="2"/>
        <scheme val="minor"/>
      </rPr>
      <t xml:space="preserve"> km section: </t>
    </r>
    <r>
      <rPr>
        <strike/>
        <sz val="11"/>
        <rFont val="Calibri"/>
        <family val="2"/>
        <scheme val="minor"/>
      </rPr>
      <t>(11380*15,67*1,85*365)+(10360*6,50*1,74*365)+(10360*6,00*1,74*365)+(23761*1,18*1,69*365)=219954364</t>
    </r>
    <r>
      <rPr>
        <sz val="11"/>
        <rFont val="Calibri"/>
        <family val="2"/>
        <scheme val="minor"/>
      </rPr>
      <t xml:space="preserve"> </t>
    </r>
    <r>
      <rPr>
        <b/>
        <sz val="11"/>
        <rFont val="Calibri"/>
        <family val="2"/>
        <scheme val="minor"/>
      </rPr>
      <t>(11380*15,67*1,85*365)=120 413 686</t>
    </r>
    <r>
      <rPr>
        <sz val="11"/>
        <rFont val="Calibri"/>
        <family val="2"/>
        <scheme val="minor"/>
      </rPr>
      <t xml:space="preserve">. 
The target value for 2029 of the indicator is determined taking into account the growth (change) of the road passenger traffic planned to be reconstructed per year in the section of </t>
    </r>
    <r>
      <rPr>
        <strike/>
        <sz val="11"/>
        <rFont val="Calibri"/>
        <family val="2"/>
        <scheme val="minor"/>
      </rPr>
      <t>29,35</t>
    </r>
    <r>
      <rPr>
        <sz val="11"/>
        <rFont val="Calibri"/>
        <family val="2"/>
        <scheme val="minor"/>
      </rPr>
      <t xml:space="preserve"> </t>
    </r>
    <r>
      <rPr>
        <b/>
        <sz val="11"/>
        <rFont val="Calibri"/>
        <family val="2"/>
        <scheme val="minor"/>
      </rPr>
      <t>15,67</t>
    </r>
    <r>
      <rPr>
        <sz val="11"/>
        <rFont val="Calibri"/>
        <family val="2"/>
        <scheme val="minor"/>
      </rPr>
      <t xml:space="preserve"> km: </t>
    </r>
    <r>
      <rPr>
        <strike/>
        <sz val="11"/>
        <rFont val="Calibri"/>
        <family val="2"/>
        <scheme val="minor"/>
      </rPr>
      <t>(11957 * 15.67 * 1.85 * 365) + (10884 * 6.50 * 1.74 * 365) + (10884 * 6.00 * 1.74 * 365) + (25069 * 1.18 * 1.69 * 365) = 231171674</t>
    </r>
    <r>
      <rPr>
        <sz val="11"/>
        <rFont val="Calibri"/>
        <family val="2"/>
        <scheme val="minor"/>
      </rPr>
      <t xml:space="preserve"> </t>
    </r>
    <r>
      <rPr>
        <b/>
        <sz val="11"/>
        <rFont val="Calibri"/>
        <family val="2"/>
        <scheme val="minor"/>
      </rPr>
      <t>(11957 * 15.67 * 1.85 * 365)=126 519 020</t>
    </r>
    <r>
      <rPr>
        <sz val="11"/>
        <rFont val="Calibri"/>
        <family val="2"/>
        <scheme val="minor"/>
      </rPr>
      <t>. The traffic flow forecast is based on forecasts prepared by the European Commission (source: https://ec.europa.eu/energy/sites/ener/files/documents/20160713%20draft_publication_REF2016_v13.pdf).</t>
    </r>
  </si>
  <si>
    <t>RCR56</t>
  </si>
  <si>
    <t>Time savings due to improved road infrastructures (dėl patobulintos kelių infrastruktūros sutaupytas laikas)</t>
  </si>
  <si>
    <t>man-days/year</t>
  </si>
  <si>
    <t>The target value is calculated using the methodology proposed by Jaspers on 16/10/2020: [Saved Passenger-hours / year] =Σ nj=1 ( [Lengthj b / Speedj b] – [Lengthj f/a / Speedj f/a)] )* Occupancy * AADTj f/a * DAYS. 
The target value of the indicator in 2029 was determined taking into account the change in the average speed of the road traffic planned to be reconstructed in the current and planned situation, the growth (change) of passenger traffic per year in the 29.35 km section: (15.67 / 82.91-15.67 / 106.04) * 1.85 * 11957 * 365 + (6.50 / 82.87-6.50 / 104.84) ​​* 1.74 * 10884 * 365 + (6.00 / 82.87-6, 00 / 104.84) ​​* 1.74 * 10884 * 365 + (1.18 / 86.0-1.18 / 108.0) * 1.69 * 25069 * 365) / 7.76 = 76620.
The calculations estimate the average working week in Lithuania in 2019 - 38.8 hours =&gt; 1 day: 7.76 hours (source: https://stats.oecd.org/Index.aspx?DataSetCode=AVE_HRS).</t>
  </si>
  <si>
    <r>
      <t xml:space="preserve">The target value is calculated using the methodology proposed by Jaspers on 16/10/2020: [Saved Passenger-hours / year] =Σ nj=1 ( [Lengthj b / Speedj b] – [Lengthj f/a / Speedj f/a)] )* Occupancy * AADTj f/a * DAYS. 
The target value of the indicator in 2029 was determined taking into account the change in the average speed of the road traffic planned to be reconstructed in the current and planned situation, the growth (change) of passenger traffic per year in the </t>
    </r>
    <r>
      <rPr>
        <strike/>
        <sz val="11"/>
        <rFont val="Calibri"/>
        <family val="2"/>
        <scheme val="minor"/>
      </rPr>
      <t>29.35</t>
    </r>
    <r>
      <rPr>
        <sz val="11"/>
        <rFont val="Calibri"/>
        <family val="2"/>
        <scheme val="minor"/>
      </rPr>
      <t xml:space="preserve"> </t>
    </r>
    <r>
      <rPr>
        <b/>
        <sz val="11"/>
        <rFont val="Calibri"/>
        <family val="2"/>
        <scheme val="minor"/>
      </rPr>
      <t>15.67</t>
    </r>
    <r>
      <rPr>
        <b/>
        <sz val="11"/>
        <color rgb="FFFF0000"/>
        <rFont val="Calibri"/>
        <family val="2"/>
        <scheme val="minor"/>
      </rPr>
      <t xml:space="preserve"> </t>
    </r>
    <r>
      <rPr>
        <sz val="11"/>
        <rFont val="Calibri"/>
        <family val="2"/>
        <scheme val="minor"/>
      </rPr>
      <t xml:space="preserve">km section:     </t>
    </r>
    <r>
      <rPr>
        <strike/>
        <sz val="11"/>
        <rFont val="Calibri"/>
        <family val="2"/>
        <scheme val="minor"/>
      </rPr>
      <t xml:space="preserve">(15.67 / 82.91-15.67 / 106.04) * 1.85 * 11957 * 365 + (6.50 / 82.87-6.50 / 104.84) ​​* 1.74 * 10884 * 365 + (6.00 / 82.87-6, 00 / 104.84) ​​* 1.74 * 10884 * 365 + (1.18 / 86.0-1.18 / 108.0) * 1.69 * 25069 * 365) / 7.76 = 76620 </t>
    </r>
    <r>
      <rPr>
        <sz val="11"/>
        <rFont val="Calibri"/>
        <family val="2"/>
        <scheme val="minor"/>
      </rPr>
      <t xml:space="preserve"> </t>
    </r>
    <r>
      <rPr>
        <b/>
        <sz val="11"/>
        <rFont val="Calibri"/>
        <family val="2"/>
        <scheme val="minor"/>
      </rPr>
      <t>((15.67/82.91-15.67/106.04)*1.85*11957*365)/7.76=42 893</t>
    </r>
    <r>
      <rPr>
        <sz val="11"/>
        <rFont val="Calibri"/>
        <family val="2"/>
        <scheme val="minor"/>
      </rPr>
      <t>.
The calculations estimate the average working week in Lithuania in 2019 - 38.8 hours =&gt; 1 day: 7.76 hours (source: https://stats.oecd.org/Index.aspx?DataSetCode=AVE_HRS).</t>
    </r>
  </si>
  <si>
    <t>Mid-West Region</t>
  </si>
  <si>
    <r>
      <t>The target value of the indicator in 2029 is 12.06 km, calculated as the length of the planned to reconstruct section of the Via Baltica road A5 Kaunas – Marijampolė – Suvalkai from 85.00 to 97.06 km (Section IV). Project activities will include new construction of infrastructure - 8.10 km and reconstruction of existing infrastructure - 3.96 km. The required investments for the construction and reconstruction (</t>
    </r>
    <r>
      <rPr>
        <sz val="11"/>
        <rFont val="Calibri"/>
        <family val="2"/>
      </rPr>
      <t>~</t>
    </r>
    <r>
      <rPr>
        <sz val="11"/>
        <rFont val="Calibri"/>
        <family val="2"/>
        <scheme val="minor"/>
      </rPr>
      <t xml:space="preserve">79 576 000 Eur) of this section  are determined according to the tariff of 1 km  (~ 5 512 301 Eur Eur, in 2015  prices) set in technical project ofReconstruction of the A5 Kaunas – Marijampolė – Suwałki section from 35.40 to 45.15 km into the AM road category. This tariff is indexed by estimating the price change  (source: average annual changes in construction input prices for infrastructure structures https://osp.stat.gov.lt/statistiniu-rodikliu-analize?indicator=S7R234#/) before the start of the planned works (2021-2022) (calculated by estimating price changes over the last 10 years),  therefore the final tariff  of 1 km is  </t>
    </r>
    <r>
      <rPr>
        <sz val="11"/>
        <rFont val="Calibri"/>
        <family val="2"/>
      </rPr>
      <t>~</t>
    </r>
    <r>
      <rPr>
        <sz val="11"/>
        <rFont val="Calibri"/>
        <family val="2"/>
        <scheme val="minor"/>
      </rPr>
      <t xml:space="preserve">6 598 342 Eur.  The required  investments are calculated 6598342 *12,06≈79 576 000 Eur.
 In order to ensure the construction and reconstruction of the integrated section, in addition to the planned investments of the program (~48 053 340 Eur),  is planned  additional national budget  funds contribution (~31 522 660 Eur). 
The target value for 2029 of the indicator is determined taking into account all the investments necessary for the implementation of the projects (79576000/6598342=12,06).  It is  planned to complete the construction works in 2024, therefore he milestone value in 2024 will be 100 percent.
</t>
    </r>
  </si>
  <si>
    <r>
      <t xml:space="preserve">The target value of the indicator in 2029 is </t>
    </r>
    <r>
      <rPr>
        <strike/>
        <sz val="11"/>
        <rFont val="Calibri"/>
        <family val="2"/>
        <scheme val="minor"/>
      </rPr>
      <t>12.06</t>
    </r>
    <r>
      <rPr>
        <sz val="11"/>
        <rFont val="Calibri"/>
        <family val="2"/>
        <scheme val="minor"/>
      </rPr>
      <t xml:space="preserve"> </t>
    </r>
    <r>
      <rPr>
        <b/>
        <sz val="11"/>
        <rFont val="Calibri"/>
        <family val="2"/>
        <scheme val="minor"/>
      </rPr>
      <t>6.855</t>
    </r>
    <r>
      <rPr>
        <sz val="11"/>
        <rFont val="Calibri"/>
        <family val="2"/>
        <scheme val="minor"/>
      </rPr>
      <t xml:space="preserve"> km, calculated as the length of the planned to reconstruct section of the Via Baltica road A5 Kaunas – Marijampolė – Suvalkai from </t>
    </r>
    <r>
      <rPr>
        <strike/>
        <sz val="11"/>
        <rFont val="Calibri"/>
        <family val="2"/>
        <scheme val="minor"/>
      </rPr>
      <t>85.00 to 97.06</t>
    </r>
    <r>
      <rPr>
        <sz val="11"/>
        <rFont val="Calibri"/>
        <family val="2"/>
        <scheme val="minor"/>
      </rPr>
      <t xml:space="preserve"> </t>
    </r>
    <r>
      <rPr>
        <b/>
        <sz val="11"/>
        <rFont val="Calibri"/>
        <family val="2"/>
        <scheme val="minor"/>
      </rPr>
      <t>16.465 to 23.320</t>
    </r>
    <r>
      <rPr>
        <sz val="11"/>
        <rFont val="Calibri"/>
        <family val="2"/>
        <scheme val="minor"/>
      </rPr>
      <t xml:space="preserve"> km </t>
    </r>
    <r>
      <rPr>
        <strike/>
        <sz val="11"/>
        <rFont val="Calibri"/>
        <family val="2"/>
        <scheme val="minor"/>
      </rPr>
      <t>(Section IV)</t>
    </r>
    <r>
      <rPr>
        <sz val="11"/>
        <rFont val="Calibri"/>
        <family val="2"/>
        <scheme val="minor"/>
      </rPr>
      <t xml:space="preserve">. Project activities will include </t>
    </r>
    <r>
      <rPr>
        <strike/>
        <sz val="11"/>
        <rFont val="Calibri"/>
        <family val="2"/>
        <scheme val="minor"/>
      </rPr>
      <t xml:space="preserve">new construction of infrastructure - 8.10 km and </t>
    </r>
    <r>
      <rPr>
        <b/>
        <sz val="11"/>
        <rFont val="Calibri"/>
        <family val="2"/>
        <scheme val="minor"/>
      </rPr>
      <t>the</t>
    </r>
    <r>
      <rPr>
        <sz val="11"/>
        <rFont val="Calibri"/>
        <family val="2"/>
        <scheme val="minor"/>
      </rPr>
      <t xml:space="preserve"> reconstruction of </t>
    </r>
    <r>
      <rPr>
        <strike/>
        <sz val="11"/>
        <rFont val="Calibri"/>
        <family val="2"/>
        <scheme val="minor"/>
      </rPr>
      <t xml:space="preserve">existing infrastructure </t>
    </r>
    <r>
      <rPr>
        <b/>
        <sz val="11"/>
        <rFont val="Calibri"/>
        <family val="2"/>
        <scheme val="minor"/>
      </rPr>
      <t>the homogenious section  –</t>
    </r>
    <r>
      <rPr>
        <sz val="11"/>
        <rFont val="Calibri"/>
        <family val="2"/>
        <scheme val="minor"/>
      </rPr>
      <t xml:space="preserve"> </t>
    </r>
    <r>
      <rPr>
        <strike/>
        <sz val="11"/>
        <rFont val="Calibri"/>
        <family val="2"/>
        <scheme val="minor"/>
      </rPr>
      <t>3.96</t>
    </r>
    <r>
      <rPr>
        <sz val="11"/>
        <rFont val="Calibri"/>
        <family val="2"/>
        <scheme val="minor"/>
      </rPr>
      <t xml:space="preserve"> </t>
    </r>
    <r>
      <rPr>
        <b/>
        <sz val="11"/>
        <rFont val="Calibri"/>
        <family val="2"/>
        <scheme val="minor"/>
      </rPr>
      <t>6,855</t>
    </r>
    <r>
      <rPr>
        <sz val="11"/>
        <rFont val="Calibri"/>
        <family val="2"/>
        <scheme val="minor"/>
      </rPr>
      <t xml:space="preserve"> km. The required investments for the </t>
    </r>
    <r>
      <rPr>
        <strike/>
        <sz val="11"/>
        <rFont val="Calibri"/>
        <family val="2"/>
        <scheme val="minor"/>
      </rPr>
      <t>construction and</t>
    </r>
    <r>
      <rPr>
        <sz val="11"/>
        <rFont val="Calibri"/>
        <family val="2"/>
        <scheme val="minor"/>
      </rPr>
      <t xml:space="preserve"> reconstruction (~</t>
    </r>
    <r>
      <rPr>
        <strike/>
        <sz val="11"/>
        <rFont val="Calibri"/>
        <family val="2"/>
        <scheme val="minor"/>
      </rPr>
      <t>79 576 000</t>
    </r>
    <r>
      <rPr>
        <sz val="11"/>
        <rFont val="Calibri"/>
        <family val="2"/>
        <scheme val="minor"/>
      </rPr>
      <t xml:space="preserve"> </t>
    </r>
    <r>
      <rPr>
        <b/>
        <sz val="11"/>
        <rFont val="Calibri"/>
        <family val="2"/>
        <scheme val="minor"/>
      </rPr>
      <t xml:space="preserve">36 565 000 </t>
    </r>
    <r>
      <rPr>
        <sz val="11"/>
        <rFont val="Calibri"/>
        <family val="2"/>
        <scheme val="minor"/>
      </rPr>
      <t xml:space="preserve">Eur) of this section are determined according to the tariff of 1 km  (~ </t>
    </r>
    <r>
      <rPr>
        <strike/>
        <sz val="11"/>
        <rFont val="Calibri"/>
        <family val="2"/>
        <scheme val="minor"/>
      </rPr>
      <t>5 512 301</t>
    </r>
    <r>
      <rPr>
        <sz val="11"/>
        <rFont val="Calibri"/>
        <family val="2"/>
        <scheme val="minor"/>
      </rPr>
      <t xml:space="preserve"> </t>
    </r>
    <r>
      <rPr>
        <b/>
        <sz val="11"/>
        <rFont val="Calibri"/>
        <family val="2"/>
        <scheme val="minor"/>
      </rPr>
      <t xml:space="preserve">5 334 063 </t>
    </r>
    <r>
      <rPr>
        <sz val="11"/>
        <rFont val="Calibri"/>
        <family val="2"/>
        <scheme val="minor"/>
      </rPr>
      <t xml:space="preserve">Eur, in </t>
    </r>
    <r>
      <rPr>
        <strike/>
        <sz val="11"/>
        <rFont val="Calibri"/>
        <family val="2"/>
        <scheme val="minor"/>
      </rPr>
      <t>2015</t>
    </r>
    <r>
      <rPr>
        <sz val="11"/>
        <rFont val="Calibri"/>
        <family val="2"/>
        <scheme val="minor"/>
      </rPr>
      <t xml:space="preserve"> </t>
    </r>
    <r>
      <rPr>
        <b/>
        <sz val="11"/>
        <rFont val="Calibri"/>
        <family val="2"/>
        <scheme val="minor"/>
      </rPr>
      <t>2025</t>
    </r>
    <r>
      <rPr>
        <sz val="11"/>
        <rFont val="Calibri"/>
        <family val="2"/>
        <scheme val="minor"/>
      </rPr>
      <t xml:space="preserve"> prices) set in technical project </t>
    </r>
    <r>
      <rPr>
        <b/>
        <sz val="11"/>
        <rFont val="Calibri"/>
        <family val="2"/>
        <scheme val="minor"/>
      </rPr>
      <t xml:space="preserve">estimation </t>
    </r>
    <r>
      <rPr>
        <strike/>
        <sz val="11"/>
        <rFont val="Calibri"/>
        <family val="2"/>
        <scheme val="minor"/>
      </rPr>
      <t>of Reconstruction of the A5 Kaunas – Marijampolė – Suwałki section from 35.40 to 45.15 km into the AM road category</t>
    </r>
    <r>
      <rPr>
        <sz val="11"/>
        <rFont val="Calibri"/>
        <family val="2"/>
        <scheme val="minor"/>
      </rPr>
      <t xml:space="preserve">. This tariff is indexed by estimating the price change (source: average annual changes in construction input prices for infrastructure structures https://osp.stat.gov.lt/statistiniu-rodikliu-analize?indicator=S7R234#/) </t>
    </r>
    <r>
      <rPr>
        <strike/>
        <sz val="11"/>
        <rFont val="Calibri"/>
        <family val="2"/>
        <scheme val="minor"/>
      </rPr>
      <t>before the start of the planned works (2021-2022) (calculated by estimating price changes</t>
    </r>
    <r>
      <rPr>
        <sz val="11"/>
        <rFont val="Calibri"/>
        <family val="2"/>
        <scheme val="minor"/>
      </rPr>
      <t xml:space="preserve"> over the last 10 years</t>
    </r>
    <r>
      <rPr>
        <strike/>
        <sz val="11"/>
        <rFont val="Calibri"/>
        <family val="2"/>
        <scheme val="minor"/>
      </rPr>
      <t>)</t>
    </r>
    <r>
      <rPr>
        <sz val="11"/>
        <rFont val="Calibri"/>
        <family val="2"/>
        <scheme val="minor"/>
      </rPr>
      <t>, therefore the final tariff of 1 km is  ~</t>
    </r>
    <r>
      <rPr>
        <strike/>
        <sz val="11"/>
        <rFont val="Calibri"/>
        <family val="2"/>
        <scheme val="minor"/>
      </rPr>
      <t>6 598 342</t>
    </r>
    <r>
      <rPr>
        <sz val="11"/>
        <rFont val="Calibri"/>
        <family val="2"/>
        <scheme val="minor"/>
      </rPr>
      <t xml:space="preserve"> </t>
    </r>
    <r>
      <rPr>
        <b/>
        <sz val="11"/>
        <rFont val="Calibri"/>
        <family val="2"/>
        <scheme val="minor"/>
      </rPr>
      <t>5 334 063</t>
    </r>
    <r>
      <rPr>
        <sz val="11"/>
        <rFont val="Calibri"/>
        <family val="2"/>
        <scheme val="minor"/>
      </rPr>
      <t xml:space="preserve"> Eur. The required  investments are calculated </t>
    </r>
    <r>
      <rPr>
        <strike/>
        <sz val="11"/>
        <rFont val="Calibri"/>
        <family val="2"/>
        <scheme val="minor"/>
      </rPr>
      <t>6598342 *12,06≈79 576 000</t>
    </r>
    <r>
      <rPr>
        <sz val="11"/>
        <rFont val="Calibri"/>
        <family val="2"/>
        <scheme val="minor"/>
      </rPr>
      <t xml:space="preserve">  </t>
    </r>
    <r>
      <rPr>
        <b/>
        <sz val="11"/>
        <rFont val="Calibri"/>
        <family val="2"/>
        <scheme val="minor"/>
      </rPr>
      <t>5 334 063 *6,855≈36 565 000</t>
    </r>
    <r>
      <rPr>
        <sz val="11"/>
        <rFont val="Calibri"/>
        <family val="2"/>
        <scheme val="minor"/>
      </rPr>
      <t xml:space="preserve"> Eur.
 In order to ensure the </t>
    </r>
    <r>
      <rPr>
        <strike/>
        <sz val="11"/>
        <rFont val="Calibri"/>
        <family val="2"/>
        <scheme val="minor"/>
      </rPr>
      <t>construction and</t>
    </r>
    <r>
      <rPr>
        <sz val="11"/>
        <rFont val="Calibri"/>
        <family val="2"/>
        <scheme val="minor"/>
      </rPr>
      <t xml:space="preserve"> reconstruction of the </t>
    </r>
    <r>
      <rPr>
        <strike/>
        <sz val="11"/>
        <rFont val="Calibri"/>
        <family val="2"/>
        <scheme val="minor"/>
      </rPr>
      <t>integrated</t>
    </r>
    <r>
      <rPr>
        <sz val="11"/>
        <rFont val="Calibri"/>
        <family val="2"/>
        <scheme val="minor"/>
      </rPr>
      <t xml:space="preserve"> section, in addition to the planned investments of the program (~</t>
    </r>
    <r>
      <rPr>
        <strike/>
        <sz val="11"/>
        <rFont val="Calibri"/>
        <family val="2"/>
        <scheme val="minor"/>
      </rPr>
      <t>48 053 340</t>
    </r>
    <r>
      <rPr>
        <sz val="11"/>
        <rFont val="Calibri"/>
        <family val="2"/>
        <scheme val="minor"/>
      </rPr>
      <t xml:space="preserve"> </t>
    </r>
    <r>
      <rPr>
        <b/>
        <sz val="11"/>
        <rFont val="Calibri"/>
        <family val="2"/>
        <scheme val="minor"/>
      </rPr>
      <t>15 845 339</t>
    </r>
    <r>
      <rPr>
        <sz val="11"/>
        <rFont val="Calibri"/>
        <family val="2"/>
        <scheme val="minor"/>
      </rPr>
      <t xml:space="preserve"> Eur), is planned additional national budget funds contribution (~</t>
    </r>
    <r>
      <rPr>
        <strike/>
        <sz val="11"/>
        <rFont val="Calibri"/>
        <family val="2"/>
        <scheme val="minor"/>
      </rPr>
      <t>31 522 660</t>
    </r>
    <r>
      <rPr>
        <sz val="11"/>
        <rFont val="Calibri"/>
        <family val="2"/>
        <scheme val="minor"/>
      </rPr>
      <t xml:space="preserve"> </t>
    </r>
    <r>
      <rPr>
        <b/>
        <sz val="11"/>
        <rFont val="Calibri"/>
        <family val="2"/>
        <scheme val="minor"/>
      </rPr>
      <t xml:space="preserve">20 719 661 </t>
    </r>
    <r>
      <rPr>
        <sz val="11"/>
        <rFont val="Calibri"/>
        <family val="2"/>
        <scheme val="minor"/>
      </rPr>
      <t>Eur). 
The target value for 2029 of the indicator is determined taking into account all the investments necessary for the implementation of the projects (</t>
    </r>
    <r>
      <rPr>
        <strike/>
        <sz val="11"/>
        <rFont val="Calibri"/>
        <family val="2"/>
        <scheme val="minor"/>
      </rPr>
      <t>79576000/6598342=12,06</t>
    </r>
    <r>
      <rPr>
        <sz val="11"/>
        <rFont val="Calibri"/>
        <family val="2"/>
        <scheme val="minor"/>
      </rPr>
      <t xml:space="preserve"> </t>
    </r>
    <r>
      <rPr>
        <b/>
        <sz val="11"/>
        <rFont val="Calibri"/>
        <family val="2"/>
        <scheme val="minor"/>
      </rPr>
      <t>36 565 000/5 334 063=6,855</t>
    </r>
    <r>
      <rPr>
        <sz val="11"/>
        <rFont val="Calibri"/>
        <family val="2"/>
        <scheme val="minor"/>
      </rPr>
      <t xml:space="preserve">). </t>
    </r>
    <r>
      <rPr>
        <strike/>
        <sz val="11"/>
        <rFont val="Calibri"/>
        <family val="2"/>
        <scheme val="minor"/>
      </rPr>
      <t xml:space="preserve"> It is  planned to complete the construction works in 2024, therefore he milestone value in 2024 will be 100 percent.</t>
    </r>
    <r>
      <rPr>
        <sz val="11"/>
        <rFont val="Calibri"/>
        <family val="2"/>
        <scheme val="minor"/>
      </rPr>
      <t xml:space="preserve"> 
</t>
    </r>
    <r>
      <rPr>
        <b/>
        <sz val="11"/>
        <rFont val="Calibri"/>
        <family val="2"/>
        <scheme val="minor"/>
      </rPr>
      <t>2024 milestone remains the same.</t>
    </r>
  </si>
  <si>
    <t>The target value is calculated using the methodology proposed by Jaspers on 16/10/2020: [Passenger-km] = Σ nj = 1 [AADTj] * [Lengthj] * Occupancy * 365.
The baseline value of the indicator in 2021 was determined taking into account the current growth (change) of passenger traffic per year on the A5 Kaunas – Marijampolė – Suvalkai section from 85.00 to 97.06 km (Section IV) in the 12.06 km section: (8706 * 8.10 * 1.74 * 365) + (10228 * 3.96 * 1.75 * 365) = 70657577.
The target value of the indicator in 2029 was determined taking into account the growth (change) of the passenger traffic of the road to be reconstructed per year in the 12.06 km section: (9146 * 8.10 * 1.74 * 365) + (10744 * 3.96 * 1.75 * 365) = 74226270. 
The traffic flow forecast is based on forecasts prepared by the European Commission (source: https://ec.europa.eu/energy/sites/ener/files/documents/20160713%20draft_publication_REF2016_v13.pdf)</t>
  </si>
  <si>
    <r>
      <t xml:space="preserve">The target value is calculated using the methodology proposed by Jaspers on 16/10/2020: [Passenger-km] = Σ nj = 1 [AADTj] * [Lengthj] * Occupancy * 365.
The baseline value of the indicator in 2021 was determined taking into account the current growth (change) of passenger traffic per year on the A5 Kaunas – Marijampolė – Suvalkai section from </t>
    </r>
    <r>
      <rPr>
        <strike/>
        <sz val="11"/>
        <rFont val="Calibri"/>
        <family val="2"/>
        <scheme val="minor"/>
      </rPr>
      <t>85.00 to 97.06</t>
    </r>
    <r>
      <rPr>
        <sz val="11"/>
        <rFont val="Calibri"/>
        <family val="2"/>
        <scheme val="minor"/>
      </rPr>
      <t xml:space="preserve"> </t>
    </r>
    <r>
      <rPr>
        <b/>
        <sz val="11"/>
        <rFont val="Calibri"/>
        <family val="2"/>
        <scheme val="minor"/>
      </rPr>
      <t>16.465 to 23.32</t>
    </r>
    <r>
      <rPr>
        <sz val="11"/>
        <rFont val="Calibri"/>
        <family val="2"/>
        <scheme val="minor"/>
      </rPr>
      <t xml:space="preserve"> km </t>
    </r>
    <r>
      <rPr>
        <strike/>
        <sz val="11"/>
        <rFont val="Calibri"/>
        <family val="2"/>
        <scheme val="minor"/>
      </rPr>
      <t>(Section IV)</t>
    </r>
    <r>
      <rPr>
        <sz val="11"/>
        <rFont val="Calibri"/>
        <family val="2"/>
        <scheme val="minor"/>
      </rPr>
      <t xml:space="preserve"> in the </t>
    </r>
    <r>
      <rPr>
        <strike/>
        <sz val="11"/>
        <rFont val="Calibri"/>
        <family val="2"/>
        <scheme val="minor"/>
      </rPr>
      <t>12.06</t>
    </r>
    <r>
      <rPr>
        <sz val="11"/>
        <rFont val="Calibri"/>
        <family val="2"/>
        <scheme val="minor"/>
      </rPr>
      <t xml:space="preserve"> </t>
    </r>
    <r>
      <rPr>
        <b/>
        <sz val="11"/>
        <rFont val="Calibri"/>
        <family val="2"/>
        <scheme val="minor"/>
      </rPr>
      <t>6.855</t>
    </r>
    <r>
      <rPr>
        <sz val="11"/>
        <rFont val="Calibri"/>
        <family val="2"/>
        <scheme val="minor"/>
      </rPr>
      <t xml:space="preserve"> km section: </t>
    </r>
    <r>
      <rPr>
        <strike/>
        <sz val="11"/>
        <rFont val="Calibri"/>
        <family val="2"/>
        <scheme val="minor"/>
      </rPr>
      <t>(8706</t>
    </r>
    <r>
      <rPr>
        <sz val="11"/>
        <rFont val="Calibri"/>
        <family val="2"/>
        <scheme val="minor"/>
      </rPr>
      <t xml:space="preserve"> </t>
    </r>
    <r>
      <rPr>
        <strike/>
        <sz val="11"/>
        <rFont val="Calibri"/>
        <family val="2"/>
        <scheme val="minor"/>
      </rPr>
      <t xml:space="preserve">* 8.10 * 1.74 * 365) + (10228 * 3.96 * 1.75 * 365) = 70657577 </t>
    </r>
    <r>
      <rPr>
        <sz val="11"/>
        <rFont val="Calibri"/>
        <family val="2"/>
        <scheme val="minor"/>
      </rPr>
      <t xml:space="preserve"> </t>
    </r>
    <r>
      <rPr>
        <b/>
        <sz val="11"/>
        <rFont val="Calibri"/>
        <family val="2"/>
        <scheme val="minor"/>
      </rPr>
      <t>(20519*6.855*1.90*365)=97 546 146</t>
    </r>
    <r>
      <rPr>
        <sz val="11"/>
        <rFont val="Calibri"/>
        <family val="2"/>
        <scheme val="minor"/>
      </rPr>
      <t xml:space="preserve">. 
 The target value of the indicator in 2029 was determined taking into account the growth (change) of the passenger traffic of the road to be reconstructed per year in the </t>
    </r>
    <r>
      <rPr>
        <strike/>
        <sz val="11"/>
        <rFont val="Calibri"/>
        <family val="2"/>
        <scheme val="minor"/>
      </rPr>
      <t>12.06</t>
    </r>
    <r>
      <rPr>
        <sz val="11"/>
        <rFont val="Calibri"/>
        <family val="2"/>
        <scheme val="minor"/>
      </rPr>
      <t xml:space="preserve"> </t>
    </r>
    <r>
      <rPr>
        <b/>
        <sz val="11"/>
        <rFont val="Calibri"/>
        <family val="2"/>
        <scheme val="minor"/>
      </rPr>
      <t xml:space="preserve">6,855 </t>
    </r>
    <r>
      <rPr>
        <sz val="11"/>
        <rFont val="Calibri"/>
        <family val="2"/>
        <scheme val="minor"/>
      </rPr>
      <t xml:space="preserve">km section: </t>
    </r>
    <r>
      <rPr>
        <strike/>
        <sz val="11"/>
        <rFont val="Calibri"/>
        <family val="2"/>
        <scheme val="minor"/>
      </rPr>
      <t>(9146 * 8.10 * 1.74 * 365) + (10744 * 3.96 * 1.75 * 365) = 74226270</t>
    </r>
    <r>
      <rPr>
        <sz val="11"/>
        <rFont val="Calibri"/>
        <family val="2"/>
        <scheme val="minor"/>
      </rPr>
      <t xml:space="preserve"> </t>
    </r>
    <r>
      <rPr>
        <b/>
        <sz val="11"/>
        <rFont val="Calibri"/>
        <family val="2"/>
        <scheme val="minor"/>
      </rPr>
      <t>(21601*6.855*1.90*365)=102 689 912</t>
    </r>
    <r>
      <rPr>
        <sz val="11"/>
        <rFont val="Calibri"/>
        <family val="2"/>
        <scheme val="minor"/>
      </rPr>
      <t>.
The traffic flow forecast is based on forecasts prepared by the European Commission (source: https://ec.europa.eu/energy/sites/ener/files/documents/20160713%20draft_publication_REF2016_v13.pdf)</t>
    </r>
  </si>
  <si>
    <t xml:space="preserve">
man-days/year</t>
  </si>
  <si>
    <t>The target value is calculated using the methodology proposed by Jaspers on 16/10/2020: [Saved Passenger-hours / year] =Σ nj=1 ( [Lengthj b / Speedj b] – [Lengthj f/a / Speedj f/a)] )* Occupancy * AADTj f/a * DAYS. 
The target value of the indicator  in 2029 is determined taking into account the change in the average speed of the road traffic planned for the newly built and partially reconstructed road in the current and planned situation, the growth (change) of passenger traffic per year in the 12.06 km section: ((8.10 / 76.60-8, 10 / 104.50) * 1.74 * 9146 * 365 + (3.96 / 75.83-3.96 / 84.53) * 1.75 * 10744 * 365) / 7.76 = 25886. The calculations estimate the average working week in Lithuania - 38.8 hours =&gt; 1 day: 7.76 hours (source: https://stats.oecd.org/Index.aspx?DataSetCode=AVE_HRS).</t>
  </si>
  <si>
    <r>
      <t xml:space="preserve">The target value is calculated using the methodology proposed by Jaspers on 16/10/2020: [Saved Passenger-hours / year] =Σ nj=1 ( [Lengthj b / Speedj b] – [Lengthj f/a / Speedj f/a)] )* Occupancy * AADTj f/a * DAYS. 
The target value of the indicator in 2029 was determined taking into account the change in the average speed of the road traffic planned to be reconstructed in the current and planned situation, the growth (change) of passenger traffic per year in the </t>
    </r>
    <r>
      <rPr>
        <strike/>
        <sz val="11"/>
        <rFont val="Calibri"/>
        <family val="2"/>
        <scheme val="minor"/>
      </rPr>
      <t>12.06</t>
    </r>
    <r>
      <rPr>
        <sz val="11"/>
        <rFont val="Calibri"/>
        <family val="2"/>
        <scheme val="minor"/>
      </rPr>
      <t xml:space="preserve"> </t>
    </r>
    <r>
      <rPr>
        <b/>
        <sz val="11"/>
        <rFont val="Calibri"/>
        <family val="2"/>
        <scheme val="minor"/>
      </rPr>
      <t>6.855</t>
    </r>
    <r>
      <rPr>
        <sz val="11"/>
        <rFont val="Calibri"/>
        <family val="2"/>
        <scheme val="minor"/>
      </rPr>
      <t xml:space="preserve"> km section: </t>
    </r>
    <r>
      <rPr>
        <strike/>
        <sz val="11"/>
        <rFont val="Calibri"/>
        <family val="2"/>
        <scheme val="minor"/>
      </rPr>
      <t xml:space="preserve">((8.10 / 76.60-8, 10 / 104.50) * 1.74 * 9146 * 365 + (3.96 / 75.83-3.96 / 84.53) * 1.75 * 10744 * 365) / 7.76 = 25886 </t>
    </r>
    <r>
      <rPr>
        <b/>
        <sz val="11"/>
        <rFont val="Calibri"/>
        <family val="2"/>
        <scheme val="minor"/>
      </rPr>
      <t>((6.855/93.74-6.855/112.81)*1.90*21601*365)/7.76=23 864</t>
    </r>
    <r>
      <rPr>
        <sz val="11"/>
        <rFont val="Calibri"/>
        <family val="2"/>
        <scheme val="minor"/>
      </rPr>
      <t>.
The calculations estimate the average working week in Lithuania - 38.8 hours =&gt; 1 day: 7.76 hours (source: https://stats.oecd.org/Index.aspx?DataSetCode=AVE_HRS).</t>
    </r>
  </si>
  <si>
    <r>
      <rPr>
        <b/>
        <sz val="11"/>
        <color theme="1"/>
        <rFont val="Calibri"/>
        <family val="2"/>
        <scheme val="minor"/>
      </rPr>
      <t>092</t>
    </r>
    <r>
      <rPr>
        <sz val="11"/>
        <color theme="1"/>
        <rFont val="Calibri"/>
        <family val="2"/>
        <scheme val="minor"/>
      </rPr>
      <t xml:space="preserve"> Reconstructed or modernised motorways and roads - </t>
    </r>
    <r>
      <rPr>
        <b/>
        <sz val="11"/>
        <color theme="1"/>
        <rFont val="Calibri"/>
        <family val="2"/>
        <scheme val="minor"/>
      </rPr>
      <t xml:space="preserve">TEN-T comprehensive network </t>
    </r>
    <r>
      <rPr>
        <sz val="11"/>
        <color theme="1"/>
        <rFont val="Calibri"/>
        <family val="2"/>
        <scheme val="minor"/>
      </rPr>
      <t>(Rekonstruoti ar modernizuoti greitkeliai ir keliai – TEN-T visuotinis tinklas)</t>
    </r>
  </si>
  <si>
    <r>
      <t xml:space="preserve">The target value of the indicator in 2029 is 30.68 km calculated as the length of the section of the road A14 Vilnius – Utena planned to be reconstructed from 21.50 to 52.18 km (2 sections). Project activities will include reconstruction (17.70 + 12.98 = 30.68 km). The required investments for the  reconstruction (~101 000 000 Eur) of this section are determined according to the tariff of 1 km  (~ 2 648 965 Eur, in 2014  prices) set in feasibility Study of  Development of the trans-European network road E67 (VIA BALTICA). This tariff is indexed by estimating the price change  (source: average annual changes in construction input prices for infrastructure structures https://osp.stat.gov.lt/statistiniu-rodikliu-analize?indicator=S7R234#/) before the start of the planned works (2023) (calculated by estimating price changes over the last 10 years),  therefore final tariff of 1 km - </t>
    </r>
    <r>
      <rPr>
        <sz val="11"/>
        <rFont val="Calibri"/>
        <family val="2"/>
      </rPr>
      <t>~</t>
    </r>
    <r>
      <rPr>
        <sz val="11"/>
        <rFont val="Calibri"/>
        <family val="2"/>
        <scheme val="minor"/>
      </rPr>
      <t xml:space="preserve">3 292 047 Eur. The required  investments are calculated 3292047 *30.68≈101000000 Eur.
 In order to ensure the reconstruction of the integrated sections, in addition to the planned investments of the program (~62 831 440 Eur),  is planned  additional national budget  funds contribution (~38 168 560 Eur). 
The target value for 2029 of the indicator is determined taking into account all the investments necessary for the implementation of the projects (101000000/3292047=30.68). The milestone value for  2024 will be 100 percent.
 </t>
    </r>
  </si>
  <si>
    <r>
      <t xml:space="preserve">The target value of the indicator in 2029 is </t>
    </r>
    <r>
      <rPr>
        <strike/>
        <sz val="11"/>
        <rFont val="Calibri"/>
        <family val="2"/>
        <scheme val="minor"/>
      </rPr>
      <t>30.68</t>
    </r>
    <r>
      <rPr>
        <sz val="11"/>
        <rFont val="Calibri"/>
        <family val="2"/>
        <scheme val="minor"/>
      </rPr>
      <t xml:space="preserve"> </t>
    </r>
    <r>
      <rPr>
        <b/>
        <sz val="11"/>
        <rFont val="Calibri"/>
        <family val="2"/>
        <scheme val="minor"/>
      </rPr>
      <t>42,72</t>
    </r>
    <r>
      <rPr>
        <sz val="11"/>
        <rFont val="Calibri"/>
        <family val="2"/>
        <scheme val="minor"/>
      </rPr>
      <t xml:space="preserve"> km calculated as the length of the </t>
    </r>
    <r>
      <rPr>
        <b/>
        <sz val="11"/>
        <rFont val="Calibri"/>
        <family val="2"/>
        <scheme val="minor"/>
      </rPr>
      <t>five</t>
    </r>
    <r>
      <rPr>
        <sz val="11"/>
        <rFont val="Calibri"/>
        <family val="2"/>
        <scheme val="minor"/>
      </rPr>
      <t xml:space="preserve"> section</t>
    </r>
    <r>
      <rPr>
        <b/>
        <sz val="11"/>
        <rFont val="Calibri"/>
        <family val="2"/>
        <scheme val="minor"/>
      </rPr>
      <t>s</t>
    </r>
    <r>
      <rPr>
        <sz val="11"/>
        <rFont val="Calibri"/>
        <family val="2"/>
        <scheme val="minor"/>
      </rPr>
      <t xml:space="preserve"> of the road A14 Vilnius – Utena planned to be reconstructed from 21.50 to </t>
    </r>
    <r>
      <rPr>
        <strike/>
        <sz val="11"/>
        <rFont val="Calibri"/>
        <family val="2"/>
        <scheme val="minor"/>
      </rPr>
      <t>52.18</t>
    </r>
    <r>
      <rPr>
        <sz val="11"/>
        <rFont val="Calibri"/>
        <family val="2"/>
        <scheme val="minor"/>
      </rPr>
      <t xml:space="preserve"> </t>
    </r>
    <r>
      <rPr>
        <b/>
        <sz val="11"/>
        <rFont val="Calibri"/>
        <family val="2"/>
        <scheme val="minor"/>
      </rPr>
      <t xml:space="preserve">64.332 </t>
    </r>
    <r>
      <rPr>
        <sz val="11"/>
        <rFont val="Calibri"/>
        <family val="2"/>
        <scheme val="minor"/>
      </rPr>
      <t xml:space="preserve">km </t>
    </r>
    <r>
      <rPr>
        <strike/>
        <sz val="11"/>
        <rFont val="Calibri"/>
        <family val="2"/>
        <scheme val="minor"/>
      </rPr>
      <t>(2 sections)</t>
    </r>
    <r>
      <rPr>
        <sz val="11"/>
        <rFont val="Calibri"/>
        <family val="2"/>
        <scheme val="minor"/>
      </rPr>
      <t xml:space="preserve">. Project activities will include reconstruction </t>
    </r>
    <r>
      <rPr>
        <b/>
        <sz val="11"/>
        <rFont val="Calibri"/>
        <family val="2"/>
        <scheme val="minor"/>
      </rPr>
      <t>of all five sections</t>
    </r>
    <r>
      <rPr>
        <sz val="11"/>
        <rFont val="Calibri"/>
        <family val="2"/>
        <scheme val="minor"/>
      </rPr>
      <t xml:space="preserve"> (</t>
    </r>
    <r>
      <rPr>
        <strike/>
        <sz val="11"/>
        <rFont val="Calibri"/>
        <family val="2"/>
        <scheme val="minor"/>
      </rPr>
      <t xml:space="preserve">17.70 + 12.98 = 30.68  </t>
    </r>
    <r>
      <rPr>
        <b/>
        <sz val="11"/>
        <rFont val="Calibri"/>
        <family val="2"/>
        <scheme val="minor"/>
      </rPr>
      <t>6.9 + 10.807 + 12.343 + 7.45 + 5.226 = 42.726</t>
    </r>
    <r>
      <rPr>
        <sz val="11"/>
        <rFont val="Calibri"/>
        <family val="2"/>
        <scheme val="minor"/>
      </rPr>
      <t xml:space="preserve"> km. </t>
    </r>
    <r>
      <rPr>
        <b/>
        <sz val="11"/>
        <rFont val="Calibri"/>
        <family val="2"/>
        <scheme val="minor"/>
      </rPr>
      <t>The reason for the discrepancy is objective and related to the specifics of construction design and implementation. The section being reconstructed is up to 64,226 km, the actual length of the reconstructed section V upon project completion is 5,226 km as specified in the technical work project)</t>
    </r>
    <r>
      <rPr>
        <sz val="11"/>
        <rFont val="Calibri"/>
        <family val="2"/>
        <scheme val="minor"/>
      </rPr>
      <t>. The required investments for the  reconstruction (~</t>
    </r>
    <r>
      <rPr>
        <strike/>
        <sz val="11"/>
        <rFont val="Calibri"/>
        <family val="2"/>
        <scheme val="minor"/>
      </rPr>
      <t>101 000</t>
    </r>
    <r>
      <rPr>
        <sz val="11"/>
        <rFont val="Calibri"/>
        <family val="2"/>
        <scheme val="minor"/>
      </rPr>
      <t xml:space="preserve"> </t>
    </r>
    <r>
      <rPr>
        <strike/>
        <sz val="11"/>
        <rFont val="Calibri"/>
        <family val="2"/>
        <scheme val="minor"/>
      </rPr>
      <t>000</t>
    </r>
    <r>
      <rPr>
        <sz val="11"/>
        <rFont val="Calibri"/>
        <family val="2"/>
        <scheme val="minor"/>
      </rPr>
      <t xml:space="preserve"> </t>
    </r>
    <r>
      <rPr>
        <b/>
        <sz val="11"/>
        <rFont val="Calibri"/>
        <family val="2"/>
        <scheme val="minor"/>
      </rPr>
      <t>170 972 000</t>
    </r>
    <r>
      <rPr>
        <sz val="11"/>
        <rFont val="Calibri"/>
        <family val="2"/>
        <scheme val="minor"/>
      </rPr>
      <t xml:space="preserve"> Eur) </t>
    </r>
    <r>
      <rPr>
        <strike/>
        <sz val="11"/>
        <rFont val="Calibri"/>
        <family val="2"/>
        <scheme val="minor"/>
      </rPr>
      <t>of this section</t>
    </r>
    <r>
      <rPr>
        <sz val="11"/>
        <rFont val="Calibri"/>
        <family val="2"/>
        <scheme val="minor"/>
      </rPr>
      <t xml:space="preserve"> are determined according to the tariff of 1 km  (~ </t>
    </r>
    <r>
      <rPr>
        <strike/>
        <sz val="11"/>
        <rFont val="Calibri"/>
        <family val="2"/>
        <scheme val="minor"/>
      </rPr>
      <t>2 648 965</t>
    </r>
    <r>
      <rPr>
        <sz val="11"/>
        <rFont val="Calibri"/>
        <family val="2"/>
        <scheme val="minor"/>
      </rPr>
      <t xml:space="preserve"> </t>
    </r>
    <r>
      <rPr>
        <b/>
        <sz val="11"/>
        <rFont val="Calibri"/>
        <family val="2"/>
        <scheme val="minor"/>
      </rPr>
      <t>4 001 591</t>
    </r>
    <r>
      <rPr>
        <sz val="11"/>
        <rFont val="Calibri"/>
        <family val="2"/>
        <scheme val="minor"/>
      </rPr>
      <t xml:space="preserve"> Eur, in </t>
    </r>
    <r>
      <rPr>
        <strike/>
        <sz val="11"/>
        <rFont val="Calibri"/>
        <family val="2"/>
        <scheme val="minor"/>
      </rPr>
      <t>2014</t>
    </r>
    <r>
      <rPr>
        <sz val="11"/>
        <rFont val="Calibri"/>
        <family val="2"/>
        <scheme val="minor"/>
      </rPr>
      <t xml:space="preserve"> </t>
    </r>
    <r>
      <rPr>
        <b/>
        <sz val="11"/>
        <rFont val="Calibri"/>
        <family val="2"/>
        <scheme val="minor"/>
      </rPr>
      <t>2024</t>
    </r>
    <r>
      <rPr>
        <sz val="11"/>
        <rFont val="Calibri"/>
        <family val="2"/>
        <scheme val="minor"/>
      </rPr>
      <t xml:space="preserve"> prices) set in</t>
    </r>
    <r>
      <rPr>
        <strike/>
        <sz val="11"/>
        <rFont val="Calibri"/>
        <family val="2"/>
        <scheme val="minor"/>
      </rPr>
      <t xml:space="preserve"> feasibility Study of  Development of the trans-European network road E67 (VIA BALTICA)</t>
    </r>
    <r>
      <rPr>
        <b/>
        <sz val="11"/>
        <rFont val="Calibri"/>
        <family val="2"/>
        <scheme val="minor"/>
      </rPr>
      <t xml:space="preserve"> technical project estimation</t>
    </r>
    <r>
      <rPr>
        <sz val="11"/>
        <rFont val="Calibri"/>
        <family val="2"/>
        <scheme val="minor"/>
      </rPr>
      <t xml:space="preserve">. </t>
    </r>
    <r>
      <rPr>
        <strike/>
        <sz val="11"/>
        <rFont val="Calibri"/>
        <family val="2"/>
        <scheme val="minor"/>
      </rPr>
      <t>This tariff is indexed by estimating the price change (source: average annual changes in construction input prices for infrastructure structures https://osp.stat.gov.lt/statistiniu-rodikliu-analize?indicator=S7R234#/) before the start of the planned works (2023) (calculated by estimating price changes over the last 10 years), therefore final tariff of 1 km - ~3 292 047 Eur.</t>
    </r>
    <r>
      <rPr>
        <sz val="11"/>
        <rFont val="Calibri"/>
        <family val="2"/>
        <scheme val="minor"/>
      </rPr>
      <t xml:space="preserve"> The required  investments are calculated </t>
    </r>
    <r>
      <rPr>
        <strike/>
        <sz val="11"/>
        <rFont val="Calibri"/>
        <family val="2"/>
        <scheme val="minor"/>
      </rPr>
      <t>3292047 *30.68≈101000000</t>
    </r>
    <r>
      <rPr>
        <sz val="11"/>
        <rFont val="Calibri"/>
        <family val="2"/>
        <scheme val="minor"/>
      </rPr>
      <t xml:space="preserve"> </t>
    </r>
    <r>
      <rPr>
        <b/>
        <sz val="11"/>
        <rFont val="Calibri"/>
        <family val="2"/>
        <scheme val="minor"/>
      </rPr>
      <t xml:space="preserve">4 001 591*42,726≈170 972 000 </t>
    </r>
    <r>
      <rPr>
        <sz val="11"/>
        <rFont val="Calibri"/>
        <family val="2"/>
        <scheme val="minor"/>
      </rPr>
      <t>Eur.
 In order to ensure the reconstruction of the integrated sections, in addition to the planned investments of the program (~</t>
    </r>
    <r>
      <rPr>
        <strike/>
        <sz val="11"/>
        <rFont val="Calibri"/>
        <family val="2"/>
        <scheme val="minor"/>
      </rPr>
      <t>62 831 440</t>
    </r>
    <r>
      <rPr>
        <sz val="11"/>
        <rFont val="Calibri"/>
        <family val="2"/>
        <scheme val="minor"/>
      </rPr>
      <t xml:space="preserve"> </t>
    </r>
    <r>
      <rPr>
        <b/>
        <sz val="11"/>
        <rFont val="Calibri"/>
        <family val="2"/>
        <scheme val="minor"/>
      </rPr>
      <t>66 328 890</t>
    </r>
    <r>
      <rPr>
        <sz val="11"/>
        <rFont val="Calibri"/>
        <family val="2"/>
        <scheme val="minor"/>
      </rPr>
      <t xml:space="preserve"> Eur), is planned additional national budget funds contribution (~</t>
    </r>
    <r>
      <rPr>
        <strike/>
        <sz val="11"/>
        <rFont val="Calibri"/>
        <family val="2"/>
        <scheme val="minor"/>
      </rPr>
      <t>38 168 560</t>
    </r>
    <r>
      <rPr>
        <sz val="11"/>
        <rFont val="Calibri"/>
        <family val="2"/>
        <scheme val="minor"/>
      </rPr>
      <t xml:space="preserve"> </t>
    </r>
    <r>
      <rPr>
        <b/>
        <sz val="11"/>
        <rFont val="Calibri"/>
        <family val="2"/>
        <scheme val="minor"/>
      </rPr>
      <t>104 643 110</t>
    </r>
    <r>
      <rPr>
        <sz val="11"/>
        <rFont val="Calibri"/>
        <family val="2"/>
        <scheme val="minor"/>
      </rPr>
      <t xml:space="preserve"> Eur). 
The target value for 2029 of the indicator is determined taking into account all the investments necessary for the implementation of the projects (</t>
    </r>
    <r>
      <rPr>
        <strike/>
        <sz val="11"/>
        <rFont val="Calibri"/>
        <family val="2"/>
        <scheme val="minor"/>
      </rPr>
      <t>101000000/3292047=30.68</t>
    </r>
    <r>
      <rPr>
        <sz val="11"/>
        <rFont val="Calibri"/>
        <family val="2"/>
        <scheme val="minor"/>
      </rPr>
      <t xml:space="preserve"> </t>
    </r>
    <r>
      <rPr>
        <b/>
        <sz val="11"/>
        <rFont val="Calibri"/>
        <family val="2"/>
        <scheme val="minor"/>
      </rPr>
      <t>170 972 000/4 001 591=42,726</t>
    </r>
    <r>
      <rPr>
        <sz val="11"/>
        <rFont val="Calibri"/>
        <family val="2"/>
        <scheme val="minor"/>
      </rPr>
      <t xml:space="preserve">). </t>
    </r>
    <r>
      <rPr>
        <strike/>
        <sz val="11"/>
        <rFont val="Calibri"/>
        <family val="2"/>
        <scheme val="minor"/>
      </rPr>
      <t>The milestone value for  2024 will be 100 percent.</t>
    </r>
    <r>
      <rPr>
        <sz val="11"/>
        <rFont val="Calibri"/>
        <family val="2"/>
        <scheme val="minor"/>
      </rPr>
      <t xml:space="preserve">
</t>
    </r>
    <r>
      <rPr>
        <b/>
        <sz val="11"/>
        <rFont val="Calibri"/>
        <family val="2"/>
        <scheme val="minor"/>
      </rPr>
      <t>2024 milestone remains the same.</t>
    </r>
  </si>
  <si>
    <t>Annual users of newly built, reconstructed, upgraded or modernised roads (naujai pastatytų, rekonstruotų, atnaujintų arba modernizuotų kelių naudotojų skaičius per metus)</t>
  </si>
  <si>
    <t>The target value is calculated using the methodology proposed by Jaspers on 16/10/2020: [Passenger-km] = Σ nj = 1 [AADTj] * [Lengthj] * Occupancy * 365. 
The baseline value of the indicator in 2021 was determined taking into account the current growth (change) of passenger traffic on the A14 Vilnius – Utena section from 21.50 to 52.18 km (2 sections) per year in the 30.68 km section: (6481 * 17.70 * 1 , 69 * 365) + (5851 * 12.98 * 1.72 * 365) = 118440032. 
The target value of the indicator in 2029 has been determined taking into account the growth (change) of the passenger traffic of the road to be reconstructed per year in the 30.68 km section: (6843 * 17.70 * 1.69 * 365) + (6176 * 12.98 * 1.72 * 365) = 125040811. 
The traffic flow forecast is based on forecasts prepared by the European Commission (source: https://ec.europa.eu/energy/sites/ener/files/documents/20160713%20draft_publication_REF2016_v13.pdf).</t>
  </si>
  <si>
    <r>
      <t xml:space="preserve">The target value is calculated using the methodology proposed by Jaspers on 16/10/2020: [Passenger-km] = Σ nj = 1 [AADTj] * [Lengthj] * Occupancy * 365. 
The baseline value of the indicator in 2021 was determined taking into account the current growth (change) of passenger traffic on the A14 Vilnius-Utena section from 21.500 km to </t>
    </r>
    <r>
      <rPr>
        <strike/>
        <sz val="11"/>
        <rFont val="Calibri"/>
        <family val="2"/>
        <scheme val="minor"/>
      </rPr>
      <t>52.18</t>
    </r>
    <r>
      <rPr>
        <sz val="11"/>
        <rFont val="Calibri"/>
        <family val="2"/>
        <scheme val="minor"/>
      </rPr>
      <t xml:space="preserve"> </t>
    </r>
    <r>
      <rPr>
        <b/>
        <sz val="11"/>
        <rFont val="Calibri"/>
        <family val="2"/>
        <scheme val="minor"/>
      </rPr>
      <t>64.332</t>
    </r>
    <r>
      <rPr>
        <sz val="11"/>
        <rFont val="Calibri"/>
        <family val="2"/>
        <scheme val="minor"/>
      </rPr>
      <t xml:space="preserve"> km (</t>
    </r>
    <r>
      <rPr>
        <strike/>
        <sz val="11"/>
        <rFont val="Calibri"/>
        <family val="2"/>
        <scheme val="minor"/>
      </rPr>
      <t>2</t>
    </r>
    <r>
      <rPr>
        <sz val="11"/>
        <rFont val="Calibri"/>
        <family val="2"/>
        <scheme val="minor"/>
      </rPr>
      <t xml:space="preserve"> </t>
    </r>
    <r>
      <rPr>
        <b/>
        <sz val="11"/>
        <rFont val="Calibri"/>
        <family val="2"/>
        <scheme val="minor"/>
      </rPr>
      <t>5</t>
    </r>
    <r>
      <rPr>
        <sz val="11"/>
        <rFont val="Calibri"/>
        <family val="2"/>
        <scheme val="minor"/>
      </rPr>
      <t xml:space="preserve"> sections) per year in the </t>
    </r>
    <r>
      <rPr>
        <strike/>
        <sz val="11"/>
        <rFont val="Calibri"/>
        <family val="2"/>
        <scheme val="minor"/>
      </rPr>
      <t>30.68</t>
    </r>
    <r>
      <rPr>
        <sz val="11"/>
        <rFont val="Calibri"/>
        <family val="2"/>
        <scheme val="minor"/>
      </rPr>
      <t xml:space="preserve"> </t>
    </r>
    <r>
      <rPr>
        <b/>
        <sz val="11"/>
        <rFont val="Calibri"/>
        <family val="2"/>
        <scheme val="minor"/>
      </rPr>
      <t>42.726</t>
    </r>
    <r>
      <rPr>
        <sz val="11"/>
        <rFont val="Calibri"/>
        <family val="2"/>
        <scheme val="minor"/>
      </rPr>
      <t xml:space="preserve"> km section: </t>
    </r>
    <r>
      <rPr>
        <strike/>
        <sz val="11"/>
        <rFont val="Calibri"/>
        <family val="2"/>
        <scheme val="minor"/>
      </rPr>
      <t>(6481 * 17.70 * 1 , 69 * 365) + (5851 * 12.98 * 1.72 * 365) = 118440032</t>
    </r>
    <r>
      <rPr>
        <sz val="11"/>
        <rFont val="Calibri"/>
        <family val="2"/>
        <scheme val="minor"/>
      </rPr>
      <t xml:space="preserve"> </t>
    </r>
    <r>
      <rPr>
        <b/>
        <sz val="11"/>
        <rFont val="Calibri"/>
        <family val="2"/>
        <scheme val="minor"/>
      </rPr>
      <t>(6582*6.900*1.68*365)+(6416*10.807*1.69*365)+(5851*12.343*1.72*365)+(5851*7.450*1.72*365)+(4952*5.226*1.73*365)=159 666 118</t>
    </r>
    <r>
      <rPr>
        <sz val="11"/>
        <rFont val="Calibri"/>
        <family val="2"/>
        <scheme val="minor"/>
      </rPr>
      <t xml:space="preserve">.
The target value of the indicator in 2029 has been determined taking into account the growth (change) of the passenger traffic of the road to be reconstructed per year in the </t>
    </r>
    <r>
      <rPr>
        <strike/>
        <sz val="11"/>
        <rFont val="Calibri"/>
        <family val="2"/>
        <scheme val="minor"/>
      </rPr>
      <t>30.68</t>
    </r>
    <r>
      <rPr>
        <sz val="11"/>
        <rFont val="Calibri"/>
        <family val="2"/>
        <scheme val="minor"/>
      </rPr>
      <t xml:space="preserve"> </t>
    </r>
    <r>
      <rPr>
        <b/>
        <sz val="11"/>
        <rFont val="Calibri"/>
        <family val="2"/>
        <scheme val="minor"/>
      </rPr>
      <t>42.726</t>
    </r>
    <r>
      <rPr>
        <sz val="11"/>
        <rFont val="Calibri"/>
        <family val="2"/>
        <scheme val="minor"/>
      </rPr>
      <t xml:space="preserve"> km section: </t>
    </r>
    <r>
      <rPr>
        <strike/>
        <sz val="11"/>
        <rFont val="Calibri"/>
        <family val="2"/>
        <scheme val="minor"/>
      </rPr>
      <t>(6843 * 17.70 * 1.69 * 365) + (6176 * 12.98 * 1.72 * 365) = 125040811</t>
    </r>
    <r>
      <rPr>
        <sz val="11"/>
        <rFont val="Calibri"/>
        <family val="2"/>
        <scheme val="minor"/>
      </rPr>
      <t xml:space="preserve"> </t>
    </r>
    <r>
      <rPr>
        <b/>
        <sz val="11"/>
        <rFont val="Calibri"/>
        <family val="2"/>
        <scheme val="minor"/>
      </rPr>
      <t>(6949*6.900*1.68*365)+(6774*10.807*1.69*365)+(6176*12.343*1.72*365)+(6176*7.450*1.72*365)+(5227*5.226*1.73*365)=168 551 413</t>
    </r>
    <r>
      <rPr>
        <sz val="11"/>
        <rFont val="Calibri"/>
        <family val="2"/>
        <scheme val="minor"/>
      </rPr>
      <t>. 
The traffic flow forecast is based on forecasts prepared by the European Commission (source: https://ec.europa.eu/energy/sites/ener/files/documents/20160713%20draft_publication_REF2016_v13.pdf).</t>
    </r>
  </si>
  <si>
    <r>
      <t xml:space="preserve">
</t>
    </r>
    <r>
      <rPr>
        <sz val="11"/>
        <rFont val="Calibri"/>
        <family val="2"/>
        <scheme val="minor"/>
      </rPr>
      <t>man-days/year</t>
    </r>
  </si>
  <si>
    <t>The target value is calculated using the methodology proposed by Jaspers on 16/10/2020: [Saved Passenger-hours / year] =Σ nj=1 ( [Lengthj b / Speedj b] – [Lengthj f/a / Speedj f/a)] )* Occupancy * AADTj f/a * DAYS. 
The baseline value of the indicator in 2021 was determined taking into account the current average speed of car traffic on the A14 Vilnius – Utena section from 21.50 to 52.18 km (2 sections) in the current situation, growth (change) of passenger traffic per year in the 30.68 km section: ((17.70 / 85.0) * 1.69 * 6481 * 365 + (12.98 / 85.0) * 1.72 * 5851 * 365) / 7.76 = 179563.
The target value of the indicator in 2029 has been determined taking into account the change in the average speed of the road traffic planned to be reconstructed in the current and planned situation, the growth (change) of passenger traffic per year in the 30.68 km section: ((17.70 / 85.0-17.70 / 90.0) * 1.69 * 6843 * 365 + (12.98 / 85.0-12.98 / 90.0) * 1.72 * 6176 * 365) / 7.76 = 10532.
 The calculations estimate 2019. average working week in Lithuania - 38.8 hours =&gt; Day 1: 7.76 hours (source: https://stats.oecd.org/Index.aspx?DataSetCode=AVE_HRS)</t>
  </si>
  <si>
    <r>
      <t xml:space="preserve">The target value is calculated using the methodology proposed by Jaspers on 16/10/2020: [Saved Passenger-hours / year] =Σ nj=1 ( [Lengthj b / Speedj b] – [Lengthj f/a / Speedj f/a)] )* Occupancy * AADTj f/a * DAYS. 
</t>
    </r>
    <r>
      <rPr>
        <strike/>
        <sz val="11"/>
        <rFont val="Calibri"/>
        <family val="2"/>
        <scheme val="minor"/>
      </rPr>
      <t>The baseline value of the indicator in 2021 was determined taking into account the current average speed of car traffic on the A14 Vilnius – Utena section from 21.50 to 52.18 km (2 sections) in the current situation, growth (change) of passenger traffic per year in the 30.68 km section: ((17.70 / 85.0) * 1.69 * 6481 * 365 + (12.98 / 85.0) * 1.72 * 5851 * 365) / 7.76 = 179563.</t>
    </r>
    <r>
      <rPr>
        <sz val="11"/>
        <rFont val="Calibri"/>
        <family val="2"/>
        <scheme val="minor"/>
      </rPr>
      <t xml:space="preserve">
The target value of the indicator in 2029 has been determined taking into account the change in the average speed of the road traffic planned to be reconstructed in the current and planned situation, the growth (change) of passenger traffic per year in the </t>
    </r>
    <r>
      <rPr>
        <strike/>
        <sz val="11"/>
        <rFont val="Calibri"/>
        <family val="2"/>
        <scheme val="minor"/>
      </rPr>
      <t>30.68</t>
    </r>
    <r>
      <rPr>
        <sz val="11"/>
        <rFont val="Calibri"/>
        <family val="2"/>
        <scheme val="minor"/>
      </rPr>
      <t xml:space="preserve"> </t>
    </r>
    <r>
      <rPr>
        <b/>
        <sz val="11"/>
        <rFont val="Calibri"/>
        <family val="2"/>
        <scheme val="minor"/>
      </rPr>
      <t>42,726</t>
    </r>
    <r>
      <rPr>
        <sz val="11"/>
        <rFont val="Calibri"/>
        <family val="2"/>
        <scheme val="minor"/>
      </rPr>
      <t xml:space="preserve"> km section: </t>
    </r>
    <r>
      <rPr>
        <strike/>
        <sz val="11"/>
        <rFont val="Calibri"/>
        <family val="2"/>
        <scheme val="minor"/>
      </rPr>
      <t>((17.70 / 85.0-17.70 / 90.0) * 1.69 * 6843 * 365 + (12.98 / 85.0-12.98 / 90.0) * 1.72 * 6176 * 365) / 7.76 = 10532</t>
    </r>
    <r>
      <rPr>
        <sz val="11"/>
        <rFont val="Calibri"/>
        <family val="2"/>
        <scheme val="minor"/>
      </rPr>
      <t xml:space="preserve"> </t>
    </r>
    <r>
      <rPr>
        <b/>
        <sz val="11"/>
        <rFont val="Calibri"/>
        <family val="2"/>
        <scheme val="minor"/>
      </rPr>
      <t>((6.90/85.72-6.90/89.28)*1.68*6949*365+(10.807/85.72-10.807/89.28)*1.69*6774*365+(12.343/85.72-12.343/89.28)*1.72*6176*365+(7.45/85.72-7.45/89.28)*1.72*6176*365+(5.226/85.72-5.226/89.28)*1.73* 5227*365)/7.76=10 104</t>
    </r>
    <r>
      <rPr>
        <sz val="11"/>
        <rFont val="Calibri"/>
        <family val="2"/>
        <scheme val="minor"/>
      </rPr>
      <t>.
 The calculations estimate 2019. average working week in Lithuania - 38.8 hours =&gt; Day 1: 7.76 hours (source: https://stats.oecd.org/Index.aspx?DataSetCode=AVE_HRS)</t>
    </r>
  </si>
  <si>
    <t>Implemented traffic safety improvement  measures on TEN-T roads (Įdiegtos saugų eismą gerinančios priemonės TEN-T keliuose)</t>
  </si>
  <si>
    <t xml:space="preserve"> Number of TEN-T roads traffic fatalities (Žuvusiųjų  TEN-T tinklo keliuose skaičius)</t>
  </si>
  <si>
    <t>54</t>
  </si>
  <si>
    <t xml:space="preserve">In the National Progress Plan it is planned that the number of road fatalities per 1 million inhabitants will be 30 in 2030. According to State Enterprise Lithuanian Road Administration 2016-20219  data, the number of road  fatalities are distributed to the TEN-T roads (34%) and no TEN-T roads (66 %). 
The target value for 2029 is calculated (30*2,575553)*0,34=26. Population data are taken from the forecasts of the Department of Statistics.  
The baseline value in 2019  is taken from State Enterprise Lithuanian Road Administration  report 2019 - 54.
It is planned to install 113 trafic control systems in  57 roads in TEN-T network. These investments will directly contribute to improving road safety on the TEN-T road network.  Other program investment related to TEN-T roads modernisation ( 091 ir 092 intervention) also will contribute to improving road safety on TEN-T roads network. </t>
  </si>
  <si>
    <r>
      <rPr>
        <b/>
        <sz val="11"/>
        <rFont val="Calibri"/>
        <family val="2"/>
        <scheme val="minor"/>
      </rPr>
      <t>Indicator remains the same.</t>
    </r>
    <r>
      <rPr>
        <sz val="11"/>
        <rFont val="Calibri"/>
        <family val="2"/>
        <scheme val="minor"/>
      </rPr>
      <t xml:space="preserve"> 
In the National Progress Plan it is planned that the number of road fatalities per 1 million inhabitants will be 30 in 2030. According to State Enterprise Lithuanian Road Administration 2016-20219  data, the number of road  fatalities are distributed to the TEN-T roads (34%) and no TEN-T roads (66 %). 
The target value for 2029 is calculated (30*2,575553)*0,34=26. Population data are taken from the forecasts of the Department of Statistics.  
The baseline value in 2019  is taken from State Enterprise Lithuanian Road Administration  report 2019 - 54.
It is planned to install</t>
    </r>
    <r>
      <rPr>
        <strike/>
        <sz val="11"/>
        <rFont val="Calibri"/>
        <family val="2"/>
        <scheme val="minor"/>
      </rPr>
      <t xml:space="preserve"> 113 trafic control systems in  57 </t>
    </r>
    <r>
      <rPr>
        <b/>
        <sz val="11"/>
        <rFont val="Calibri"/>
        <family val="2"/>
        <scheme val="minor"/>
      </rPr>
      <t>3 traffic safety improvement measures on the</t>
    </r>
    <r>
      <rPr>
        <sz val="11"/>
        <rFont val="Calibri"/>
        <family val="2"/>
        <scheme val="minor"/>
      </rPr>
      <t xml:space="preserve"> roads in TEN-T network. These investments </t>
    </r>
    <r>
      <rPr>
        <b/>
        <sz val="11"/>
        <rFont val="Calibri"/>
        <family val="2"/>
        <scheme val="minor"/>
      </rPr>
      <t>(intersections are planned to be reconstructed)</t>
    </r>
    <r>
      <rPr>
        <sz val="11"/>
        <rFont val="Calibri"/>
        <family val="2"/>
        <scheme val="minor"/>
      </rPr>
      <t xml:space="preserve"> will directly contribute to improving road safety on the TEN-T road network.  Other program investment related to TEN-T roads modernisation ( </t>
    </r>
    <r>
      <rPr>
        <strike/>
        <sz val="11"/>
        <rFont val="Calibri"/>
        <family val="2"/>
        <scheme val="minor"/>
      </rPr>
      <t>091 ir</t>
    </r>
    <r>
      <rPr>
        <sz val="11"/>
        <rFont val="Calibri"/>
        <family val="2"/>
        <scheme val="minor"/>
      </rPr>
      <t xml:space="preserve"> 092 intervention) also will contribute to improving road safety on TEN-T roads network. </t>
    </r>
  </si>
  <si>
    <r>
      <t xml:space="preserve"> </t>
    </r>
    <r>
      <rPr>
        <b/>
        <strike/>
        <sz val="11"/>
        <color theme="1"/>
        <rFont val="Calibri"/>
        <family val="2"/>
        <scheme val="minor"/>
      </rPr>
      <t>094</t>
    </r>
    <r>
      <rPr>
        <strike/>
        <sz val="11"/>
        <color theme="1"/>
        <rFont val="Calibri"/>
        <family val="2"/>
        <scheme val="minor"/>
      </rPr>
      <t xml:space="preserve"> Digitalisation of transport: road (Transporto skaitmeninimas: keliai)
</t>
    </r>
  </si>
  <si>
    <t>Traffic control systems installed on roads (Įdiegtos eismo kontrolės sistemos keliuose)</t>
  </si>
  <si>
    <t>The target value of the indicator in 2029 is 113 (7 + 94 + 12) traffic control systems, calculated as traffic control systems planned to be installed on the roads of the TEN-T network, which will record the speed of car traffic, check violations - insurance, techn. inspection, road toll). In the territory of settlements on 7 roads (7 systems - 7 roads with 1 device), price of 1 device - 43 000 Eur (a price is determinated according to the data of project implemented by measure no. 06.2.1-TID-V-507 "Improving regional accessibility " in Priority 6 "Development of Sustainable Transport and Core Network Infrastructure" of 20214-2020 period Program),  50 roads outside the settlement territory (94 systems - 47 roads with 2 devices and 12 systems - 3 roads (2 directions) with 4 devices) ,  price of 1 device - 22.000 Eur (the price is determined according to data of contract (2020) of project "Installation of medium speed measuring systems" (not financed by EU funds). Estimated total investments: 7 * 43.000 + (94 + 12) * 22.000 = 2.633.000 Eur.
The milestone for 2024 is not planned, because activities will begin after 2024.</t>
  </si>
  <si>
    <t>MWR</t>
  </si>
  <si>
    <t>Indicator code</t>
  </si>
  <si>
    <t>Indicator name</t>
  </si>
  <si>
    <t>Indicator M.U.</t>
  </si>
  <si>
    <t>Indicator baseline value</t>
  </si>
  <si>
    <t>Indicator baseline year</t>
  </si>
  <si>
    <t>Plėtoti dviračių ir pėsčiųjų infrastruktūrą miestuose ir priemiesčiose, kurie neįgyvendina Darnaus judumo mieste planų</t>
  </si>
  <si>
    <r>
      <rPr>
        <b/>
        <sz val="11"/>
        <color rgb="FFFF0000"/>
        <rFont val="Calibri"/>
        <family val="2"/>
        <scheme val="minor"/>
      </rPr>
      <t>075</t>
    </r>
    <r>
      <rPr>
        <sz val="11"/>
        <color rgb="FFFF0000"/>
        <rFont val="Calibri"/>
        <family val="2"/>
        <scheme val="minor"/>
      </rPr>
      <t xml:space="preserve"> Cycling infrastructure</t>
    </r>
  </si>
  <si>
    <t>RCO58</t>
  </si>
  <si>
    <t>Dedicated cycling infrastructure supported</t>
  </si>
  <si>
    <t xml:space="preserve">68             </t>
  </si>
  <si>
    <r>
      <t xml:space="preserve"> After evaluating the completed projects of 2014-2020 period, the tariff  of 1 km of cycling infrastructure in the city is 173 465 Eur.   The  target value for  2029   is   calculated 11 764 705,88/173 465</t>
    </r>
    <r>
      <rPr>
        <sz val="11"/>
        <color rgb="FFFF0000"/>
        <rFont val="Calibri"/>
        <family val="2"/>
      </rPr>
      <t>≈</t>
    </r>
    <r>
      <rPr>
        <sz val="11"/>
        <color rgb="FFFF0000"/>
        <rFont val="Calibri"/>
        <family val="2"/>
        <scheme val="minor"/>
      </rPr>
      <t xml:space="preserve"> 68. it is planned, that the milestone value  will be 10 percent in 2024 (68*0,1</t>
    </r>
    <r>
      <rPr>
        <sz val="11"/>
        <color rgb="FFFF0000"/>
        <rFont val="Calibri"/>
        <family val="2"/>
      </rPr>
      <t>≈7).</t>
    </r>
    <r>
      <rPr>
        <sz val="11"/>
        <color rgb="FFFF0000"/>
        <rFont val="Calibri"/>
        <family val="2"/>
        <scheme val="minor"/>
      </rPr>
      <t xml:space="preserve">                                                                                                                </t>
    </r>
  </si>
  <si>
    <t xml:space="preserve"> After evaluating the completed projects of 2014-2020 period, the tariff  of 1 km of cycling infrastructure in the city is 173 465 Eur.   The  target value for  2029   is   calculated 11 764 705,88/173 465≈ 68. it is planned, that the milestone value  will be 10 percent in 2024 (68*0,1≈7).                                                                                                                   </t>
  </si>
  <si>
    <t>5 prioritetas</t>
  </si>
  <si>
    <t>RCR64</t>
  </si>
  <si>
    <t>Annual users of dedicated cycling infrastructure</t>
  </si>
  <si>
    <t>Users/Year</t>
  </si>
  <si>
    <r>
      <t>Dviračių takų naudotojų pokytis skaičiuojamas, atsižvelgiant į  DJMP turinčių vidutinio dydžio miestų esamo ir planuojamo modalinio pasiskirstymo. 2018 m. atlikta savivaldybių reprezentatyvi gyventojų apklausa, kurios metu nustatyta, kad dviračių naudotojų yra 5,6 proc. DJMP numatytas tikslas 2030 m. 13,5 proc dviračių naudotojų. Procentų pokytis tolygiai išdalintas pamečiui, ir nustatyta, kad 2020 m. jis yra 6,9 proc., o 2029 m. bus 12,8 proc. Siektinai reikšmei nustatyti buvo vertintas likusių savivaldybių (neturinčių DJMP) gyventojų skaičius  - 369450 (2020 m. Statitikos departamento duomenys). Pradinė reikšmė 2020 m. apskaičiuojama 369450*0,069</t>
    </r>
    <r>
      <rPr>
        <sz val="11"/>
        <color rgb="FFFF0000"/>
        <rFont val="Calibri"/>
        <family val="2"/>
      </rPr>
      <t>≈25492. Siektina reikšmė 2029 m. apskaičiuojama 341224 (gyventojų sk. įvertinus Statiskos departamento prognozę dėl gyv. sk. sumažėjimo 7,64 proc. )*0,128≈43677.</t>
    </r>
  </si>
  <si>
    <r>
      <t>Thec calculation of value is based on  the current and planned modal distribution of medium-sized cities, whose have SUMP. According to the data of a representative survey of population of municipalities was conducted in 2018, the number of bicycle users is 5.6 per cent. The target for 2030  is  13.5 percent of bicycle users in SUMPS. The percentage change is evenly distributed over each year. It is calculated, that there are 6.9 percent of bicycle users in 2020 and 12.8 percent of bicycle users in 2029. To determine the target value, the population of the remaining municipalities (without DJMP) was estimated  (369450 (the Department of Statistics, 2020)). The baseline value in 2020 is calculated 369450 * 0.069≈25492. The target value for 2029 is calculated  341224 (population after estimating the forecast of the Department of Statistics for a decrease by 7.64%) * 0.128</t>
    </r>
    <r>
      <rPr>
        <sz val="11"/>
        <color rgb="FFFF0000"/>
        <rFont val="Calibri"/>
        <family val="2"/>
      </rPr>
      <t>≈</t>
    </r>
    <r>
      <rPr>
        <sz val="11"/>
        <color rgb="FFFF0000"/>
        <rFont val="Calibri"/>
        <family val="2"/>
        <scheme val="minor"/>
      </rPr>
      <t>43677.</t>
    </r>
  </si>
  <si>
    <t>Row ID</t>
  </si>
  <si>
    <t>Field</t>
  </si>
  <si>
    <t>Indicator metadata</t>
  </si>
  <si>
    <t>Fund relevance</t>
  </si>
  <si>
    <t xml:space="preserve">CF </t>
  </si>
  <si>
    <t>P.S</t>
  </si>
  <si>
    <t>Implemented traffic safety improvement measures on TEN-T roads 
(Įdiegtos saugų eismą gerinančios priemonės TEN-T keliuose)</t>
  </si>
  <si>
    <t>Measurement unit</t>
  </si>
  <si>
    <t>Type of indicator</t>
  </si>
  <si>
    <t>output</t>
  </si>
  <si>
    <t>&gt;=0</t>
  </si>
  <si>
    <t>&gt;0</t>
  </si>
  <si>
    <t>Policy objective</t>
  </si>
  <si>
    <t>PO3 Connected Europe</t>
  </si>
  <si>
    <t>Specific objective</t>
  </si>
  <si>
    <t>RSO3.1 Sustainable TEN-T</t>
  </si>
  <si>
    <t>Definition and concepts</t>
  </si>
  <si>
    <t xml:space="preserve">The total number of implemented traffic safety improvement measures financed through supported projects. </t>
  </si>
  <si>
    <t xml:space="preserve">Road traffic safety measure means an engineering structure, device, or its features that help ensure compliance with the established speed limit, increase the safety of road users, reduce the risk of traffic accidents, and/or mitigate the consequences of traffic accidents. </t>
  </si>
  <si>
    <t>Data collection</t>
  </si>
  <si>
    <t>Time measurement achieved</t>
  </si>
  <si>
    <t>Upon completion of output in the supported project.</t>
  </si>
  <si>
    <t>Aggregation issues</t>
  </si>
  <si>
    <t>Reporting</t>
  </si>
  <si>
    <t>Rule 1: Reporting by specific objective</t>
  </si>
  <si>
    <t>Forecast for selected projects and achieved values, both cumulative to date  (CPR Annex VII, Table 3).</t>
  </si>
  <si>
    <t>References</t>
  </si>
  <si>
    <t>Corresponding corporate indicator</t>
  </si>
  <si>
    <t>Notes</t>
  </si>
  <si>
    <t>P.S.</t>
  </si>
  <si>
    <t>Implemented traffic safety improvement and environmental protection measures in railways (Įdiegtos saugų eismą gerinančios ir aplinkosaugos priemonės geležinkeliuose)</t>
  </si>
  <si>
    <t>The total number of Implemented traffic safety improvement and environmental protection measures in railways financed through supported projects.</t>
  </si>
  <si>
    <t>Railway safety means a set of technical and organizational measures for railway transport, protection of vehicle passengers, passengers, other road users and other persons, as well as railway infrastructure, rolling stock and protection of freight and luggage against railway accidents, railway traffic events, railway transport incidents and their consequences (source: Law on Railway Traffic Safety of the Republic of Lithuania).</t>
  </si>
  <si>
    <t>Environmental protection - protection of the environment from physical, chemical, biological and other negative effects or consequences arising from implementation plans and programs in the course of economic activities or use of natural resources (source: Law on Environmental Protection of the Republic of Lithuania).</t>
  </si>
  <si>
    <t>R.S.</t>
  </si>
  <si>
    <t>result</t>
  </si>
  <si>
    <t>not required</t>
  </si>
  <si>
    <t>Deaths and injuries - people killed and injured in a traffic accident.</t>
  </si>
  <si>
    <t>"Level crossing accident" means a railway traffic accident at a level crossing where the collision of rolling stock with vehicles crossing the level crossing or objects at the level crossing kills or injures people, damages at least one vehicle, freight or any other property at the level crossing.</t>
  </si>
  <si>
    <t>Crossing - a place of intersection of a railway track with a motorway on one level (source: Railway Transport Code of the Republic of Lithuania).</t>
  </si>
  <si>
    <r>
      <t>The value of the indicator is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https://ltsa.lrv.lt/lt/naudinga-informacija/gelezinkeliu-transporto-eismo-saug-ir-saveika/saugos-ataskaita and submitted to the European Railway Agency (ERA). The baseline of the indicator is estimated as the</t>
    </r>
    <r>
      <rPr>
        <sz val="11"/>
        <color theme="1"/>
        <rFont val="Calibri"/>
        <family val="2"/>
        <charset val="186"/>
        <scheme val="minor"/>
      </rPr>
      <t xml:space="preserve"> n</t>
    </r>
    <r>
      <rPr>
        <sz val="10"/>
        <color theme="1"/>
        <rFont val="Calibri"/>
        <family val="2"/>
        <charset val="186"/>
        <scheme val="minor"/>
      </rPr>
      <t>umber of deaths and injuries at level crossings in the year before the intervention starts. The achieved value is estimated ex post as the number of deaths and injuries at level crossings for the year after the physical completion of the intervention.</t>
    </r>
  </si>
  <si>
    <t>Safety report of AB LTG Infra</t>
  </si>
  <si>
    <t>One year after completion of output in the supported project.</t>
  </si>
  <si>
    <t>Forecast for selected projects and achieved values, both cumulative to date  (CPR Annex VII, Table 6).</t>
  </si>
  <si>
    <t>Installed or modernised digital systems in railways (Įdiegtos ar modernizuotos skaitmeninės sistemos geležinkeliuose)</t>
  </si>
  <si>
    <t xml:space="preserve">Installed or modernised digital systems in railways means systems for monitoring equipment, controlling rolling stock, informing passengers, ensuring travel comfort, ensuring the safety of passengers and the needs of all target groups information to passengers, ensuring travel convenience, passenger safety and ensuring the needs of all target groups. </t>
  </si>
  <si>
    <t>R.S</t>
  </si>
  <si>
    <t>Number of deaths and serious injuries / train-kilometers (km)</t>
  </si>
  <si>
    <t>The calculation of fatalities and weight-related injuries and the ratio of train-kilometres. Risks to society posed by rail transport is  a measure of the consequences of accidents, in which fatalities are counted together with serious injuries: one fatality is statistically equivalent to 1, one serious injury is statistically equivalent to 0.1 fatalities.</t>
  </si>
  <si>
    <t>Train-kilometer is a unit of measurement corresponding to one train-kilometer (taking into account only the distance traveled on the territory of the country).</t>
  </si>
  <si>
    <t>Serious injury is a long-term injury that requires inpatient treatment (but does not die during the period of death).</t>
  </si>
  <si>
    <t>A minor injury is an injury that does not necessarily require hospital treatment.</t>
  </si>
  <si>
    <t>Data from railway service operators</t>
  </si>
  <si>
    <t xml:space="preserve">Platforms at railway stations reconstructed to ensure level access (Geležinkelių stotyse esantys peronai, rekonstruoti juos pritaikant vienalygei prieigai) </t>
  </si>
  <si>
    <t>Railway station - a complex of railway tracks, buildings, structures and equipment occupying a certain plot of land and intended for receiving, distributing, forming, passing and releasing trains, serving passengers, senders (recipients) of luggage and / or cargo.
A platform - a specially equipped area at a railway station next to a road for passengers to wait for an arriving train, to go to a wagon, to get in and out of a wagon.
A level access - an access from a platform to the doorway of a rolling stock for which it can be demonstrated that:
—	The gap between the door sill of that doorway (or of the extended bridging plate of that doorway) and the platform does not exceed 75 mm measured horizontally and 50 mm measured vertically and
—	The rolling stock has no internal step between the door sill and the vestibule.</t>
  </si>
  <si>
    <t xml:space="preserve">Part of platforms adapted for level access (Peronų, pritaikytų  vienalygei prieigai, dalis ) </t>
  </si>
  <si>
    <t>Percent</t>
  </si>
  <si>
    <t>A level access - an access from a platform to the doorway of a rolling stock for which it can be demonstrated that:
—	The gap between the door sill of that doorway (or of the extended bridging plate of that doorway) and the platform does not exceed 75 mm measured horizontally and 50 mm measured vertically and
—	The rolling stock has no internal step between the door sill and the vestibule.</t>
  </si>
  <si>
    <t>A platform - a specially equipped area at a railway station next to a road for passengers to wait for an arriving train, to go to a wagon, to get in and out of a wagon.</t>
  </si>
  <si>
    <t xml:space="preserve">This indicator measures the proportion of platforms which have been reconstructed (modernized) and adapted for level access from the total number of platforms planned to be reconstructed (modernized) in the projects. The achieved value is to be estimated upon after the completion of the intervention. The baseline value is determined from the annual reporting by infrastructure manager/operator. </t>
  </si>
  <si>
    <t>Report of AB LTG Infra</t>
  </si>
  <si>
    <t>The total number of traffic control systems installed in roads by supported projects.</t>
  </si>
  <si>
    <t>Traffic control system means systems installed on the roads of the TEN-T network, which will record the speed of car traffic, check violations - insurance, tech. inspection, road toll).</t>
  </si>
  <si>
    <t>Noise - continuous or multiple repetitive noise incidents caused by vehicle (road, railway, aircraft) traffic (source: Order No. V-604 of the Minister of Health of the Republic of Lithuania of 13 June 2011 “On the Lithuanian Hygiene Standard HN 33: 2011 “Noise limit values ​​in residential and public buildings and their surroundings”).</t>
  </si>
  <si>
    <t>Noise prevention zone - an area of ​​residential areas where noise exceeds the limit values ​​and where it is necessary to implement noise prevention and reduction measures.</t>
  </si>
  <si>
    <t>Noise prevention - the implementation of measures to reduce the variety and / or number of noise sources, to prevent exceeding the noise limit values ​​and / or to reduce the sound pressure, power, intensity and energy levels of noise sources.</t>
  </si>
  <si>
    <t>Noise limit values ​​- maximum permissible noise limit values ​​according to the Lithuanian hygiene standard HN 33: 2011 “Noise limit values ​​in residential and public buildings and their surroundings” (source: Order No. V- of the Minister of Health of the Republic of Lithuania of 13 June 2011 604 “On the Approval of the Lithuanian Hygiene Standard HN 33: 2011“ Noise Limit Values ​​in Residential and Public Buildings and Their Environment ”).</t>
  </si>
  <si>
    <t>Deceased is a person who died in a traffic accident.</t>
  </si>
  <si>
    <t>Traffic accident - an event on the road, in a public or private place, when the vehicle kills or injures people, damages or damages at least one vehicle, cargo, road, its structures or any other property on the scene (source: road law).</t>
  </si>
  <si>
    <t>Road - an engineering structure for the traffic of vehicles and pesticides. Road elements include: embankment, carriageway, curbs, dividing strip, ditches and other drainage systems, intersections, bus stops, rest areas, pedestrian and bicycle paths, road structures, technical traffic control measures, greenery, lane , road weather monitoring and traffic accounting, lighting and other equipment with land occupied by these elements (source: Law on Roads of the Republic of Lithuania).</t>
  </si>
  <si>
    <t>TEN-T network - the European Union's network of transport, energy and telecommunications systems connecting all regions of the European Union and contributing to the growth of the internal market and employment, pursuing the objectives of environmental protection and sustainable development (source: Regulation (EU) No 1315 / 2013).</t>
  </si>
  <si>
    <t>Number of fatalities is calculated on all roads of the Lithuania TEN-T network per calendar year.</t>
  </si>
  <si>
    <t>Double counting should be removed at the level of the specific objective</t>
  </si>
  <si>
    <t xml:space="preserve">The target value of the indicator in 2029 is 113 (7 + 94 + 12) traffic control systems, calculated as traffic control systems planned to be installed on the roads of the TEN-T network, which will record the speed of car traffic, check violations - insurance, techn. inspection, road toll). In the territory of settlements on 7 roads (7 systems - 7 roads with 1 device), price of 1 device - 43 000 Eur (a price is determinated according to the data of project implemented by measure no. 06.2.1-TID-V-507 "Improving regional accessibility " in Priority 6 "Development of Sustainable Transport and Core Network Infrastructure" of 20214-2020 period Program),  50 roads outside the settlement territory (94 systems - 47 roads with 2 devices and 12 systems - 3 roads (2 directions) with 4 devices) ,  price of 1 device - 22.000 Eur (the price is determined according to data of contract (2020) of project "Installation of medium speed measuring systems" (not financed by EU funds). Estimated total investments: 7 * 43.000 + (94 + 12) * 22.000 = 2.633.000 Eur.
The milestone for 2024 is not planned, because activities will begin after 2024.
</t>
  </si>
  <si>
    <t>We suggest transferring the funds to intervention field 092 and not using the indicator. After assessing the number and usefulness of traffic control systems (speed cameras) already in place, it was determined that it is not reasonable to finance the installation of new speed cameras with EU funds during the investment program period, as there will be a sufficient number of speed cameras installed on TEN-T roads by 2025. Furthermore, in order to ensure their effective use, speed cameras can be moved to another section of the road where there is a need to increase traffic safety, if necessary and taking into account the results of the annual analysis of traffic intensity and traffic accidents.</t>
  </si>
  <si>
    <t>Instead of installing additional traffic control systems (speed cameras), as planned, we propose including the implementation of traffic safety improvement measures in the scope of the Investment Programme, transferring the funds from 094 intervention field to 092 and new indicator.  Traffic safety improvement measures include projects to reconstruct intersections on TEN-T roads. This will reduce traffic risks at these intersections and ensure traffic safety on TEN-T roads in line with EU standards.</t>
  </si>
  <si>
    <t>The target value of the indicator in 2029 is 3 traffic safety improvement measures (engineering structures) implemented on TEN-T roads. The target value is calculated as intersections planned to be reconstructed on the roads of the TEN-T network, which will reduce traffic risks at these intersections and contribute to ensure traffic safety. The required investments for the traffic safety improvement measures - reconstruction of these intersections - are determined as a result of technical work projects estimations and projects value calculations based on Construction estimated prices determination methodic and indexes. Estimated total investments makes ~2 633 000 Eur. 
In order to ensure the implementation of traffic safety improvement measures, in addition to the planned investments of the program (~ 2 238 050 Eur), it is planned additional national budget funds contribution (up to 15 percent of the project value).
The milestone for 2024 is not planned, because activities will begin after 2024.</t>
  </si>
  <si>
    <t>Forecast for selected projects and achieved values, both cumulative to date  (CPR Annex VII, Table 5).</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</si>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</sst>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000"/>
    <numFmt numFmtId="166" formatCode="#,##0.0000"/>
    <numFmt numFmtId="167" formatCode="#,##0.0000000"/>
    <numFmt numFmtId="168" formatCode="#,##0.00000"/>
    <numFmt numFmtId="169" formatCode="#,##0.000"/>
    <numFmt numFmtId="170" formatCode="0.0"/>
  </numFmts>
  <fonts count="7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charset val="186"/>
      <scheme val="minor"/>
    </font>
    <font>
      <sz val="11"/>
      <color rgb="FFFF0000"/>
      <name val="Calibri"/>
      <family val="2"/>
      <scheme val="minor"/>
    </font>
    <font>
      <sz val="9"/>
      <color indexed="81"/>
      <name val="Tahoma"/>
      <family val="2"/>
      <charset val="186"/>
    </font>
    <font>
      <b/>
      <sz val="9"/>
      <color indexed="81"/>
      <name val="Tahoma"/>
      <family val="2"/>
      <charset val="186"/>
    </font>
    <font>
      <sz val="11"/>
      <color rgb="FF00B050"/>
      <name val="Calibri"/>
      <family val="2"/>
      <scheme val="minor"/>
    </font>
    <font>
      <sz val="11"/>
      <color rgb="FF000000"/>
      <name val="Calibri"/>
      <family val="2"/>
      <charset val="186"/>
      <scheme val="minor"/>
    </font>
    <font>
      <sz val="11"/>
      <name val="Calibri"/>
      <family val="2"/>
      <charset val="186"/>
      <scheme val="minor"/>
    </font>
    <font>
      <sz val="11"/>
      <color rgb="FF00B050"/>
      <name val="Calibri"/>
      <family val="2"/>
      <charset val="186"/>
      <scheme val="minor"/>
    </font>
    <font>
      <b/>
      <sz val="11"/>
      <color theme="1"/>
      <name val="Calibri"/>
      <family val="2"/>
      <scheme val="minor"/>
    </font>
    <font>
      <sz val="11"/>
      <name val="Calibri"/>
      <family val="2"/>
      <scheme val="minor"/>
    </font>
    <font>
      <sz val="11"/>
      <color rgb="FFFF0000"/>
      <name val="Calibri"/>
      <family val="2"/>
      <charset val="186"/>
    </font>
    <font>
      <sz val="11"/>
      <color theme="1"/>
      <name val="Calibri"/>
      <family val="2"/>
    </font>
    <font>
      <sz val="11"/>
      <color rgb="FFFF0000"/>
      <name val="Calibri"/>
      <family val="2"/>
    </font>
    <font>
      <sz val="11"/>
      <name val="Calibri"/>
      <family val="2"/>
      <charset val="186"/>
    </font>
    <font>
      <sz val="11"/>
      <name val="Calibri"/>
      <family val="2"/>
    </font>
    <font>
      <sz val="11"/>
      <color rgb="FFC00000"/>
      <name val="Calibri"/>
      <family val="2"/>
      <scheme val="minor"/>
    </font>
    <font>
      <sz val="11"/>
      <color rgb="FF00B050"/>
      <name val="Calibri"/>
      <family val="2"/>
    </font>
    <font>
      <sz val="11"/>
      <color rgb="FF00B050"/>
      <name val="Times New Roman"/>
      <family val="1"/>
    </font>
    <font>
      <sz val="11"/>
      <color theme="1"/>
      <name val="Times New Roman"/>
      <family val="1"/>
      <charset val="186"/>
    </font>
    <font>
      <sz val="11"/>
      <color rgb="FF00B050"/>
      <name val="Times New Roman"/>
      <family val="1"/>
      <charset val="186"/>
    </font>
    <font>
      <b/>
      <sz val="11"/>
      <name val="Calibri"/>
      <family val="2"/>
      <scheme val="minor"/>
    </font>
    <font>
      <sz val="10"/>
      <color theme="1"/>
      <name val="Calibri"/>
      <family val="2"/>
      <scheme val="minor"/>
    </font>
    <font>
      <sz val="10"/>
      <name val="Calibri"/>
      <family val="2"/>
      <scheme val="minor"/>
    </font>
    <font>
      <sz val="11"/>
      <color theme="1"/>
      <name val="Calibri"/>
      <family val="2"/>
      <charset val="186"/>
    </font>
    <font>
      <b/>
      <sz val="11"/>
      <color theme="1"/>
      <name val="Times New Roman"/>
      <family val="1"/>
      <charset val="186"/>
    </font>
    <font>
      <b/>
      <sz val="11"/>
      <color rgb="FF00B050"/>
      <name val="Calibri"/>
      <family val="2"/>
      <charset val="186"/>
      <scheme val="minor"/>
    </font>
    <font>
      <sz val="10"/>
      <name val="Calibri"/>
      <family val="2"/>
      <charset val="186"/>
      <scheme val="minor"/>
    </font>
    <font>
      <sz val="10"/>
      <color rgb="FFFF0000"/>
      <name val="Calibri"/>
      <family val="2"/>
      <scheme val="minor"/>
    </font>
    <font>
      <sz val="11"/>
      <color theme="3" tint="-0.249977111117893"/>
      <name val="Calibri"/>
      <family val="2"/>
      <scheme val="minor"/>
    </font>
    <font>
      <sz val="8"/>
      <name val="Calibri"/>
      <family val="2"/>
      <scheme val="minor"/>
    </font>
    <font>
      <sz val="8.25"/>
      <color theme="1"/>
      <name val="Calibri"/>
      <family val="2"/>
    </font>
    <font>
      <sz val="8.25"/>
      <color theme="1"/>
      <name val="Calibri"/>
      <family val="2"/>
      <charset val="186"/>
    </font>
    <font>
      <sz val="10"/>
      <color rgb="FFFF0000"/>
      <name val="Calibri"/>
      <family val="2"/>
      <charset val="186"/>
      <scheme val="minor"/>
    </font>
    <font>
      <sz val="9"/>
      <color theme="1"/>
      <name val="Times New Roman"/>
      <family val="1"/>
      <charset val="186"/>
    </font>
    <font>
      <sz val="10"/>
      <color theme="1"/>
      <name val="Times New Roman"/>
      <family val="1"/>
      <charset val="186"/>
    </font>
    <font>
      <b/>
      <sz val="10"/>
      <color theme="1"/>
      <name val="Times New Roman"/>
      <family val="1"/>
      <charset val="186"/>
    </font>
    <font>
      <b/>
      <sz val="14"/>
      <color rgb="FFFF0000"/>
      <name val="Times New Roman"/>
      <family val="1"/>
      <charset val="186"/>
    </font>
    <font>
      <sz val="10"/>
      <name val="Times New Roman"/>
      <family val="1"/>
      <charset val="186"/>
    </font>
    <font>
      <b/>
      <sz val="14"/>
      <color rgb="FFFF0000"/>
      <name val="Calibri"/>
      <family val="2"/>
      <charset val="186"/>
      <scheme val="minor"/>
    </font>
    <font>
      <sz val="14"/>
      <color theme="1"/>
      <name val="Times New Roman"/>
      <family val="1"/>
      <charset val="186"/>
    </font>
    <font>
      <sz val="8"/>
      <color theme="1"/>
      <name val="Times New Roman"/>
      <family val="1"/>
      <charset val="186"/>
    </font>
    <font>
      <sz val="14"/>
      <color rgb="FFFF0000"/>
      <name val="Times New Roman"/>
      <family val="1"/>
      <charset val="186"/>
    </font>
    <font>
      <sz val="16"/>
      <color rgb="FFFF0000"/>
      <name val="Calibri"/>
      <family val="2"/>
      <scheme val="minor"/>
    </font>
    <font>
      <sz val="8"/>
      <color theme="1"/>
      <name val="Times"/>
      <family val="1"/>
    </font>
    <font>
      <b/>
      <sz val="12"/>
      <color rgb="FFFF0000"/>
      <name val="Times New Roman"/>
      <family val="1"/>
      <charset val="186"/>
    </font>
    <font>
      <sz val="6.05"/>
      <name val="Calibri"/>
      <family val="2"/>
    </font>
    <font>
      <b/>
      <sz val="11"/>
      <color rgb="FFFF0000"/>
      <name val="Calibri"/>
      <family val="2"/>
      <scheme val="minor"/>
    </font>
    <font>
      <sz val="26"/>
      <color rgb="FFFF0000"/>
      <name val="Calibri"/>
      <family val="2"/>
      <scheme val="minor"/>
    </font>
    <font>
      <sz val="10"/>
      <name val="Inherit"/>
    </font>
    <font>
      <b/>
      <sz val="10"/>
      <color rgb="FF000000"/>
      <name val="Calibri"/>
      <family val="2"/>
      <charset val="186"/>
      <scheme val="minor"/>
    </font>
    <font>
      <sz val="10"/>
      <color rgb="FF000000"/>
      <name val="Calibri"/>
      <family val="2"/>
      <charset val="186"/>
      <scheme val="minor"/>
    </font>
    <font>
      <sz val="10"/>
      <color theme="1"/>
      <name val="Calibri"/>
      <family val="2"/>
      <charset val="186"/>
      <scheme val="minor"/>
    </font>
    <font>
      <b/>
      <sz val="10"/>
      <color theme="1"/>
      <name val="Calibri"/>
      <family val="2"/>
      <charset val="186"/>
      <scheme val="minor"/>
    </font>
    <font>
      <strike/>
      <sz val="11"/>
      <name val="Calibri"/>
      <family val="2"/>
      <scheme val="minor"/>
    </font>
    <font>
      <strike/>
      <sz val="11"/>
      <color theme="1"/>
      <name val="Calibri"/>
      <family val="2"/>
      <scheme val="minor"/>
    </font>
    <font>
      <b/>
      <strike/>
      <sz val="11"/>
      <color theme="1"/>
      <name val="Calibri"/>
      <family val="2"/>
      <scheme val="minor"/>
    </font>
    <font>
      <b/>
      <strike/>
      <sz val="10"/>
      <color theme="1"/>
      <name val="Calibri"/>
      <family val="2"/>
      <charset val="186"/>
      <scheme val="minor"/>
    </font>
    <font>
      <strike/>
      <sz val="10"/>
      <color theme="1"/>
      <name val="Calibri"/>
      <family val="2"/>
      <charset val="186"/>
      <scheme val="minor"/>
    </font>
    <font>
      <b/>
      <sz val="10"/>
      <name val="Calibri"/>
      <family val="2"/>
      <scheme val="minor"/>
    </font>
    <font>
      <u/>
      <sz val="11"/>
      <name val="Calibri"/>
      <family val="2"/>
      <scheme val="minor"/>
    </font>
    <font>
      <strike/>
      <u/>
      <sz val="11"/>
      <name val="Calibri"/>
      <family val="2"/>
      <scheme val="minor"/>
    </font>
    <font>
      <b/>
      <u/>
      <sz val="11"/>
      <name val="Calibri"/>
      <family val="2"/>
      <scheme val="minor"/>
    </font>
    <font>
      <b/>
      <strike/>
      <sz val="11"/>
      <name val="Calibri"/>
      <family val="2"/>
      <scheme val="minor"/>
    </font>
    <font>
      <sz val="11"/>
      <color rgb="FF002060"/>
      <name val="Calibri"/>
      <family val="2"/>
      <scheme val="minor"/>
    </font>
    <font>
      <strike/>
      <sz val="11"/>
      <color rgb="FF000000"/>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s>
  <cellStyleXfs count="1">
    <xf numFmtId="0" fontId="0" fillId="0" borderId="0"/>
  </cellStyleXfs>
  <cellXfs count="1067">
    <xf numFmtId="0" fontId="0" fillId="0" borderId="0" xfId="0"/>
    <xf numFmtId="0" fontId="4" fillId="0" borderId="2" xfId="0" applyFont="1" applyBorder="1" applyAlignment="1">
      <alignment vertical="top" wrapText="1"/>
    </xf>
    <xf numFmtId="0" fontId="4" fillId="0" borderId="2" xfId="0" applyFont="1" applyBorder="1" applyAlignment="1">
      <alignment vertical="top"/>
    </xf>
    <xf numFmtId="0" fontId="0" fillId="0" borderId="1" xfId="0" applyBorder="1"/>
    <xf numFmtId="4" fontId="0" fillId="0" borderId="1" xfId="0" applyNumberFormat="1" applyBorder="1"/>
    <xf numFmtId="0" fontId="5" fillId="0" borderId="14" xfId="0" applyFont="1" applyBorder="1" applyAlignment="1">
      <alignment vertical="top" wrapText="1"/>
    </xf>
    <xf numFmtId="0" fontId="4" fillId="0" borderId="14" xfId="0" applyFont="1" applyBorder="1" applyAlignment="1">
      <alignment vertical="top" wrapText="1"/>
    </xf>
    <xf numFmtId="0" fontId="7" fillId="0" borderId="1" xfId="0" applyFont="1" applyBorder="1" applyAlignment="1">
      <alignment horizontal="center" vertical="center"/>
    </xf>
    <xf numFmtId="0" fontId="10" fillId="0" borderId="1" xfId="0" applyFont="1" applyBorder="1" applyAlignment="1">
      <alignment horizontal="center" vertical="center" wrapText="1"/>
    </xf>
    <xf numFmtId="0" fontId="4" fillId="0" borderId="0" xfId="0" applyFont="1"/>
    <xf numFmtId="49" fontId="0" fillId="0" borderId="0" xfId="0" applyNumberFormat="1"/>
    <xf numFmtId="0" fontId="0" fillId="0" borderId="1" xfId="0" applyBorder="1" applyAlignment="1">
      <alignment vertical="top" wrapText="1"/>
    </xf>
    <xf numFmtId="0" fontId="0" fillId="0" borderId="1" xfId="0" applyBorder="1" applyAlignment="1">
      <alignment wrapText="1"/>
    </xf>
    <xf numFmtId="0" fontId="0" fillId="0" borderId="1" xfId="0" applyBorder="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7" fillId="0" borderId="13" xfId="0" applyFont="1" applyBorder="1" applyAlignment="1">
      <alignment horizontal="center" vertical="center"/>
    </xf>
    <xf numFmtId="0" fontId="0" fillId="0" borderId="13" xfId="0" applyBorder="1" applyAlignment="1">
      <alignment horizontal="center" vertical="center"/>
    </xf>
    <xf numFmtId="4" fontId="0" fillId="0" borderId="13" xfId="0" applyNumberFormat="1" applyBorder="1" applyAlignment="1">
      <alignment horizontal="center" vertical="center" wrapText="1"/>
    </xf>
    <xf numFmtId="0" fontId="0" fillId="0" borderId="9" xfId="0"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17" fillId="0" borderId="7" xfId="0" applyFont="1" applyBorder="1" applyAlignment="1">
      <alignment horizontal="center" vertical="center" wrapText="1"/>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17"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2" xfId="0" applyFont="1" applyBorder="1" applyAlignment="1">
      <alignment horizontal="center" vertical="center" wrapText="1"/>
    </xf>
    <xf numFmtId="0" fontId="19" fillId="0" borderId="7" xfId="0" applyFont="1" applyBorder="1" applyAlignment="1">
      <alignment horizontal="center" vertical="center"/>
    </xf>
    <xf numFmtId="0" fontId="20" fillId="0" borderId="1" xfId="0" applyFont="1" applyBorder="1" applyAlignment="1">
      <alignment horizontal="center" vertical="center"/>
    </xf>
    <xf numFmtId="0" fontId="15"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7" xfId="0" applyFont="1" applyBorder="1" applyAlignment="1">
      <alignment horizontal="center" vertical="center"/>
    </xf>
    <xf numFmtId="0" fontId="15" fillId="0" borderId="2" xfId="0" applyFont="1" applyBorder="1" applyAlignment="1">
      <alignment horizontal="center" vertical="center"/>
    </xf>
    <xf numFmtId="0" fontId="15" fillId="0" borderId="17" xfId="0" applyFont="1" applyBorder="1"/>
    <xf numFmtId="0" fontId="10" fillId="0" borderId="1" xfId="0" applyFont="1" applyBorder="1" applyAlignment="1">
      <alignment horizontal="center" vertical="center"/>
    </xf>
    <xf numFmtId="0" fontId="22" fillId="0" borderId="1" xfId="0" applyFont="1" applyBorder="1" applyAlignment="1">
      <alignment horizontal="center" vertical="center" wrapText="1"/>
    </xf>
    <xf numFmtId="0" fontId="10" fillId="0" borderId="12" xfId="0" applyFont="1" applyBorder="1" applyAlignment="1">
      <alignment horizontal="center" vertical="center"/>
    </xf>
    <xf numFmtId="0" fontId="13" fillId="0" borderId="12" xfId="0" applyFont="1" applyBorder="1" applyAlignment="1">
      <alignment horizontal="center" vertical="center" wrapText="1"/>
    </xf>
    <xf numFmtId="0" fontId="23" fillId="0" borderId="12" xfId="0" applyFont="1" applyBorder="1" applyAlignment="1">
      <alignment horizontal="center" vertical="center" wrapText="1"/>
    </xf>
    <xf numFmtId="0" fontId="10" fillId="0" borderId="18" xfId="0" applyFont="1" applyBorder="1"/>
    <xf numFmtId="0" fontId="17" fillId="0" borderId="0" xfId="0" applyFont="1" applyAlignment="1">
      <alignment horizontal="center" vertical="center" wrapText="1"/>
    </xf>
    <xf numFmtId="0" fontId="17" fillId="0" borderId="0" xfId="0" applyFont="1" applyAlignment="1">
      <alignment wrapText="1"/>
    </xf>
    <xf numFmtId="0" fontId="24" fillId="3"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2" xfId="0" applyFont="1" applyBorder="1" applyAlignment="1">
      <alignment horizontal="center" vertical="center" wrapText="1"/>
    </xf>
    <xf numFmtId="0" fontId="24" fillId="0" borderId="2" xfId="0" applyFont="1" applyBorder="1" applyAlignment="1">
      <alignment horizontal="center" vertical="center"/>
    </xf>
    <xf numFmtId="16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wrapText="1"/>
    </xf>
    <xf numFmtId="0" fontId="0" fillId="0" borderId="0" xfId="0" applyAlignment="1">
      <alignment horizontal="center" vertical="center"/>
    </xf>
    <xf numFmtId="164" fontId="0" fillId="0" borderId="0" xfId="0" applyNumberFormat="1"/>
    <xf numFmtId="0" fontId="0" fillId="0" borderId="16" xfId="0" applyBorder="1"/>
    <xf numFmtId="0" fontId="0" fillId="0" borderId="17" xfId="0" applyBorder="1"/>
    <xf numFmtId="4" fontId="0" fillId="0" borderId="2" xfId="0" applyNumberFormat="1" applyBorder="1" applyAlignment="1">
      <alignment horizontal="center" vertical="center" wrapText="1"/>
    </xf>
    <xf numFmtId="0" fontId="0" fillId="0" borderId="7" xfId="0" applyBorder="1" applyAlignment="1">
      <alignment horizontal="center" vertical="center"/>
    </xf>
    <xf numFmtId="4" fontId="0" fillId="0" borderId="7"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2" xfId="0" applyBorder="1" applyAlignment="1">
      <alignment horizontal="center" vertical="center"/>
    </xf>
    <xf numFmtId="0" fontId="0" fillId="0" borderId="18" xfId="0" applyBorder="1"/>
    <xf numFmtId="0" fontId="0" fillId="0" borderId="32" xfId="0" applyBorder="1"/>
    <xf numFmtId="4" fontId="0" fillId="0" borderId="12" xfId="0" applyNumberFormat="1" applyBorder="1" applyAlignment="1">
      <alignment horizontal="center" vertical="center" wrapText="1"/>
    </xf>
    <xf numFmtId="0" fontId="0" fillId="0" borderId="20" xfId="0" applyBorder="1"/>
    <xf numFmtId="0" fontId="0" fillId="3" borderId="0" xfId="0" applyFill="1" applyAlignment="1">
      <alignment horizontal="center" vertical="center" wrapText="1"/>
    </xf>
    <xf numFmtId="0" fontId="0" fillId="0" borderId="0" xfId="0" applyAlignment="1">
      <alignment horizontal="center" vertical="top" wrapText="1"/>
    </xf>
    <xf numFmtId="4" fontId="0" fillId="0" borderId="0" xfId="0" applyNumberFormat="1" applyAlignment="1">
      <alignment horizontal="center" vertical="center"/>
    </xf>
    <xf numFmtId="0" fontId="0" fillId="0" borderId="10" xfId="0" applyBorder="1"/>
    <xf numFmtId="0" fontId="0" fillId="0" borderId="0" xfId="0" applyAlignment="1">
      <alignment horizontal="left" vertical="center" wrapText="1"/>
    </xf>
    <xf numFmtId="0" fontId="0" fillId="0" borderId="0" xfId="0" applyAlignment="1">
      <alignment vertical="center" wrapText="1"/>
    </xf>
    <xf numFmtId="164" fontId="0" fillId="0" borderId="0" xfId="0" applyNumberFormat="1" applyAlignment="1">
      <alignment vertical="center" wrapText="1"/>
    </xf>
    <xf numFmtId="0" fontId="0" fillId="0" borderId="0" xfId="0" applyAlignment="1">
      <alignment wrapText="1"/>
    </xf>
    <xf numFmtId="0" fontId="6" fillId="0" borderId="7" xfId="0" applyFont="1" applyBorder="1" applyAlignment="1">
      <alignment horizontal="center" vertical="center"/>
    </xf>
    <xf numFmtId="0" fontId="6" fillId="0" borderId="13" xfId="0" applyFont="1" applyBorder="1" applyAlignment="1">
      <alignment horizontal="center" vertical="center" wrapText="1"/>
    </xf>
    <xf numFmtId="0" fontId="19" fillId="0" borderId="1" xfId="0" applyFont="1" applyBorder="1" applyAlignment="1">
      <alignment horizontal="center" vertical="center"/>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0" fillId="0" borderId="6" xfId="0" applyBorder="1" applyAlignment="1">
      <alignment horizontal="center" vertical="center"/>
    </xf>
    <xf numFmtId="0" fontId="15" fillId="0" borderId="9" xfId="0" applyFont="1" applyBorder="1" applyAlignment="1">
      <alignment horizontal="center" vertical="center"/>
    </xf>
    <xf numFmtId="0" fontId="15" fillId="0" borderId="15" xfId="0" applyFont="1" applyBorder="1" applyAlignment="1">
      <alignment horizontal="center" vertical="center"/>
    </xf>
    <xf numFmtId="0" fontId="15" fillId="0" borderId="6" xfId="0" applyFont="1" applyBorder="1" applyAlignment="1">
      <alignment horizontal="center" vertical="center"/>
    </xf>
    <xf numFmtId="0" fontId="20" fillId="0" borderId="7" xfId="0" applyFont="1" applyBorder="1" applyAlignment="1">
      <alignment horizontal="center" vertical="center" wrapText="1"/>
    </xf>
    <xf numFmtId="0" fontId="10" fillId="0" borderId="17" xfId="0" applyFont="1" applyBorder="1"/>
    <xf numFmtId="0" fontId="15" fillId="0" borderId="20" xfId="0" applyFont="1" applyBorder="1"/>
    <xf numFmtId="0" fontId="10" fillId="0" borderId="6" xfId="0" applyFont="1" applyBorder="1" applyAlignment="1">
      <alignment horizontal="center" vertical="center"/>
    </xf>
    <xf numFmtId="0" fontId="13"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10" fillId="0" borderId="7" xfId="0" applyFont="1" applyBorder="1" applyAlignment="1">
      <alignment horizontal="center" vertical="center"/>
    </xf>
    <xf numFmtId="0" fontId="10" fillId="0" borderId="16" xfId="0" applyFont="1" applyBorder="1"/>
    <xf numFmtId="0" fontId="10" fillId="0" borderId="11" xfId="0" applyFont="1"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29" xfId="0" applyFont="1" applyBorder="1" applyAlignment="1">
      <alignment horizontal="center" vertical="center"/>
    </xf>
    <xf numFmtId="0" fontId="0" fillId="0" borderId="1" xfId="0" applyBorder="1" applyAlignment="1">
      <alignment horizontal="center" vertical="top" wrapText="1"/>
    </xf>
    <xf numFmtId="0" fontId="12" fillId="0" borderId="0" xfId="0" applyFont="1"/>
    <xf numFmtId="0" fontId="12" fillId="0" borderId="0" xfId="0" applyFont="1" applyAlignment="1">
      <alignment horizontal="center" vertical="center"/>
    </xf>
    <xf numFmtId="3" fontId="15" fillId="0" borderId="1" xfId="0" applyNumberFormat="1" applyFont="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7" xfId="0" applyFont="1" applyFill="1" applyBorder="1" applyAlignment="1">
      <alignment horizontal="center" vertical="center" wrapText="1"/>
    </xf>
    <xf numFmtId="4" fontId="0" fillId="0" borderId="0" xfId="0" applyNumberFormat="1"/>
    <xf numFmtId="49" fontId="27" fillId="0" borderId="0" xfId="0" applyNumberFormat="1" applyFont="1" applyAlignment="1">
      <alignment wrapText="1"/>
    </xf>
    <xf numFmtId="49" fontId="27" fillId="0" borderId="0" xfId="0" applyNumberFormat="1" applyFont="1"/>
    <xf numFmtId="0" fontId="27" fillId="0" borderId="0" xfId="0" applyFont="1"/>
    <xf numFmtId="49" fontId="0" fillId="0" borderId="1" xfId="0" applyNumberFormat="1" applyBorder="1" applyAlignment="1">
      <alignment horizontal="center" vertical="center"/>
    </xf>
    <xf numFmtId="49" fontId="0" fillId="0" borderId="2" xfId="0" applyNumberFormat="1" applyBorder="1" applyAlignment="1">
      <alignment horizontal="center" vertical="center" wrapText="1"/>
    </xf>
    <xf numFmtId="49" fontId="0" fillId="0" borderId="7" xfId="0" applyNumberFormat="1" applyBorder="1" applyAlignment="1">
      <alignment horizontal="center" vertical="center"/>
    </xf>
    <xf numFmtId="49" fontId="15" fillId="0" borderId="7" xfId="0" applyNumberFormat="1" applyFont="1" applyBorder="1" applyAlignment="1">
      <alignment horizontal="center" vertical="center" wrapText="1"/>
    </xf>
    <xf numFmtId="4" fontId="11" fillId="0" borderId="0" xfId="0" applyNumberFormat="1" applyFont="1" applyAlignment="1">
      <alignment horizontal="right" vertical="center" readingOrder="1"/>
    </xf>
    <xf numFmtId="4" fontId="4" fillId="0" borderId="1" xfId="0" applyNumberFormat="1" applyFont="1" applyBorder="1"/>
    <xf numFmtId="4" fontId="12" fillId="0" borderId="0" xfId="0" applyNumberFormat="1" applyFont="1"/>
    <xf numFmtId="4" fontId="11" fillId="0" borderId="0" xfId="0" applyNumberFormat="1" applyFont="1" applyAlignment="1">
      <alignment horizontal="right" vertical="center" wrapText="1" readingOrder="1"/>
    </xf>
    <xf numFmtId="0" fontId="30" fillId="0" borderId="0" xfId="0" applyFont="1"/>
    <xf numFmtId="0" fontId="30" fillId="0" borderId="0" xfId="0" applyFont="1" applyAlignment="1">
      <alignment vertical="center"/>
    </xf>
    <xf numFmtId="0" fontId="11" fillId="0" borderId="1" xfId="0" applyFont="1" applyBorder="1" applyAlignment="1">
      <alignment horizontal="center" vertical="center" wrapText="1"/>
    </xf>
    <xf numFmtId="0" fontId="0" fillId="0" borderId="0" xfId="0" applyAlignment="1">
      <alignment horizontal="center" vertical="center" wrapText="1"/>
    </xf>
    <xf numFmtId="3" fontId="0" fillId="0" borderId="1" xfId="0" applyNumberFormat="1" applyBorder="1" applyAlignment="1">
      <alignment horizontal="center" vertical="center"/>
    </xf>
    <xf numFmtId="4" fontId="31" fillId="0" borderId="0" xfId="0" applyNumberFormat="1" applyFont="1"/>
    <xf numFmtId="0" fontId="0" fillId="0" borderId="34" xfId="0" applyBorder="1" applyAlignment="1">
      <alignment horizontal="center" vertical="center" wrapText="1"/>
    </xf>
    <xf numFmtId="49" fontId="7" fillId="0" borderId="12" xfId="0" applyNumberFormat="1" applyFont="1" applyBorder="1" applyAlignment="1">
      <alignment horizontal="center" vertical="center" wrapText="1"/>
    </xf>
    <xf numFmtId="49" fontId="0" fillId="0" borderId="7"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0" xfId="0" applyNumberFormat="1" applyAlignment="1">
      <alignment wrapText="1"/>
    </xf>
    <xf numFmtId="0" fontId="0" fillId="0" borderId="38" xfId="0" applyBorder="1" applyAlignment="1">
      <alignment horizontal="center" vertical="center" wrapText="1"/>
    </xf>
    <xf numFmtId="165" fontId="0" fillId="0" borderId="1" xfId="0" applyNumberFormat="1" applyBorder="1" applyAlignment="1">
      <alignment horizontal="center" vertical="center" wrapText="1"/>
    </xf>
    <xf numFmtId="49" fontId="0" fillId="0" borderId="12" xfId="0" applyNumberFormat="1" applyBorder="1" applyAlignment="1">
      <alignment horizontal="center" vertical="center"/>
    </xf>
    <xf numFmtId="49" fontId="0" fillId="0" borderId="16" xfId="0" applyNumberFormat="1" applyBorder="1" applyAlignment="1">
      <alignment vertical="center" wrapText="1"/>
    </xf>
    <xf numFmtId="167" fontId="0" fillId="0" borderId="0" xfId="0" applyNumberFormat="1" applyAlignment="1">
      <alignment wrapText="1"/>
    </xf>
    <xf numFmtId="49" fontId="4" fillId="0" borderId="12"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0" fillId="0" borderId="5" xfId="0" applyNumberFormat="1" applyBorder="1" applyAlignment="1">
      <alignment horizontal="center" vertical="center" wrapText="1"/>
    </xf>
    <xf numFmtId="49" fontId="0" fillId="0" borderId="13" xfId="0" applyNumberFormat="1" applyBorder="1" applyAlignment="1">
      <alignment horizontal="center" vertical="center" wrapText="1"/>
    </xf>
    <xf numFmtId="168" fontId="0" fillId="0" borderId="13" xfId="0" applyNumberFormat="1" applyBorder="1" applyAlignment="1">
      <alignment horizontal="center" vertical="center" wrapText="1"/>
    </xf>
    <xf numFmtId="49" fontId="0" fillId="0" borderId="20" xfId="0" applyNumberFormat="1" applyBorder="1" applyAlignment="1">
      <alignment wrapText="1"/>
    </xf>
    <xf numFmtId="4" fontId="0" fillId="9" borderId="2" xfId="0" applyNumberFormat="1" applyFill="1" applyBorder="1" applyAlignment="1">
      <alignment horizontal="center" vertical="center"/>
    </xf>
    <xf numFmtId="49" fontId="0" fillId="9" borderId="2" xfId="0" applyNumberFormat="1" applyFill="1" applyBorder="1" applyAlignment="1">
      <alignment horizontal="center" vertical="center" wrapText="1"/>
    </xf>
    <xf numFmtId="0" fontId="0" fillId="9" borderId="10" xfId="0" applyFill="1" applyBorder="1" applyAlignment="1">
      <alignment horizontal="center" vertical="center" wrapText="1"/>
    </xf>
    <xf numFmtId="4" fontId="0" fillId="9" borderId="2" xfId="0" applyNumberFormat="1" applyFill="1" applyBorder="1" applyAlignment="1">
      <alignment horizontal="center" vertical="center" wrapText="1"/>
    </xf>
    <xf numFmtId="4" fontId="0" fillId="9" borderId="12" xfId="0" applyNumberFormat="1" applyFill="1" applyBorder="1" applyAlignment="1">
      <alignment horizontal="center" vertical="center"/>
    </xf>
    <xf numFmtId="49" fontId="0" fillId="9" borderId="12" xfId="0" applyNumberFormat="1" applyFill="1" applyBorder="1" applyAlignment="1">
      <alignment horizontal="center" vertical="center" wrapText="1"/>
    </xf>
    <xf numFmtId="4" fontId="0" fillId="9" borderId="12" xfId="0" applyNumberFormat="1" applyFill="1" applyBorder="1" applyAlignment="1">
      <alignment horizontal="center" vertical="center" wrapText="1"/>
    </xf>
    <xf numFmtId="49" fontId="0" fillId="0" borderId="18" xfId="0" applyNumberFormat="1" applyBorder="1" applyAlignment="1">
      <alignment wrapText="1"/>
    </xf>
    <xf numFmtId="3" fontId="15" fillId="0" borderId="7" xfId="0" applyNumberFormat="1" applyFont="1" applyBorder="1" applyAlignment="1">
      <alignment horizontal="center" vertical="center" wrapText="1"/>
    </xf>
    <xf numFmtId="49" fontId="0" fillId="0" borderId="22" xfId="0" applyNumberFormat="1" applyBorder="1" applyAlignment="1">
      <alignment horizontal="center" vertical="center"/>
    </xf>
    <xf numFmtId="49" fontId="0" fillId="0" borderId="38" xfId="0" applyNumberFormat="1" applyBorder="1" applyAlignment="1">
      <alignment horizontal="center" vertical="center"/>
    </xf>
    <xf numFmtId="49" fontId="0" fillId="0" borderId="17" xfId="0" applyNumberFormat="1" applyBorder="1" applyAlignment="1">
      <alignment horizontal="left" vertical="center" wrapText="1"/>
    </xf>
    <xf numFmtId="4" fontId="0" fillId="3" borderId="0" xfId="0" applyNumberFormat="1" applyFill="1" applyAlignment="1">
      <alignment horizontal="center" vertical="center" wrapText="1"/>
    </xf>
    <xf numFmtId="49" fontId="27"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7" fillId="0" borderId="0" xfId="0" applyNumberFormat="1" applyFont="1" applyAlignment="1">
      <alignment horizontal="center" vertical="center"/>
    </xf>
    <xf numFmtId="4" fontId="33" fillId="0" borderId="0" xfId="0" applyNumberFormat="1" applyFont="1" applyAlignment="1">
      <alignment horizontal="center" vertical="center"/>
    </xf>
    <xf numFmtId="49" fontId="27" fillId="0" borderId="0" xfId="0" applyNumberFormat="1" applyFont="1" applyAlignment="1">
      <alignment horizontal="center" vertical="center" wrapText="1"/>
    </xf>
    <xf numFmtId="49" fontId="28" fillId="0" borderId="0" xfId="0" applyNumberFormat="1" applyFont="1" applyAlignment="1">
      <alignment horizontal="center" vertical="center" wrapText="1"/>
    </xf>
    <xf numFmtId="3" fontId="27" fillId="0" borderId="0" xfId="0" applyNumberFormat="1" applyFont="1" applyAlignment="1">
      <alignment horizontal="center" vertical="center" wrapText="1"/>
    </xf>
    <xf numFmtId="49" fontId="32" fillId="0" borderId="0" xfId="0" applyNumberFormat="1" applyFont="1" applyAlignment="1">
      <alignment horizontal="center" vertical="center" wrapText="1"/>
    </xf>
    <xf numFmtId="49" fontId="0" fillId="0" borderId="8" xfId="0" applyNumberFormat="1" applyBorder="1" applyAlignment="1">
      <alignment horizontal="center" vertical="center"/>
    </xf>
    <xf numFmtId="49" fontId="0" fillId="0" borderId="13" xfId="0" applyNumberFormat="1" applyBorder="1" applyAlignment="1">
      <alignment horizontal="center" vertical="center"/>
    </xf>
    <xf numFmtId="4" fontId="0" fillId="0" borderId="1" xfId="0" applyNumberFormat="1" applyBorder="1" applyAlignment="1">
      <alignment horizontal="center" vertical="center"/>
    </xf>
    <xf numFmtId="49" fontId="15"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4" fontId="27" fillId="0" borderId="0" xfId="0" applyNumberFormat="1" applyFont="1" applyAlignment="1">
      <alignment wrapText="1"/>
    </xf>
    <xf numFmtId="4" fontId="0" fillId="0" borderId="0" xfId="0" applyNumberFormat="1" applyAlignment="1">
      <alignment wrapText="1"/>
    </xf>
    <xf numFmtId="0" fontId="0" fillId="3" borderId="1" xfId="0" applyFill="1" applyBorder="1" applyAlignment="1">
      <alignment horizontal="center" vertical="top" wrapText="1"/>
    </xf>
    <xf numFmtId="0" fontId="0" fillId="3" borderId="1" xfId="0" applyFill="1" applyBorder="1" applyAlignment="1">
      <alignment vertical="top" wrapText="1"/>
    </xf>
    <xf numFmtId="164" fontId="0" fillId="0" borderId="1" xfId="0" applyNumberFormat="1" applyBorder="1"/>
    <xf numFmtId="0" fontId="0" fillId="0" borderId="1" xfId="0" applyBorder="1" applyAlignment="1">
      <alignment vertical="center"/>
    </xf>
    <xf numFmtId="3" fontId="0" fillId="0" borderId="1" xfId="0" applyNumberFormat="1" applyBorder="1" applyAlignment="1">
      <alignment horizontal="center" vertical="center" wrapText="1"/>
    </xf>
    <xf numFmtId="4" fontId="4" fillId="0" borderId="2" xfId="0" applyNumberFormat="1" applyFont="1" applyBorder="1" applyAlignment="1">
      <alignment horizontal="center" vertical="center" wrapText="1"/>
    </xf>
    <xf numFmtId="0" fontId="17" fillId="0" borderId="13" xfId="0" applyFont="1" applyBorder="1" applyAlignment="1">
      <alignment horizontal="center" vertical="center" wrapText="1"/>
    </xf>
    <xf numFmtId="0" fontId="0" fillId="0" borderId="28" xfId="0" applyBorder="1" applyAlignment="1">
      <alignment horizontal="center" vertical="center"/>
    </xf>
    <xf numFmtId="0" fontId="19" fillId="0" borderId="13" xfId="0" applyFont="1" applyBorder="1" applyAlignment="1">
      <alignment horizontal="center" vertical="center"/>
    </xf>
    <xf numFmtId="4" fontId="24" fillId="0" borderId="1" xfId="0" applyNumberFormat="1" applyFont="1" applyBorder="1" applyAlignment="1">
      <alignment horizontal="center" vertical="center" wrapText="1"/>
    </xf>
    <xf numFmtId="4" fontId="0" fillId="0" borderId="1" xfId="0" applyNumberFormat="1" applyBorder="1" applyAlignment="1">
      <alignment vertical="top" wrapText="1"/>
    </xf>
    <xf numFmtId="4" fontId="0" fillId="0" borderId="1" xfId="0" applyNumberFormat="1" applyBorder="1" applyAlignment="1">
      <alignment vertical="center"/>
    </xf>
    <xf numFmtId="4" fontId="0" fillId="0" borderId="1" xfId="0" applyNumberFormat="1" applyBorder="1" applyAlignment="1">
      <alignment wrapText="1"/>
    </xf>
    <xf numFmtId="168" fontId="0" fillId="0" borderId="1" xfId="0" applyNumberFormat="1" applyBorder="1" applyAlignment="1">
      <alignment horizontal="center" vertical="center"/>
    </xf>
    <xf numFmtId="2" fontId="27" fillId="0" borderId="0" xfId="0" applyNumberFormat="1" applyFont="1" applyAlignment="1">
      <alignment wrapText="1"/>
    </xf>
    <xf numFmtId="49" fontId="15" fillId="0" borderId="5" xfId="0" applyNumberFormat="1" applyFont="1" applyBorder="1" applyAlignment="1">
      <alignment horizontal="center" vertical="center" wrapText="1"/>
    </xf>
    <xf numFmtId="166" fontId="15" fillId="0" borderId="7" xfId="0" applyNumberFormat="1" applyFont="1" applyBorder="1" applyAlignment="1">
      <alignment horizontal="center" vertical="center" wrapText="1"/>
    </xf>
    <xf numFmtId="49" fontId="15" fillId="4" borderId="1" xfId="0" applyNumberFormat="1" applyFont="1" applyFill="1" applyBorder="1" applyAlignment="1">
      <alignment horizontal="center" vertical="center" wrapText="1"/>
    </xf>
    <xf numFmtId="49" fontId="15" fillId="8" borderId="10" xfId="0" applyNumberFormat="1" applyFont="1" applyFill="1" applyBorder="1" applyAlignment="1">
      <alignment horizontal="center" vertical="center" wrapText="1"/>
    </xf>
    <xf numFmtId="49" fontId="15" fillId="8" borderId="13" xfId="0" applyNumberFormat="1" applyFont="1" applyFill="1" applyBorder="1" applyAlignment="1">
      <alignment horizontal="center" vertical="center" wrapText="1"/>
    </xf>
    <xf numFmtId="49" fontId="15" fillId="4" borderId="10" xfId="0" applyNumberFormat="1" applyFont="1" applyFill="1" applyBorder="1" applyAlignment="1">
      <alignment horizontal="center" vertical="center" wrapText="1"/>
    </xf>
    <xf numFmtId="49" fontId="0" fillId="4" borderId="7" xfId="0" applyNumberFormat="1" applyFill="1" applyBorder="1" applyAlignment="1">
      <alignment horizontal="center" vertical="center" wrapText="1"/>
    </xf>
    <xf numFmtId="49" fontId="0" fillId="4" borderId="1" xfId="0" applyNumberFormat="1" applyFill="1" applyBorder="1" applyAlignment="1">
      <alignment horizontal="center" vertical="center" wrapText="1"/>
    </xf>
    <xf numFmtId="3" fontId="0" fillId="0" borderId="0" xfId="0" applyNumberFormat="1"/>
    <xf numFmtId="49" fontId="0" fillId="8" borderId="1" xfId="0" applyNumberFormat="1" applyFill="1" applyBorder="1" applyAlignment="1">
      <alignment horizontal="center" vertical="center"/>
    </xf>
    <xf numFmtId="49" fontId="0" fillId="8" borderId="1" xfId="0" applyNumberFormat="1" applyFill="1" applyBorder="1" applyAlignment="1">
      <alignment horizontal="center" vertical="center" wrapText="1"/>
    </xf>
    <xf numFmtId="49" fontId="0" fillId="8" borderId="13" xfId="0" applyNumberFormat="1" applyFill="1" applyBorder="1" applyAlignment="1">
      <alignment horizontal="center" vertical="center" wrapText="1"/>
    </xf>
    <xf numFmtId="49" fontId="0" fillId="8" borderId="12" xfId="0" applyNumberFormat="1" applyFill="1" applyBorder="1" applyAlignment="1">
      <alignment horizontal="center" vertical="center" wrapText="1"/>
    </xf>
    <xf numFmtId="49" fontId="15" fillId="8" borderId="1" xfId="0" applyNumberFormat="1" applyFont="1" applyFill="1" applyBorder="1" applyAlignment="1">
      <alignment horizontal="center" vertical="center" wrapText="1"/>
    </xf>
    <xf numFmtId="3" fontId="0" fillId="8" borderId="1" xfId="0" applyNumberFormat="1" applyFill="1" applyBorder="1" applyAlignment="1">
      <alignment horizontal="center" vertical="center" wrapText="1"/>
    </xf>
    <xf numFmtId="49" fontId="0" fillId="8" borderId="13" xfId="0" applyNumberFormat="1" applyFill="1" applyBorder="1" applyAlignment="1">
      <alignment horizontal="center" vertical="center"/>
    </xf>
    <xf numFmtId="49" fontId="0" fillId="8" borderId="17" xfId="0" applyNumberFormat="1" applyFill="1" applyBorder="1" applyAlignment="1">
      <alignment vertical="center" wrapText="1"/>
    </xf>
    <xf numFmtId="49" fontId="0" fillId="8" borderId="20" xfId="0" applyNumberFormat="1" applyFill="1" applyBorder="1" applyAlignment="1">
      <alignment vertical="center" wrapText="1"/>
    </xf>
    <xf numFmtId="49" fontId="15" fillId="0" borderId="1" xfId="0" applyNumberFormat="1" applyFont="1" applyBorder="1" applyAlignment="1">
      <alignment horizontal="center" vertical="center"/>
    </xf>
    <xf numFmtId="49" fontId="0" fillId="8" borderId="10" xfId="0" applyNumberFormat="1" applyFill="1" applyBorder="1" applyAlignment="1">
      <alignment horizontal="center" vertical="center"/>
    </xf>
    <xf numFmtId="49" fontId="0" fillId="4" borderId="1" xfId="0" applyNumberFormat="1" applyFill="1" applyBorder="1" applyAlignment="1">
      <alignment horizontal="center" vertical="center"/>
    </xf>
    <xf numFmtId="49" fontId="0" fillId="4" borderId="13" xfId="0" applyNumberFormat="1" applyFill="1" applyBorder="1" applyAlignment="1">
      <alignment horizontal="center" vertical="center" wrapText="1"/>
    </xf>
    <xf numFmtId="3" fontId="0" fillId="4" borderId="1" xfId="0" applyNumberFormat="1" applyFill="1" applyBorder="1" applyAlignment="1">
      <alignment horizontal="center" vertical="center" wrapText="1"/>
    </xf>
    <xf numFmtId="49" fontId="0" fillId="4" borderId="17" xfId="0" applyNumberFormat="1" applyFill="1" applyBorder="1" applyAlignment="1">
      <alignment vertical="center" wrapText="1"/>
    </xf>
    <xf numFmtId="49" fontId="0" fillId="4" borderId="8" xfId="0" applyNumberFormat="1" applyFill="1" applyBorder="1" applyAlignment="1">
      <alignment horizontal="center" vertical="center"/>
    </xf>
    <xf numFmtId="49" fontId="0" fillId="4" borderId="13" xfId="0" applyNumberFormat="1" applyFill="1" applyBorder="1" applyAlignment="1">
      <alignment horizontal="center" vertical="center"/>
    </xf>
    <xf numFmtId="49" fontId="15" fillId="4" borderId="7" xfId="0" applyNumberFormat="1" applyFont="1" applyFill="1" applyBorder="1" applyAlignment="1">
      <alignment horizontal="center" vertical="center" wrapText="1"/>
    </xf>
    <xf numFmtId="3" fontId="0" fillId="4" borderId="7" xfId="0" applyNumberFormat="1" applyFill="1" applyBorder="1" applyAlignment="1">
      <alignment horizontal="center" vertical="center" wrapText="1"/>
    </xf>
    <xf numFmtId="49" fontId="15" fillId="4" borderId="13" xfId="0" applyNumberFormat="1" applyFont="1" applyFill="1" applyBorder="1" applyAlignment="1">
      <alignment horizontal="center" vertical="center" wrapText="1"/>
    </xf>
    <xf numFmtId="3" fontId="0" fillId="4" borderId="13" xfId="0" applyNumberFormat="1" applyFill="1" applyBorder="1" applyAlignment="1">
      <alignment horizontal="center" vertical="center" wrapText="1"/>
    </xf>
    <xf numFmtId="3" fontId="15" fillId="4" borderId="13" xfId="0" applyNumberFormat="1" applyFont="1" applyFill="1" applyBorder="1" applyAlignment="1">
      <alignment horizontal="center" vertical="center" wrapText="1"/>
    </xf>
    <xf numFmtId="49" fontId="0" fillId="4" borderId="10" xfId="0" applyNumberFormat="1" applyFill="1" applyBorder="1" applyAlignment="1">
      <alignment horizontal="center" vertical="center" wrapText="1"/>
    </xf>
    <xf numFmtId="3" fontId="15" fillId="4" borderId="10" xfId="0" applyNumberFormat="1" applyFont="1" applyFill="1" applyBorder="1" applyAlignment="1">
      <alignment horizontal="center" vertical="center" wrapText="1"/>
    </xf>
    <xf numFmtId="49" fontId="0" fillId="4" borderId="2" xfId="0" applyNumberFormat="1" applyFill="1" applyBorder="1" applyAlignment="1">
      <alignment horizontal="center" vertical="center" wrapText="1"/>
    </xf>
    <xf numFmtId="49" fontId="0" fillId="8" borderId="12" xfId="0" applyNumberFormat="1" applyFill="1" applyBorder="1" applyAlignment="1">
      <alignment horizontal="center" vertical="center"/>
    </xf>
    <xf numFmtId="49" fontId="15" fillId="8" borderId="12" xfId="0" applyNumberFormat="1" applyFont="1" applyFill="1" applyBorder="1" applyAlignment="1">
      <alignment horizontal="center" vertical="center" wrapText="1"/>
    </xf>
    <xf numFmtId="3" fontId="0" fillId="8" borderId="12" xfId="0" applyNumberFormat="1" applyFill="1" applyBorder="1" applyAlignment="1">
      <alignment horizontal="center" vertical="center" wrapText="1"/>
    </xf>
    <xf numFmtId="4" fontId="38" fillId="0" borderId="0" xfId="0" applyNumberFormat="1" applyFont="1" applyAlignment="1">
      <alignment horizontal="center" vertical="center" wrapText="1"/>
    </xf>
    <xf numFmtId="49" fontId="0" fillId="8" borderId="18" xfId="0" applyNumberFormat="1" applyFill="1" applyBorder="1" applyAlignment="1">
      <alignment vertical="center" wrapText="1"/>
    </xf>
    <xf numFmtId="3" fontId="0" fillId="0" borderId="2" xfId="0" applyNumberFormat="1" applyBorder="1" applyAlignment="1">
      <alignment horizontal="center" vertical="center" wrapText="1"/>
    </xf>
    <xf numFmtId="49" fontId="12" fillId="0" borderId="20" xfId="0" applyNumberFormat="1" applyFont="1" applyBorder="1" applyAlignment="1">
      <alignment vertical="center" wrapText="1"/>
    </xf>
    <xf numFmtId="168" fontId="0" fillId="0" borderId="7" xfId="0" applyNumberFormat="1" applyBorder="1" applyAlignment="1">
      <alignment horizontal="center" vertical="center" wrapText="1"/>
    </xf>
    <xf numFmtId="0" fontId="11" fillId="0" borderId="7" xfId="0" applyFont="1" applyBorder="1" applyAlignment="1">
      <alignment horizontal="center" vertical="center" wrapText="1"/>
    </xf>
    <xf numFmtId="166" fontId="0" fillId="0" borderId="12" xfId="0" applyNumberFormat="1" applyBorder="1" applyAlignment="1">
      <alignment horizontal="center" vertical="center" wrapText="1"/>
    </xf>
    <xf numFmtId="169" fontId="0" fillId="0" borderId="0" xfId="0" applyNumberFormat="1" applyAlignment="1">
      <alignment wrapText="1"/>
    </xf>
    <xf numFmtId="168" fontId="0" fillId="0" borderId="1" xfId="0" applyNumberFormat="1" applyBorder="1" applyAlignment="1">
      <alignment horizontal="center" vertical="center" wrapText="1"/>
    </xf>
    <xf numFmtId="4" fontId="32" fillId="0" borderId="0" xfId="0" applyNumberFormat="1" applyFont="1" applyAlignment="1">
      <alignment horizontal="center" vertical="center" wrapText="1"/>
    </xf>
    <xf numFmtId="3" fontId="7" fillId="0" borderId="12"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0" fontId="39" fillId="0" borderId="0" xfId="0" applyFont="1" applyAlignment="1">
      <alignment wrapText="1"/>
    </xf>
    <xf numFmtId="0" fontId="40" fillId="0" borderId="0" xfId="0" applyFont="1" applyAlignment="1">
      <alignment horizontal="center" vertical="center"/>
    </xf>
    <xf numFmtId="49" fontId="40" fillId="0" borderId="0" xfId="0" applyNumberFormat="1" applyFont="1" applyAlignment="1">
      <alignment horizontal="center" vertical="center"/>
    </xf>
    <xf numFmtId="0" fontId="40" fillId="0" borderId="0" xfId="0" applyFont="1" applyAlignment="1">
      <alignment horizontal="center" vertical="center" wrapText="1"/>
    </xf>
    <xf numFmtId="0" fontId="40" fillId="0" borderId="1" xfId="0" applyFont="1" applyBorder="1" applyAlignment="1">
      <alignment horizontal="center" vertical="center"/>
    </xf>
    <xf numFmtId="49" fontId="40" fillId="0" borderId="1" xfId="0" applyNumberFormat="1" applyFont="1" applyBorder="1" applyAlignment="1">
      <alignment horizontal="center" vertical="center"/>
    </xf>
    <xf numFmtId="0" fontId="40" fillId="0" borderId="1"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49" fontId="41" fillId="0" borderId="1" xfId="0" applyNumberFormat="1" applyFont="1" applyBorder="1" applyAlignment="1">
      <alignment horizontal="center" vertical="center" wrapText="1"/>
    </xf>
    <xf numFmtId="4" fontId="42" fillId="0" borderId="0" xfId="0" applyNumberFormat="1" applyFont="1" applyAlignment="1">
      <alignment wrapText="1"/>
    </xf>
    <xf numFmtId="0" fontId="0" fillId="0" borderId="0" xfId="0" applyAlignment="1">
      <alignment horizontal="left" vertical="center"/>
    </xf>
    <xf numFmtId="3" fontId="43" fillId="0" borderId="0" xfId="0" applyNumberFormat="1" applyFont="1" applyAlignment="1">
      <alignment horizontal="center" vertical="center"/>
    </xf>
    <xf numFmtId="3" fontId="43" fillId="0" borderId="18" xfId="0" applyNumberFormat="1" applyFont="1" applyBorder="1" applyAlignment="1">
      <alignment horizontal="center" vertical="center"/>
    </xf>
    <xf numFmtId="49" fontId="40" fillId="0" borderId="11" xfId="0" applyNumberFormat="1" applyFont="1" applyBorder="1" applyAlignment="1">
      <alignment horizontal="center" vertical="center"/>
    </xf>
    <xf numFmtId="3" fontId="43" fillId="0" borderId="17" xfId="0" applyNumberFormat="1" applyFont="1" applyBorder="1" applyAlignment="1">
      <alignment horizontal="center" vertical="center"/>
    </xf>
    <xf numFmtId="49" fontId="40" fillId="0" borderId="9" xfId="0" applyNumberFormat="1" applyFont="1" applyBorder="1" applyAlignment="1">
      <alignment horizontal="center" vertical="center"/>
    </xf>
    <xf numFmtId="3" fontId="43" fillId="0" borderId="16" xfId="0" applyNumberFormat="1" applyFont="1" applyBorder="1" applyAlignment="1">
      <alignment horizontal="center" vertical="center"/>
    </xf>
    <xf numFmtId="49" fontId="40" fillId="0" borderId="6" xfId="0" applyNumberFormat="1" applyFont="1" applyBorder="1" applyAlignment="1">
      <alignment horizontal="center" vertical="center"/>
    </xf>
    <xf numFmtId="4" fontId="44" fillId="0" borderId="0" xfId="0" applyNumberFormat="1" applyFont="1" applyAlignment="1">
      <alignment horizontal="left" vertical="center" wrapText="1"/>
    </xf>
    <xf numFmtId="3" fontId="40" fillId="10" borderId="40" xfId="0" applyNumberFormat="1" applyFont="1" applyFill="1" applyBorder="1" applyAlignment="1">
      <alignment horizontal="center" vertical="center"/>
    </xf>
    <xf numFmtId="3" fontId="40" fillId="10" borderId="18" xfId="0" applyNumberFormat="1" applyFont="1" applyFill="1" applyBorder="1" applyAlignment="1">
      <alignment horizontal="center" vertical="center"/>
    </xf>
    <xf numFmtId="49" fontId="40" fillId="10" borderId="12" xfId="0" applyNumberFormat="1" applyFont="1" applyFill="1" applyBorder="1" applyAlignment="1">
      <alignment horizontal="center" vertical="center"/>
    </xf>
    <xf numFmtId="0" fontId="40" fillId="10" borderId="12" xfId="0" applyFont="1" applyFill="1" applyBorder="1" applyAlignment="1">
      <alignment horizontal="center" vertical="center"/>
    </xf>
    <xf numFmtId="0" fontId="40" fillId="10" borderId="12" xfId="0" applyFont="1" applyFill="1" applyBorder="1" applyAlignment="1">
      <alignment horizontal="center" vertical="center" wrapText="1"/>
    </xf>
    <xf numFmtId="0" fontId="40" fillId="10" borderId="11" xfId="0" applyFont="1" applyFill="1" applyBorder="1" applyAlignment="1">
      <alignment horizontal="center" vertical="center"/>
    </xf>
    <xf numFmtId="3" fontId="40" fillId="10" borderId="41" xfId="0" applyNumberFormat="1" applyFont="1" applyFill="1" applyBorder="1" applyAlignment="1">
      <alignment horizontal="center" vertical="center"/>
    </xf>
    <xf numFmtId="3" fontId="40" fillId="10" borderId="17" xfId="0" applyNumberFormat="1" applyFont="1" applyFill="1" applyBorder="1" applyAlignment="1">
      <alignment horizontal="center" vertical="center"/>
    </xf>
    <xf numFmtId="49" fontId="40" fillId="10" borderId="1" xfId="0" applyNumberFormat="1" applyFont="1" applyFill="1" applyBorder="1" applyAlignment="1">
      <alignment horizontal="center" vertical="center"/>
    </xf>
    <xf numFmtId="0" fontId="40" fillId="10" borderId="1" xfId="0" applyFont="1" applyFill="1" applyBorder="1" applyAlignment="1">
      <alignment horizontal="center" vertical="center"/>
    </xf>
    <xf numFmtId="0" fontId="40" fillId="10" borderId="1" xfId="0" applyFont="1" applyFill="1" applyBorder="1" applyAlignment="1">
      <alignment horizontal="center" vertical="center" wrapText="1"/>
    </xf>
    <xf numFmtId="0" fontId="40" fillId="10" borderId="9" xfId="0" applyFont="1" applyFill="1" applyBorder="1" applyAlignment="1">
      <alignment horizontal="center" vertical="center"/>
    </xf>
    <xf numFmtId="3" fontId="40" fillId="11" borderId="41" xfId="0" applyNumberFormat="1" applyFont="1" applyFill="1" applyBorder="1" applyAlignment="1">
      <alignment horizontal="center" vertical="center"/>
    </xf>
    <xf numFmtId="3" fontId="40" fillId="11" borderId="17" xfId="0" applyNumberFormat="1" applyFont="1" applyFill="1" applyBorder="1" applyAlignment="1">
      <alignment horizontal="center" vertical="center"/>
    </xf>
    <xf numFmtId="49" fontId="40" fillId="11" borderId="1" xfId="0" applyNumberFormat="1" applyFont="1" applyFill="1" applyBorder="1" applyAlignment="1">
      <alignment horizontal="center" vertical="center"/>
    </xf>
    <xf numFmtId="0" fontId="40" fillId="11" borderId="1" xfId="0" applyFont="1" applyFill="1" applyBorder="1" applyAlignment="1">
      <alignment horizontal="center" vertical="center"/>
    </xf>
    <xf numFmtId="0" fontId="40" fillId="11" borderId="1" xfId="0" applyFont="1" applyFill="1" applyBorder="1" applyAlignment="1">
      <alignment horizontal="center" vertical="center" wrapText="1"/>
    </xf>
    <xf numFmtId="0" fontId="40" fillId="11" borderId="9" xfId="0" applyFont="1" applyFill="1" applyBorder="1" applyAlignment="1">
      <alignment horizontal="center" vertical="center"/>
    </xf>
    <xf numFmtId="4" fontId="42" fillId="0" borderId="0" xfId="0" applyNumberFormat="1" applyFont="1" applyAlignment="1">
      <alignment horizontal="left" vertical="center" wrapText="1"/>
    </xf>
    <xf numFmtId="3" fontId="40" fillId="12" borderId="44" xfId="0" applyNumberFormat="1" applyFont="1" applyFill="1" applyBorder="1" applyAlignment="1">
      <alignment horizontal="center" vertical="center"/>
    </xf>
    <xf numFmtId="3" fontId="40" fillId="12" borderId="16" xfId="0" applyNumberFormat="1" applyFont="1" applyFill="1" applyBorder="1" applyAlignment="1">
      <alignment horizontal="center" vertical="center"/>
    </xf>
    <xf numFmtId="49" fontId="40" fillId="12" borderId="7" xfId="0" applyNumberFormat="1" applyFont="1" applyFill="1" applyBorder="1" applyAlignment="1">
      <alignment horizontal="center" vertical="center"/>
    </xf>
    <xf numFmtId="0" fontId="40" fillId="12" borderId="7" xfId="0" applyFont="1" applyFill="1" applyBorder="1" applyAlignment="1">
      <alignment horizontal="center" vertical="center"/>
    </xf>
    <xf numFmtId="0" fontId="40" fillId="12" borderId="7" xfId="0" applyFont="1" applyFill="1" applyBorder="1" applyAlignment="1">
      <alignment horizontal="center" vertical="center" wrapText="1"/>
    </xf>
    <xf numFmtId="0" fontId="40" fillId="12" borderId="6" xfId="0" applyFont="1" applyFill="1" applyBorder="1" applyAlignment="1">
      <alignment horizontal="center" vertical="center"/>
    </xf>
    <xf numFmtId="0" fontId="40" fillId="13" borderId="0" xfId="0" applyFont="1" applyFill="1" applyAlignment="1">
      <alignment horizontal="center" vertical="center"/>
    </xf>
    <xf numFmtId="3" fontId="40" fillId="13" borderId="40" xfId="0" applyNumberFormat="1" applyFont="1" applyFill="1" applyBorder="1" applyAlignment="1">
      <alignment horizontal="center" vertical="center"/>
    </xf>
    <xf numFmtId="3" fontId="40" fillId="8" borderId="41" xfId="0" applyNumberFormat="1" applyFont="1" applyFill="1" applyBorder="1" applyAlignment="1">
      <alignment horizontal="center" vertical="center"/>
    </xf>
    <xf numFmtId="3" fontId="40" fillId="8" borderId="17" xfId="0" applyNumberFormat="1" applyFont="1" applyFill="1" applyBorder="1" applyAlignment="1">
      <alignment horizontal="center" vertical="center"/>
    </xf>
    <xf numFmtId="49" fontId="40" fillId="8" borderId="1" xfId="0" applyNumberFormat="1" applyFont="1" applyFill="1" applyBorder="1" applyAlignment="1">
      <alignment horizontal="center" vertical="center"/>
    </xf>
    <xf numFmtId="0" fontId="40" fillId="8" borderId="1" xfId="0" applyFont="1" applyFill="1" applyBorder="1" applyAlignment="1">
      <alignment horizontal="center" vertical="center"/>
    </xf>
    <xf numFmtId="0" fontId="40" fillId="8" borderId="1" xfId="0" applyFont="1" applyFill="1" applyBorder="1" applyAlignment="1">
      <alignment horizontal="center" vertical="center" wrapText="1"/>
    </xf>
    <xf numFmtId="0" fontId="40" fillId="8" borderId="9" xfId="0" applyFont="1" applyFill="1" applyBorder="1" applyAlignment="1">
      <alignment horizontal="center" vertical="center"/>
    </xf>
    <xf numFmtId="3" fontId="40" fillId="8" borderId="44" xfId="0" applyNumberFormat="1" applyFont="1" applyFill="1" applyBorder="1" applyAlignment="1">
      <alignment horizontal="center" vertical="center"/>
    </xf>
    <xf numFmtId="3" fontId="40" fillId="8" borderId="16" xfId="0" applyNumberFormat="1" applyFont="1" applyFill="1" applyBorder="1" applyAlignment="1">
      <alignment horizontal="center" vertical="center"/>
    </xf>
    <xf numFmtId="49" fontId="40" fillId="8" borderId="7" xfId="0" applyNumberFormat="1" applyFont="1" applyFill="1" applyBorder="1" applyAlignment="1">
      <alignment horizontal="center" vertical="center"/>
    </xf>
    <xf numFmtId="0" fontId="40" fillId="8" borderId="7" xfId="0" applyFont="1" applyFill="1" applyBorder="1" applyAlignment="1">
      <alignment horizontal="center" vertical="center"/>
    </xf>
    <xf numFmtId="0" fontId="40" fillId="8" borderId="7" xfId="0" applyFont="1" applyFill="1" applyBorder="1" applyAlignment="1">
      <alignment horizontal="center" vertical="center" wrapText="1"/>
    </xf>
    <xf numFmtId="0" fontId="40" fillId="8" borderId="6" xfId="0" applyFont="1" applyFill="1" applyBorder="1" applyAlignment="1">
      <alignment horizontal="center" vertical="center"/>
    </xf>
    <xf numFmtId="0" fontId="41" fillId="0" borderId="2" xfId="0" applyFont="1" applyBorder="1" applyAlignment="1">
      <alignment horizontal="center" vertical="center" wrapText="1"/>
    </xf>
    <xf numFmtId="49" fontId="41" fillId="0" borderId="2" xfId="0" applyNumberFormat="1" applyFont="1" applyBorder="1" applyAlignment="1">
      <alignment horizontal="center" vertical="center" wrapText="1"/>
    </xf>
    <xf numFmtId="0" fontId="46" fillId="0" borderId="0" xfId="0" applyFont="1" applyAlignment="1">
      <alignment horizontal="center" vertical="center" wrapText="1"/>
    </xf>
    <xf numFmtId="0" fontId="39" fillId="0" borderId="0" xfId="0" applyFont="1" applyAlignment="1">
      <alignment horizontal="left" vertical="center" wrapText="1"/>
    </xf>
    <xf numFmtId="3" fontId="43" fillId="13" borderId="14" xfId="0" applyNumberFormat="1" applyFont="1" applyFill="1" applyBorder="1" applyAlignment="1">
      <alignment horizontal="center" vertical="center"/>
    </xf>
    <xf numFmtId="3" fontId="43" fillId="13" borderId="46" xfId="0" applyNumberFormat="1" applyFont="1" applyFill="1" applyBorder="1" applyAlignment="1">
      <alignment horizontal="center" vertical="center"/>
    </xf>
    <xf numFmtId="49" fontId="40" fillId="13" borderId="12" xfId="0" applyNumberFormat="1" applyFont="1" applyFill="1" applyBorder="1" applyAlignment="1">
      <alignment horizontal="center" vertical="center"/>
    </xf>
    <xf numFmtId="0" fontId="40" fillId="13" borderId="12" xfId="0" applyFont="1" applyFill="1" applyBorder="1" applyAlignment="1">
      <alignment horizontal="center" vertical="center"/>
    </xf>
    <xf numFmtId="0" fontId="40" fillId="13" borderId="12" xfId="0" applyFont="1" applyFill="1" applyBorder="1" applyAlignment="1">
      <alignment horizontal="center" vertical="center" wrapText="1"/>
    </xf>
    <xf numFmtId="0" fontId="40" fillId="13" borderId="11" xfId="0" applyFont="1" applyFill="1" applyBorder="1" applyAlignment="1">
      <alignment horizontal="center" vertical="center"/>
    </xf>
    <xf numFmtId="3" fontId="40" fillId="13" borderId="3" xfId="0" applyNumberFormat="1" applyFont="1" applyFill="1" applyBorder="1" applyAlignment="1">
      <alignment horizontal="center" vertical="center"/>
    </xf>
    <xf numFmtId="49" fontId="40" fillId="13" borderId="1" xfId="0" applyNumberFormat="1" applyFont="1" applyFill="1" applyBorder="1" applyAlignment="1">
      <alignment horizontal="center" vertical="center"/>
    </xf>
    <xf numFmtId="0" fontId="40" fillId="13" borderId="1" xfId="0" applyFont="1" applyFill="1" applyBorder="1" applyAlignment="1">
      <alignment horizontal="center" vertical="center"/>
    </xf>
    <xf numFmtId="0" fontId="40" fillId="13" borderId="1" xfId="0" applyFont="1" applyFill="1" applyBorder="1" applyAlignment="1">
      <alignment horizontal="center" vertical="center" wrapText="1"/>
    </xf>
    <xf numFmtId="0" fontId="40" fillId="13" borderId="9" xfId="0" applyFont="1" applyFill="1" applyBorder="1" applyAlignment="1">
      <alignment horizontal="center" vertical="center"/>
    </xf>
    <xf numFmtId="0" fontId="39" fillId="0" borderId="41" xfId="0" applyFont="1" applyBorder="1" applyAlignment="1">
      <alignment horizontal="left" vertical="center" wrapText="1"/>
    </xf>
    <xf numFmtId="49" fontId="40" fillId="14" borderId="13" xfId="0" applyNumberFormat="1" applyFont="1" applyFill="1" applyBorder="1" applyAlignment="1">
      <alignment horizontal="center" vertical="center"/>
    </xf>
    <xf numFmtId="0" fontId="40" fillId="14" borderId="13" xfId="0" applyFont="1" applyFill="1" applyBorder="1" applyAlignment="1">
      <alignment horizontal="center" vertical="center"/>
    </xf>
    <xf numFmtId="0" fontId="40" fillId="14" borderId="13" xfId="0" applyFont="1" applyFill="1" applyBorder="1" applyAlignment="1">
      <alignment horizontal="center" vertical="center" wrapText="1"/>
    </xf>
    <xf numFmtId="0" fontId="40" fillId="14" borderId="26" xfId="0" applyFont="1" applyFill="1" applyBorder="1" applyAlignment="1">
      <alignment horizontal="center" vertical="center"/>
    </xf>
    <xf numFmtId="0" fontId="0" fillId="14" borderId="10" xfId="0" applyFill="1" applyBorder="1" applyAlignment="1">
      <alignment horizontal="center" vertical="center"/>
    </xf>
    <xf numFmtId="0" fontId="39" fillId="0" borderId="40" xfId="0" applyFont="1" applyBorder="1" applyAlignment="1">
      <alignment horizontal="left" vertical="center" wrapText="1"/>
    </xf>
    <xf numFmtId="49" fontId="40" fillId="15" borderId="1" xfId="0" applyNumberFormat="1" applyFont="1" applyFill="1" applyBorder="1" applyAlignment="1">
      <alignment horizontal="center" vertical="center"/>
    </xf>
    <xf numFmtId="0" fontId="40" fillId="15" borderId="1" xfId="0" applyFont="1" applyFill="1" applyBorder="1" applyAlignment="1">
      <alignment horizontal="center" vertical="center"/>
    </xf>
    <xf numFmtId="0" fontId="40" fillId="15" borderId="1" xfId="0" applyFont="1" applyFill="1" applyBorder="1" applyAlignment="1">
      <alignment horizontal="center" vertical="center" wrapText="1"/>
    </xf>
    <xf numFmtId="0" fontId="40" fillId="15" borderId="9" xfId="0" applyFont="1" applyFill="1" applyBorder="1" applyAlignment="1">
      <alignment horizontal="center" vertical="center"/>
    </xf>
    <xf numFmtId="0" fontId="7" fillId="0" borderId="0" xfId="0" applyFont="1" applyAlignment="1">
      <alignment vertical="center"/>
    </xf>
    <xf numFmtId="3" fontId="40" fillId="12" borderId="1" xfId="0" applyNumberFormat="1" applyFont="1" applyFill="1" applyBorder="1" applyAlignment="1">
      <alignment horizontal="center" vertical="center"/>
    </xf>
    <xf numFmtId="0" fontId="40" fillId="12" borderId="1" xfId="0" applyFont="1" applyFill="1" applyBorder="1" applyAlignment="1">
      <alignment horizontal="center" vertical="center" wrapText="1"/>
    </xf>
    <xf numFmtId="0" fontId="0" fillId="16" borderId="0" xfId="0" applyFill="1"/>
    <xf numFmtId="0" fontId="39" fillId="0" borderId="41" xfId="0" applyFont="1" applyBorder="1" applyAlignment="1">
      <alignment wrapText="1"/>
    </xf>
    <xf numFmtId="0" fontId="40" fillId="0" borderId="0" xfId="0" applyFont="1" applyAlignment="1">
      <alignment wrapText="1"/>
    </xf>
    <xf numFmtId="49" fontId="40" fillId="12" borderId="1" xfId="0" applyNumberFormat="1" applyFont="1" applyFill="1" applyBorder="1" applyAlignment="1">
      <alignment horizontal="center" vertical="center"/>
    </xf>
    <xf numFmtId="49" fontId="40" fillId="12" borderId="8" xfId="0" applyNumberFormat="1" applyFont="1" applyFill="1" applyBorder="1" applyAlignment="1">
      <alignment horizontal="center" vertical="center"/>
    </xf>
    <xf numFmtId="0" fontId="40" fillId="12" borderId="8" xfId="0" applyFont="1" applyFill="1" applyBorder="1" applyAlignment="1">
      <alignment horizontal="center" vertical="center"/>
    </xf>
    <xf numFmtId="3" fontId="7" fillId="0" borderId="0" xfId="0" applyNumberFormat="1" applyFont="1" applyAlignment="1">
      <alignment vertical="center"/>
    </xf>
    <xf numFmtId="3" fontId="40" fillId="16" borderId="3" xfId="0" applyNumberFormat="1" applyFont="1" applyFill="1" applyBorder="1" applyAlignment="1">
      <alignment horizontal="center" vertical="center"/>
    </xf>
    <xf numFmtId="49" fontId="40" fillId="16" borderId="1" xfId="0" applyNumberFormat="1" applyFont="1" applyFill="1" applyBorder="1" applyAlignment="1">
      <alignment horizontal="center" vertical="center"/>
    </xf>
    <xf numFmtId="0" fontId="40" fillId="16" borderId="1" xfId="0" applyFont="1" applyFill="1" applyBorder="1" applyAlignment="1">
      <alignment horizontal="center" vertical="center"/>
    </xf>
    <xf numFmtId="0" fontId="40" fillId="16" borderId="1" xfId="0" applyFont="1" applyFill="1" applyBorder="1" applyAlignment="1">
      <alignment horizontal="center" vertical="center" wrapText="1"/>
    </xf>
    <xf numFmtId="49" fontId="40" fillId="17" borderId="12" xfId="0" applyNumberFormat="1" applyFont="1" applyFill="1" applyBorder="1" applyAlignment="1">
      <alignment horizontal="center" vertical="center"/>
    </xf>
    <xf numFmtId="0" fontId="40" fillId="17" borderId="12" xfId="0" applyFont="1" applyFill="1" applyBorder="1" applyAlignment="1">
      <alignment horizontal="center" vertical="center"/>
    </xf>
    <xf numFmtId="0" fontId="40" fillId="17" borderId="12" xfId="0" applyFont="1" applyFill="1" applyBorder="1" applyAlignment="1">
      <alignment horizontal="center" vertical="center" wrapText="1"/>
    </xf>
    <xf numFmtId="49" fontId="40" fillId="17" borderId="7" xfId="0" applyNumberFormat="1" applyFont="1" applyFill="1" applyBorder="1" applyAlignment="1">
      <alignment horizontal="center" vertical="center"/>
    </xf>
    <xf numFmtId="0" fontId="40" fillId="17" borderId="7" xfId="0" applyFont="1" applyFill="1" applyBorder="1" applyAlignment="1">
      <alignment horizontal="center" vertical="center"/>
    </xf>
    <xf numFmtId="0" fontId="40" fillId="17" borderId="7" xfId="0" applyFont="1" applyFill="1" applyBorder="1" applyAlignment="1">
      <alignment horizontal="center" vertical="center" wrapText="1"/>
    </xf>
    <xf numFmtId="0" fontId="50" fillId="0" borderId="0" xfId="0" applyFont="1" applyAlignment="1">
      <alignment horizontal="center" vertical="center" wrapText="1"/>
    </xf>
    <xf numFmtId="3" fontId="40" fillId="17" borderId="49" xfId="0" applyNumberFormat="1" applyFont="1" applyFill="1" applyBorder="1" applyAlignment="1">
      <alignment horizontal="center" vertical="center"/>
    </xf>
    <xf numFmtId="3" fontId="40" fillId="17" borderId="46" xfId="0" applyNumberFormat="1" applyFont="1" applyFill="1" applyBorder="1" applyAlignment="1">
      <alignment horizontal="center" vertical="center"/>
    </xf>
    <xf numFmtId="3" fontId="40" fillId="12" borderId="3" xfId="0" applyNumberFormat="1" applyFont="1" applyFill="1" applyBorder="1" applyAlignment="1">
      <alignment horizontal="center" vertical="center"/>
    </xf>
    <xf numFmtId="3" fontId="40" fillId="11" borderId="3" xfId="0" applyNumberFormat="1" applyFont="1" applyFill="1" applyBorder="1" applyAlignment="1">
      <alignment horizontal="center" vertical="center"/>
    </xf>
    <xf numFmtId="3" fontId="40" fillId="15" borderId="3" xfId="0" applyNumberFormat="1" applyFont="1" applyFill="1" applyBorder="1" applyAlignment="1">
      <alignment horizontal="center" vertical="center"/>
    </xf>
    <xf numFmtId="3" fontId="40" fillId="10" borderId="46" xfId="0" applyNumberFormat="1" applyFont="1" applyFill="1" applyBorder="1" applyAlignment="1">
      <alignment horizontal="center" vertical="center"/>
    </xf>
    <xf numFmtId="3" fontId="40" fillId="14" borderId="31" xfId="0" applyNumberFormat="1" applyFont="1" applyFill="1" applyBorder="1" applyAlignment="1">
      <alignment horizontal="center" vertical="center"/>
    </xf>
    <xf numFmtId="3" fontId="40" fillId="17" borderId="1" xfId="0" applyNumberFormat="1" applyFont="1" applyFill="1" applyBorder="1" applyAlignment="1">
      <alignment horizontal="center" vertical="center"/>
    </xf>
    <xf numFmtId="3" fontId="40" fillId="13" borderId="1" xfId="0" applyNumberFormat="1" applyFont="1" applyFill="1" applyBorder="1" applyAlignment="1">
      <alignment horizontal="center" vertical="center"/>
    </xf>
    <xf numFmtId="3" fontId="40" fillId="16" borderId="1" xfId="0" applyNumberFormat="1" applyFont="1" applyFill="1" applyBorder="1" applyAlignment="1">
      <alignment horizontal="center" vertical="center"/>
    </xf>
    <xf numFmtId="3" fontId="40" fillId="11" borderId="1" xfId="0" applyNumberFormat="1" applyFont="1" applyFill="1" applyBorder="1" applyAlignment="1">
      <alignment horizontal="center" vertical="center"/>
    </xf>
    <xf numFmtId="3" fontId="40" fillId="15" borderId="1" xfId="0" applyNumberFormat="1" applyFont="1" applyFill="1" applyBorder="1" applyAlignment="1">
      <alignment horizontal="center" vertical="center"/>
    </xf>
    <xf numFmtId="3" fontId="40" fillId="10" borderId="1" xfId="0" applyNumberFormat="1" applyFont="1" applyFill="1" applyBorder="1" applyAlignment="1">
      <alignment horizontal="center" vertical="center"/>
    </xf>
    <xf numFmtId="3" fontId="40" fillId="14" borderId="1" xfId="0" applyNumberFormat="1" applyFont="1" applyFill="1" applyBorder="1" applyAlignment="1">
      <alignment horizontal="center" vertical="center"/>
    </xf>
    <xf numFmtId="3" fontId="43" fillId="13" borderId="1" xfId="0" applyNumberFormat="1" applyFont="1" applyFill="1" applyBorder="1" applyAlignment="1">
      <alignment horizontal="center" vertical="center"/>
    </xf>
    <xf numFmtId="0" fontId="46" fillId="10" borderId="36" xfId="0" applyFont="1" applyFill="1" applyBorder="1" applyAlignment="1">
      <alignment horizontal="center" vertical="center" wrapText="1"/>
    </xf>
    <xf numFmtId="0" fontId="0" fillId="10" borderId="27" xfId="0" applyFill="1" applyBorder="1" applyAlignment="1">
      <alignment horizontal="center" vertical="center"/>
    </xf>
    <xf numFmtId="3" fontId="15" fillId="0" borderId="1" xfId="0" applyNumberFormat="1" applyFont="1" applyBorder="1"/>
    <xf numFmtId="0" fontId="40" fillId="11" borderId="7" xfId="0" applyFont="1" applyFill="1" applyBorder="1" applyAlignment="1">
      <alignment horizontal="center" vertical="center"/>
    </xf>
    <xf numFmtId="0" fontId="40" fillId="11" borderId="7" xfId="0" applyFont="1" applyFill="1" applyBorder="1" applyAlignment="1">
      <alignment horizontal="center" vertical="center" wrapText="1"/>
    </xf>
    <xf numFmtId="0" fontId="40" fillId="11" borderId="6" xfId="0" applyFont="1" applyFill="1" applyBorder="1" applyAlignment="1">
      <alignment horizontal="center" vertical="center"/>
    </xf>
    <xf numFmtId="0" fontId="40" fillId="12" borderId="12" xfId="0" applyFont="1" applyFill="1" applyBorder="1" applyAlignment="1">
      <alignment horizontal="center" vertical="center" wrapText="1"/>
    </xf>
    <xf numFmtId="0" fontId="39" fillId="0" borderId="40" xfId="0" applyFont="1" applyBorder="1" applyAlignment="1">
      <alignment vertical="center" wrapText="1"/>
    </xf>
    <xf numFmtId="49" fontId="40" fillId="4" borderId="12" xfId="0" applyNumberFormat="1" applyFont="1" applyFill="1" applyBorder="1" applyAlignment="1">
      <alignment horizontal="center" vertical="center"/>
    </xf>
    <xf numFmtId="0" fontId="40" fillId="4" borderId="12" xfId="0" applyFont="1" applyFill="1" applyBorder="1" applyAlignment="1">
      <alignment horizontal="center" vertical="center"/>
    </xf>
    <xf numFmtId="0" fontId="40" fillId="4" borderId="12" xfId="0" applyFont="1" applyFill="1" applyBorder="1" applyAlignment="1">
      <alignment horizontal="center" vertical="center" wrapText="1"/>
    </xf>
    <xf numFmtId="0" fontId="46" fillId="4" borderId="12" xfId="0" applyFont="1" applyFill="1" applyBorder="1" applyAlignment="1">
      <alignment horizontal="center" vertical="center" wrapText="1"/>
    </xf>
    <xf numFmtId="0" fontId="0" fillId="4" borderId="11" xfId="0" applyFill="1" applyBorder="1" applyAlignment="1">
      <alignment horizontal="center" vertical="center"/>
    </xf>
    <xf numFmtId="0" fontId="39" fillId="0" borderId="41" xfId="0" applyFont="1" applyBorder="1" applyAlignment="1">
      <alignment vertical="center" wrapText="1"/>
    </xf>
    <xf numFmtId="3" fontId="0" fillId="0" borderId="1" xfId="0" applyNumberFormat="1" applyBorder="1"/>
    <xf numFmtId="49" fontId="40" fillId="13" borderId="7" xfId="0" applyNumberFormat="1" applyFont="1" applyFill="1" applyBorder="1" applyAlignment="1">
      <alignment horizontal="center" vertical="center"/>
    </xf>
    <xf numFmtId="0" fontId="40" fillId="13" borderId="7" xfId="0" applyFont="1" applyFill="1" applyBorder="1" applyAlignment="1">
      <alignment horizontal="center" vertical="center"/>
    </xf>
    <xf numFmtId="0" fontId="40" fillId="13" borderId="7" xfId="0" applyFont="1" applyFill="1" applyBorder="1" applyAlignment="1">
      <alignment horizontal="center" vertical="center" wrapText="1"/>
    </xf>
    <xf numFmtId="0" fontId="49" fillId="13" borderId="7" xfId="0" applyFont="1" applyFill="1" applyBorder="1" applyAlignment="1">
      <alignment vertical="center" wrapText="1"/>
    </xf>
    <xf numFmtId="0" fontId="0" fillId="13" borderId="6" xfId="0" applyFill="1" applyBorder="1" applyAlignment="1">
      <alignment horizontal="center" vertical="center" wrapText="1"/>
    </xf>
    <xf numFmtId="3" fontId="40" fillId="13" borderId="49" xfId="0" applyNumberFormat="1" applyFont="1" applyFill="1" applyBorder="1" applyAlignment="1">
      <alignment horizontal="center" vertical="center"/>
    </xf>
    <xf numFmtId="3" fontId="40" fillId="4" borderId="46" xfId="0" applyNumberFormat="1" applyFont="1" applyFill="1" applyBorder="1" applyAlignment="1">
      <alignment horizontal="center" vertical="center"/>
    </xf>
    <xf numFmtId="3" fontId="40" fillId="12" borderId="49" xfId="0" applyNumberFormat="1" applyFont="1" applyFill="1" applyBorder="1" applyAlignment="1">
      <alignment horizontal="center" vertical="center"/>
    </xf>
    <xf numFmtId="3" fontId="40" fillId="12" borderId="46" xfId="0" applyNumberFormat="1" applyFont="1" applyFill="1" applyBorder="1" applyAlignment="1">
      <alignment horizontal="center" vertical="center"/>
    </xf>
    <xf numFmtId="3" fontId="40" fillId="11" borderId="49" xfId="0" applyNumberFormat="1" applyFont="1" applyFill="1" applyBorder="1" applyAlignment="1">
      <alignment horizontal="center" vertical="center"/>
    </xf>
    <xf numFmtId="3" fontId="40" fillId="14" borderId="3" xfId="0" applyNumberFormat="1" applyFont="1" applyFill="1" applyBorder="1" applyAlignment="1">
      <alignment horizontal="center" vertical="center"/>
    </xf>
    <xf numFmtId="3" fontId="40" fillId="4" borderId="1" xfId="0" applyNumberFormat="1" applyFont="1" applyFill="1" applyBorder="1" applyAlignment="1">
      <alignment horizontal="center" vertical="center"/>
    </xf>
    <xf numFmtId="0" fontId="40" fillId="12" borderId="13" xfId="0" applyFont="1" applyFill="1" applyBorder="1" applyAlignment="1">
      <alignment horizontal="center" vertical="center" wrapText="1"/>
    </xf>
    <xf numFmtId="49" fontId="40" fillId="12" borderId="10" xfId="0" applyNumberFormat="1" applyFont="1" applyFill="1" applyBorder="1" applyAlignment="1">
      <alignment horizontal="center" vertical="center"/>
    </xf>
    <xf numFmtId="3" fontId="40" fillId="12" borderId="31" xfId="0" applyNumberFormat="1" applyFont="1" applyFill="1" applyBorder="1" applyAlignment="1">
      <alignment horizontal="center" vertical="center"/>
    </xf>
    <xf numFmtId="0" fontId="40" fillId="12" borderId="2" xfId="0" applyFont="1" applyFill="1" applyBorder="1" applyAlignment="1">
      <alignment horizontal="center" vertical="center" wrapText="1"/>
    </xf>
    <xf numFmtId="3" fontId="40" fillId="12" borderId="14" xfId="0" applyNumberFormat="1" applyFont="1" applyFill="1" applyBorder="1" applyAlignment="1">
      <alignment horizontal="center" vertical="center"/>
    </xf>
    <xf numFmtId="0" fontId="40" fillId="12" borderId="10" xfId="0" applyFont="1" applyFill="1" applyBorder="1" applyAlignment="1">
      <alignment horizontal="center" vertical="center" wrapText="1"/>
    </xf>
    <xf numFmtId="3" fontId="40" fillId="12" borderId="19" xfId="0" applyNumberFormat="1" applyFont="1" applyFill="1" applyBorder="1" applyAlignment="1">
      <alignment horizontal="center" vertical="center"/>
    </xf>
    <xf numFmtId="49" fontId="40" fillId="11" borderId="13" xfId="0" applyNumberFormat="1" applyFont="1" applyFill="1" applyBorder="1" applyAlignment="1">
      <alignment horizontal="center" vertical="center"/>
    </xf>
    <xf numFmtId="49" fontId="7" fillId="8" borderId="1" xfId="0" applyNumberFormat="1" applyFont="1" applyFill="1" applyBorder="1" applyAlignment="1">
      <alignment horizontal="center" vertical="center" wrapText="1"/>
    </xf>
    <xf numFmtId="49" fontId="7" fillId="4" borderId="7" xfId="0" applyNumberFormat="1" applyFont="1" applyFill="1" applyBorder="1" applyAlignment="1">
      <alignment horizontal="center" vertical="center" wrapText="1"/>
    </xf>
    <xf numFmtId="49" fontId="7" fillId="4" borderId="13"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8" borderId="12" xfId="0" applyNumberFormat="1" applyFont="1" applyFill="1" applyBorder="1" applyAlignment="1">
      <alignment horizontal="center" vertical="center" wrapText="1"/>
    </xf>
    <xf numFmtId="49" fontId="15" fillId="0" borderId="49" xfId="0" applyNumberFormat="1" applyFont="1" applyBorder="1" applyAlignment="1">
      <alignment vertical="center" wrapText="1"/>
    </xf>
    <xf numFmtId="49" fontId="15" fillId="0" borderId="3" xfId="0" applyNumberFormat="1" applyFont="1" applyBorder="1" applyAlignment="1">
      <alignment vertical="center" wrapText="1"/>
    </xf>
    <xf numFmtId="0" fontId="15" fillId="2" borderId="33" xfId="0" applyFont="1" applyFill="1" applyBorder="1" applyAlignment="1">
      <alignment vertical="center" wrapText="1"/>
    </xf>
    <xf numFmtId="2" fontId="32" fillId="0" borderId="0" xfId="0" applyNumberFormat="1" applyFont="1" applyAlignment="1">
      <alignment wrapText="1"/>
    </xf>
    <xf numFmtId="49" fontId="7" fillId="0" borderId="7" xfId="0" applyNumberFormat="1" applyFont="1" applyBorder="1" applyAlignment="1">
      <alignment horizontal="center" vertical="center"/>
    </xf>
    <xf numFmtId="3" fontId="7" fillId="0" borderId="7" xfId="0" applyNumberFormat="1" applyFont="1" applyBorder="1" applyAlignment="1">
      <alignment horizontal="center" vertical="center" wrapText="1"/>
    </xf>
    <xf numFmtId="49" fontId="7" fillId="0" borderId="16" xfId="0" applyNumberFormat="1" applyFont="1" applyBorder="1" applyAlignment="1">
      <alignment vertical="center" wrapText="1"/>
    </xf>
    <xf numFmtId="49" fontId="7" fillId="0" borderId="39" xfId="0" applyNumberFormat="1" applyFont="1" applyBorder="1" applyAlignment="1">
      <alignment horizontal="center" vertical="center"/>
    </xf>
    <xf numFmtId="4" fontId="7" fillId="0" borderId="12" xfId="0" applyNumberFormat="1" applyFont="1" applyBorder="1" applyAlignment="1">
      <alignment horizontal="center" vertical="center" wrapText="1"/>
    </xf>
    <xf numFmtId="49" fontId="7" fillId="0" borderId="18" xfId="0" applyNumberFormat="1" applyFont="1" applyBorder="1" applyAlignment="1">
      <alignment vertical="center" wrapText="1"/>
    </xf>
    <xf numFmtId="3" fontId="45" fillId="0" borderId="0" xfId="0" applyNumberFormat="1" applyFont="1" applyAlignment="1">
      <alignment horizontal="center" vertical="center" wrapText="1"/>
    </xf>
    <xf numFmtId="168" fontId="15" fillId="0" borderId="1" xfId="0" applyNumberFormat="1" applyFont="1" applyBorder="1" applyAlignment="1">
      <alignment horizontal="center" vertical="center" wrapText="1"/>
    </xf>
    <xf numFmtId="168" fontId="15" fillId="0" borderId="12" xfId="0" applyNumberFormat="1" applyFont="1" applyBorder="1" applyAlignment="1">
      <alignment horizontal="center" vertical="center" wrapText="1"/>
    </xf>
    <xf numFmtId="49" fontId="34" fillId="0" borderId="0" xfId="0" applyNumberFormat="1" applyFont="1" applyAlignment="1">
      <alignment vertical="center" wrapText="1"/>
    </xf>
    <xf numFmtId="3" fontId="15" fillId="0" borderId="5" xfId="0" applyNumberFormat="1" applyFont="1" applyBorder="1" applyAlignment="1">
      <alignment horizontal="center" vertical="center" wrapText="1"/>
    </xf>
    <xf numFmtId="1" fontId="15" fillId="0" borderId="5" xfId="0" applyNumberFormat="1" applyFont="1" applyBorder="1" applyAlignment="1">
      <alignment horizontal="center" vertical="center" wrapText="1"/>
    </xf>
    <xf numFmtId="49" fontId="15" fillId="0" borderId="46" xfId="0" applyNumberFormat="1" applyFont="1" applyBorder="1" applyAlignment="1">
      <alignment vertical="center" wrapText="1"/>
    </xf>
    <xf numFmtId="166" fontId="0" fillId="0" borderId="13" xfId="0" applyNumberFormat="1" applyBorder="1" applyAlignment="1">
      <alignment horizontal="center" vertical="center" wrapText="1"/>
    </xf>
    <xf numFmtId="3" fontId="12" fillId="0" borderId="2" xfId="0" applyNumberFormat="1" applyFont="1" applyBorder="1" applyAlignment="1">
      <alignment horizontal="center" vertical="center" wrapText="1"/>
    </xf>
    <xf numFmtId="49" fontId="7" fillId="2" borderId="16" xfId="0" applyNumberFormat="1" applyFont="1" applyFill="1" applyBorder="1" applyAlignment="1">
      <alignment vertical="center" wrapText="1"/>
    </xf>
    <xf numFmtId="49" fontId="7" fillId="2" borderId="0" xfId="0" applyNumberFormat="1" applyFont="1" applyFill="1" applyAlignment="1">
      <alignment vertical="top" wrapText="1"/>
    </xf>
    <xf numFmtId="2" fontId="0" fillId="0" borderId="0" xfId="0" applyNumberFormat="1" applyAlignment="1">
      <alignment vertical="top" wrapText="1"/>
    </xf>
    <xf numFmtId="49" fontId="0" fillId="0" borderId="1" xfId="0" applyNumberFormat="1" applyBorder="1" applyAlignment="1">
      <alignment vertical="center" wrapText="1"/>
    </xf>
    <xf numFmtId="49" fontId="15" fillId="0" borderId="1" xfId="0" applyNumberFormat="1" applyFont="1" applyBorder="1" applyAlignment="1">
      <alignment vertical="center" wrapText="1"/>
    </xf>
    <xf numFmtId="49" fontId="0" fillId="0" borderId="9" xfId="0" applyNumberFormat="1" applyBorder="1" applyAlignment="1">
      <alignment wrapText="1"/>
    </xf>
    <xf numFmtId="49" fontId="0" fillId="0" borderId="52" xfId="0" applyNumberFormat="1" applyBorder="1" applyAlignment="1">
      <alignment vertical="center" wrapText="1"/>
    </xf>
    <xf numFmtId="0" fontId="15" fillId="0" borderId="3" xfId="0" applyFont="1" applyBorder="1" applyAlignment="1">
      <alignment vertical="top" wrapText="1"/>
    </xf>
    <xf numFmtId="49" fontId="15" fillId="0" borderId="31" xfId="0" applyNumberFormat="1" applyFont="1" applyBorder="1" applyAlignment="1">
      <alignment vertical="center" wrapText="1"/>
    </xf>
    <xf numFmtId="0" fontId="15" fillId="0" borderId="53" xfId="0" applyFont="1" applyBorder="1" applyAlignment="1">
      <alignment vertical="top" wrapText="1"/>
    </xf>
    <xf numFmtId="49" fontId="15" fillId="0" borderId="49" xfId="0" applyNumberFormat="1" applyFont="1" applyBorder="1" applyAlignment="1">
      <alignment vertical="top" wrapText="1"/>
    </xf>
    <xf numFmtId="49" fontId="15" fillId="0" borderId="54" xfId="0" applyNumberFormat="1" applyFont="1" applyBorder="1" applyAlignment="1">
      <alignment vertical="top" wrapText="1"/>
    </xf>
    <xf numFmtId="2" fontId="54" fillId="0" borderId="1" xfId="0" applyNumberFormat="1" applyFont="1" applyBorder="1" applyAlignment="1">
      <alignment horizontal="left" vertical="center" wrapText="1"/>
    </xf>
    <xf numFmtId="2" fontId="0" fillId="0" borderId="1" xfId="0" applyNumberFormat="1" applyBorder="1" applyAlignment="1">
      <alignment vertical="top" wrapText="1"/>
    </xf>
    <xf numFmtId="2" fontId="0" fillId="0" borderId="1" xfId="0" applyNumberFormat="1" applyBorder="1" applyAlignment="1">
      <alignment wrapText="1"/>
    </xf>
    <xf numFmtId="49" fontId="15" fillId="3" borderId="1" xfId="0" applyNumberFormat="1" applyFont="1" applyFill="1" applyBorder="1" applyAlignment="1">
      <alignment horizontal="center" vertical="center" wrapText="1"/>
    </xf>
    <xf numFmtId="0" fontId="3" fillId="0" borderId="0" xfId="0" applyFont="1"/>
    <xf numFmtId="0" fontId="55" fillId="3" borderId="1" xfId="0" applyFont="1" applyFill="1" applyBorder="1" applyAlignment="1">
      <alignment horizontal="center" vertical="center"/>
    </xf>
    <xf numFmtId="0" fontId="55" fillId="3" borderId="1" xfId="0" applyFont="1" applyFill="1" applyBorder="1" applyAlignment="1">
      <alignment vertical="center"/>
    </xf>
    <xf numFmtId="0" fontId="56" fillId="3" borderId="1" xfId="0" applyFont="1" applyFill="1" applyBorder="1" applyAlignment="1">
      <alignment horizontal="center" vertical="center"/>
    </xf>
    <xf numFmtId="0" fontId="56" fillId="3" borderId="1" xfId="0" applyFont="1" applyFill="1" applyBorder="1" applyAlignment="1">
      <alignment vertical="center"/>
    </xf>
    <xf numFmtId="0" fontId="56" fillId="3" borderId="1" xfId="0" applyFont="1" applyFill="1" applyBorder="1" applyAlignment="1">
      <alignment vertical="center" wrapText="1"/>
    </xf>
    <xf numFmtId="0" fontId="56" fillId="3" borderId="1" xfId="0" applyFont="1" applyFill="1" applyBorder="1" applyAlignment="1">
      <alignment horizontal="left" vertical="center"/>
    </xf>
    <xf numFmtId="0" fontId="57" fillId="0" borderId="0" xfId="0" applyFont="1"/>
    <xf numFmtId="0" fontId="58" fillId="3" borderId="1" xfId="0" applyFont="1" applyFill="1" applyBorder="1" applyAlignment="1">
      <alignment vertical="center"/>
    </xf>
    <xf numFmtId="0" fontId="57" fillId="3" borderId="1" xfId="0" applyFont="1" applyFill="1" applyBorder="1" applyAlignment="1">
      <alignment vertical="center"/>
    </xf>
    <xf numFmtId="0" fontId="57" fillId="3" borderId="1" xfId="0" applyFont="1" applyFill="1" applyBorder="1" applyAlignment="1">
      <alignment vertical="center" wrapText="1"/>
    </xf>
    <xf numFmtId="0" fontId="57" fillId="3" borderId="1" xfId="0" applyFont="1" applyFill="1" applyBorder="1" applyAlignment="1">
      <alignment horizontal="left" vertical="center"/>
    </xf>
    <xf numFmtId="0" fontId="14" fillId="0" borderId="0" xfId="0" applyFont="1"/>
    <xf numFmtId="4" fontId="15" fillId="0" borderId="0" xfId="0" applyNumberFormat="1" applyFont="1"/>
    <xf numFmtId="2" fontId="15" fillId="3" borderId="9" xfId="0" applyNumberFormat="1" applyFont="1" applyFill="1" applyBorder="1" applyAlignment="1">
      <alignment horizontal="center" vertical="center" wrapText="1"/>
    </xf>
    <xf numFmtId="2" fontId="15" fillId="3" borderId="9" xfId="0" applyNumberFormat="1" applyFont="1" applyFill="1" applyBorder="1" applyAlignment="1">
      <alignment horizontal="center" vertical="center"/>
    </xf>
    <xf numFmtId="1" fontId="15" fillId="3" borderId="7" xfId="0" applyNumberFormat="1" applyFont="1" applyFill="1" applyBorder="1" applyAlignment="1">
      <alignment horizontal="center" vertical="center" wrapText="1"/>
    </xf>
    <xf numFmtId="1" fontId="15" fillId="3" borderId="7" xfId="0" applyNumberFormat="1" applyFont="1" applyFill="1" applyBorder="1" applyAlignment="1">
      <alignment horizontal="center" vertical="center"/>
    </xf>
    <xf numFmtId="1" fontId="15" fillId="3" borderId="2" xfId="0" applyNumberFormat="1" applyFont="1" applyFill="1" applyBorder="1" applyAlignment="1">
      <alignment horizontal="center" vertical="center" wrapText="1"/>
    </xf>
    <xf numFmtId="1" fontId="15" fillId="3" borderId="1" xfId="0" applyNumberFormat="1" applyFont="1" applyFill="1" applyBorder="1" applyAlignment="1">
      <alignment horizontal="center" vertical="center" wrapText="1"/>
    </xf>
    <xf numFmtId="1" fontId="15" fillId="3" borderId="1" xfId="0" applyNumberFormat="1" applyFont="1" applyFill="1" applyBorder="1" applyAlignment="1">
      <alignment horizontal="center" vertical="center"/>
    </xf>
    <xf numFmtId="0" fontId="32" fillId="3" borderId="1" xfId="0" applyFont="1" applyFill="1" applyBorder="1" applyAlignment="1">
      <alignment vertical="center" wrapText="1"/>
    </xf>
    <xf numFmtId="49" fontId="15" fillId="3" borderId="12" xfId="0" applyNumberFormat="1" applyFont="1" applyFill="1" applyBorder="1" applyAlignment="1">
      <alignment horizontal="center" vertical="center" wrapText="1"/>
    </xf>
    <xf numFmtId="3" fontId="14" fillId="0" borderId="0" xfId="0" applyNumberFormat="1" applyFont="1"/>
    <xf numFmtId="3" fontId="15" fillId="3" borderId="1" xfId="0" applyNumberFormat="1" applyFont="1" applyFill="1" applyBorder="1" applyAlignment="1">
      <alignment horizontal="center" vertical="center" wrapText="1"/>
    </xf>
    <xf numFmtId="49" fontId="59" fillId="0" borderId="1" xfId="0" applyNumberFormat="1" applyFont="1" applyBorder="1" applyAlignment="1">
      <alignment horizontal="center" vertical="center" wrapText="1"/>
    </xf>
    <xf numFmtId="0" fontId="32" fillId="3" borderId="1" xfId="0" applyFont="1" applyFill="1" applyBorder="1" applyAlignment="1">
      <alignment vertical="center"/>
    </xf>
    <xf numFmtId="0" fontId="32" fillId="3" borderId="1" xfId="0" applyFont="1" applyFill="1" applyBorder="1" applyAlignment="1">
      <alignment horizontal="left" vertical="center"/>
    </xf>
    <xf numFmtId="2" fontId="15" fillId="3" borderId="27" xfId="0" applyNumberFormat="1" applyFont="1" applyFill="1" applyBorder="1" applyAlignment="1">
      <alignment horizontal="center" vertical="center"/>
    </xf>
    <xf numFmtId="1" fontId="15" fillId="3" borderId="5"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49" fontId="59" fillId="3" borderId="12" xfId="0" applyNumberFormat="1" applyFont="1" applyFill="1" applyBorder="1" applyAlignment="1">
      <alignment horizontal="center" vertical="center" wrapText="1"/>
    </xf>
    <xf numFmtId="170" fontId="15" fillId="3" borderId="1" xfId="0" applyNumberFormat="1" applyFont="1" applyFill="1" applyBorder="1" applyAlignment="1">
      <alignment horizontal="center" vertical="center"/>
    </xf>
    <xf numFmtId="49" fontId="15" fillId="3" borderId="7" xfId="0" applyNumberFormat="1" applyFont="1" applyFill="1" applyBorder="1" applyAlignment="1">
      <alignment horizontal="center" vertical="center" wrapText="1"/>
    </xf>
    <xf numFmtId="0" fontId="15" fillId="3" borderId="1" xfId="0" applyFont="1" applyFill="1" applyBorder="1" applyAlignment="1">
      <alignment horizontal="center" vertical="center"/>
    </xf>
    <xf numFmtId="49" fontId="59" fillId="3" borderId="1" xfId="0" applyNumberFormat="1" applyFont="1" applyFill="1" applyBorder="1" applyAlignment="1">
      <alignment horizontal="center" vertical="center" wrapText="1"/>
    </xf>
    <xf numFmtId="0" fontId="56" fillId="3" borderId="0" xfId="0" applyFont="1" applyFill="1" applyAlignment="1">
      <alignment vertical="center" wrapText="1"/>
    </xf>
    <xf numFmtId="49" fontId="15" fillId="3" borderId="7" xfId="0" applyNumberFormat="1" applyFont="1" applyFill="1" applyBorder="1" applyAlignment="1">
      <alignment horizontal="center" vertical="center"/>
    </xf>
    <xf numFmtId="0" fontId="28" fillId="3" borderId="1" xfId="0" applyFont="1" applyFill="1" applyBorder="1" applyAlignment="1">
      <alignment vertical="center" wrapText="1"/>
    </xf>
    <xf numFmtId="0" fontId="62" fillId="3" borderId="1" xfId="0" applyFont="1" applyFill="1" applyBorder="1" applyAlignment="1">
      <alignment vertical="center"/>
    </xf>
    <xf numFmtId="0" fontId="63" fillId="3" borderId="1" xfId="0" applyFont="1" applyFill="1" applyBorder="1" applyAlignment="1">
      <alignment vertical="center"/>
    </xf>
    <xf numFmtId="0" fontId="63" fillId="3" borderId="1" xfId="0" applyFont="1" applyFill="1" applyBorder="1" applyAlignment="1">
      <alignment vertical="center" wrapText="1"/>
    </xf>
    <xf numFmtId="0" fontId="63" fillId="3" borderId="1" xfId="0" applyFont="1" applyFill="1" applyBorder="1" applyAlignment="1">
      <alignment horizontal="left" vertical="center"/>
    </xf>
    <xf numFmtId="4" fontId="15" fillId="3" borderId="13" xfId="0" applyNumberFormat="1" applyFont="1" applyFill="1" applyBorder="1" applyAlignment="1">
      <alignment horizontal="center" vertical="center" wrapText="1"/>
    </xf>
    <xf numFmtId="4" fontId="15" fillId="3" borderId="1" xfId="0" applyNumberFormat="1" applyFont="1" applyFill="1" applyBorder="1" applyAlignment="1">
      <alignment horizontal="center" vertical="center" wrapText="1"/>
    </xf>
    <xf numFmtId="49" fontId="64" fillId="0" borderId="2" xfId="0" applyNumberFormat="1" applyFont="1" applyBorder="1" applyAlignment="1">
      <alignment horizontal="left" vertical="center" wrapText="1"/>
    </xf>
    <xf numFmtId="0" fontId="57" fillId="3" borderId="2" xfId="0" applyFont="1" applyFill="1" applyBorder="1" applyAlignment="1">
      <alignment vertical="center"/>
    </xf>
    <xf numFmtId="0" fontId="28" fillId="3" borderId="13" xfId="0" applyFont="1" applyFill="1" applyBorder="1" applyAlignment="1">
      <alignment vertical="center" wrapText="1"/>
    </xf>
    <xf numFmtId="0" fontId="57" fillId="3" borderId="2" xfId="0" applyFont="1" applyFill="1" applyBorder="1" applyAlignment="1">
      <alignment vertical="center" wrapText="1"/>
    </xf>
    <xf numFmtId="3" fontId="15" fillId="3" borderId="7" xfId="0" applyNumberFormat="1" applyFont="1" applyFill="1" applyBorder="1" applyAlignment="1">
      <alignment horizontal="center" vertical="center" wrapText="1"/>
    </xf>
    <xf numFmtId="3" fontId="15" fillId="3" borderId="12" xfId="0" applyNumberFormat="1" applyFont="1" applyFill="1" applyBorder="1" applyAlignment="1">
      <alignment horizontal="center" vertical="center" wrapText="1"/>
    </xf>
    <xf numFmtId="0" fontId="0" fillId="0" borderId="0" xfId="0" applyAlignment="1">
      <alignment vertical="center"/>
    </xf>
    <xf numFmtId="0" fontId="0" fillId="3" borderId="0" xfId="0" applyFill="1" applyAlignment="1">
      <alignment vertical="center"/>
    </xf>
    <xf numFmtId="0" fontId="14" fillId="0" borderId="2" xfId="0" applyFont="1" applyBorder="1" applyAlignment="1">
      <alignment horizontal="center" vertical="center"/>
    </xf>
    <xf numFmtId="164" fontId="15" fillId="3" borderId="1" xfId="0" applyNumberFormat="1" applyFont="1" applyFill="1" applyBorder="1" applyAlignment="1">
      <alignment horizontal="center" vertical="center" wrapText="1"/>
    </xf>
    <xf numFmtId="170" fontId="15" fillId="3" borderId="1" xfId="0" applyNumberFormat="1" applyFont="1" applyFill="1" applyBorder="1" applyAlignment="1">
      <alignment horizontal="center" vertical="center" wrapText="1"/>
    </xf>
    <xf numFmtId="3" fontId="15" fillId="3" borderId="1" xfId="0" applyNumberFormat="1" applyFont="1" applyFill="1" applyBorder="1" applyAlignment="1">
      <alignment horizontal="center" vertical="center"/>
    </xf>
    <xf numFmtId="0" fontId="59" fillId="3" borderId="1" xfId="0" applyFont="1" applyFill="1" applyBorder="1" applyAlignment="1">
      <alignment horizontal="center" vertical="center"/>
    </xf>
    <xf numFmtId="0" fontId="59" fillId="3" borderId="12" xfId="0" applyFont="1" applyFill="1" applyBorder="1" applyAlignment="1">
      <alignment horizontal="center" vertical="center"/>
    </xf>
    <xf numFmtId="0" fontId="15" fillId="3" borderId="12" xfId="0" applyFont="1" applyFill="1" applyBorder="1" applyAlignment="1">
      <alignment horizontal="center" vertical="center" wrapText="1"/>
    </xf>
    <xf numFmtId="0" fontId="0" fillId="3" borderId="0" xfId="0" applyFill="1"/>
    <xf numFmtId="2" fontId="15" fillId="3" borderId="1" xfId="0" applyNumberFormat="1" applyFont="1" applyFill="1" applyBorder="1" applyAlignment="1">
      <alignment horizontal="center" vertical="center" wrapText="1"/>
    </xf>
    <xf numFmtId="49" fontId="52" fillId="0" borderId="1" xfId="0" applyNumberFormat="1" applyFont="1" applyBorder="1" applyAlignment="1">
      <alignment horizontal="left" vertical="center" wrapText="1"/>
    </xf>
    <xf numFmtId="0" fontId="0" fillId="0" borderId="53" xfId="0" applyBorder="1" applyAlignment="1">
      <alignment wrapText="1"/>
    </xf>
    <xf numFmtId="0" fontId="14" fillId="0" borderId="15" xfId="0" applyFont="1" applyBorder="1" applyAlignment="1">
      <alignment vertical="top" wrapText="1"/>
    </xf>
    <xf numFmtId="0" fontId="14" fillId="0" borderId="14" xfId="0" applyFont="1" applyBorder="1" applyAlignment="1">
      <alignment vertical="top" wrapText="1"/>
    </xf>
    <xf numFmtId="0" fontId="26" fillId="0" borderId="14" xfId="0" applyFont="1" applyBorder="1" applyAlignment="1">
      <alignment vertical="top" wrapText="1"/>
    </xf>
    <xf numFmtId="0" fontId="14" fillId="0" borderId="2" xfId="0" applyFont="1" applyBorder="1" applyAlignment="1">
      <alignment vertical="top" wrapText="1"/>
    </xf>
    <xf numFmtId="0" fontId="14" fillId="0" borderId="2" xfId="0" applyFont="1" applyBorder="1" applyAlignment="1">
      <alignment vertical="top"/>
    </xf>
    <xf numFmtId="49" fontId="52" fillId="0" borderId="0" xfId="0" applyNumberFormat="1" applyFont="1"/>
    <xf numFmtId="0" fontId="52" fillId="0" borderId="0" xfId="0" applyFont="1"/>
    <xf numFmtId="49" fontId="15" fillId="3" borderId="1" xfId="0" applyNumberFormat="1" applyFont="1" applyFill="1" applyBorder="1" applyAlignment="1">
      <alignment horizontal="left" vertical="center" wrapText="1"/>
    </xf>
    <xf numFmtId="0" fontId="0" fillId="3" borderId="1" xfId="0" applyFill="1" applyBorder="1" applyAlignment="1">
      <alignment vertical="center" wrapText="1"/>
    </xf>
    <xf numFmtId="4" fontId="15" fillId="3" borderId="1" xfId="0" applyNumberFormat="1" applyFont="1" applyFill="1" applyBorder="1" applyAlignment="1">
      <alignment horizontal="left" vertical="center" wrapText="1"/>
    </xf>
    <xf numFmtId="49" fontId="26" fillId="0" borderId="1" xfId="0" applyNumberFormat="1" applyFont="1" applyBorder="1" applyAlignment="1">
      <alignment horizontal="left" vertical="center" wrapText="1"/>
    </xf>
    <xf numFmtId="0" fontId="15" fillId="3" borderId="1" xfId="0" applyFont="1" applyFill="1" applyBorder="1" applyAlignment="1">
      <alignment vertical="center" wrapText="1"/>
    </xf>
    <xf numFmtId="49" fontId="15" fillId="3" borderId="1" xfId="0" applyNumberFormat="1" applyFont="1" applyFill="1" applyBorder="1" applyAlignment="1">
      <alignment horizontal="left" vertical="top" wrapText="1"/>
    </xf>
    <xf numFmtId="49" fontId="26" fillId="3" borderId="1" xfId="0" applyNumberFormat="1" applyFont="1" applyFill="1" applyBorder="1" applyAlignment="1">
      <alignment horizontal="left" vertical="top" wrapText="1"/>
    </xf>
    <xf numFmtId="2" fontId="59" fillId="3" borderId="1" xfId="0" applyNumberFormat="1" applyFont="1" applyFill="1" applyBorder="1" applyAlignment="1">
      <alignment horizontal="left" vertical="center" wrapText="1"/>
    </xf>
    <xf numFmtId="2" fontId="15" fillId="0" borderId="1" xfId="0" applyNumberFormat="1" applyFont="1" applyBorder="1" applyAlignment="1">
      <alignment vertical="center" wrapText="1"/>
    </xf>
    <xf numFmtId="49" fontId="69" fillId="3" borderId="1" xfId="0" applyNumberFormat="1" applyFont="1" applyFill="1" applyBorder="1" applyAlignment="1">
      <alignment horizontal="left" vertical="center" wrapText="1"/>
    </xf>
    <xf numFmtId="0" fontId="0" fillId="3" borderId="1" xfId="0" applyFill="1" applyBorder="1"/>
    <xf numFmtId="3" fontId="26" fillId="0" borderId="0" xfId="0" applyNumberFormat="1" applyFont="1"/>
    <xf numFmtId="0" fontId="26" fillId="0" borderId="55" xfId="0" applyFont="1" applyBorder="1" applyAlignment="1">
      <alignment vertical="center" wrapText="1"/>
    </xf>
    <xf numFmtId="0" fontId="26" fillId="0" borderId="56" xfId="0" applyFont="1" applyBorder="1" applyAlignment="1">
      <alignment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2" fontId="0" fillId="3" borderId="6" xfId="0" applyNumberFormat="1" applyFill="1" applyBorder="1" applyAlignment="1">
      <alignment horizontal="center" vertical="center"/>
    </xf>
    <xf numFmtId="1" fontId="0" fillId="3" borderId="7" xfId="0" applyNumberFormat="1" applyFill="1" applyBorder="1" applyAlignment="1">
      <alignment horizontal="center" vertical="center" wrapText="1"/>
    </xf>
    <xf numFmtId="1" fontId="0" fillId="3" borderId="7" xfId="0" applyNumberFormat="1" applyFill="1" applyBorder="1" applyAlignment="1">
      <alignment horizontal="center" vertical="center"/>
    </xf>
    <xf numFmtId="1" fontId="0" fillId="3" borderId="16" xfId="0" applyNumberFormat="1" applyFill="1" applyBorder="1" applyAlignment="1">
      <alignment horizontal="center" vertical="center"/>
    </xf>
    <xf numFmtId="0" fontId="0" fillId="3" borderId="0" xfId="0" applyFill="1" applyAlignment="1">
      <alignment wrapText="1"/>
    </xf>
    <xf numFmtId="2" fontId="0" fillId="3" borderId="9" xfId="0" applyNumberFormat="1" applyFill="1" applyBorder="1" applyAlignment="1">
      <alignment horizontal="center" vertical="center" wrapText="1"/>
    </xf>
    <xf numFmtId="1" fontId="0" fillId="3" borderId="1" xfId="0" applyNumberFormat="1" applyFill="1" applyBorder="1" applyAlignment="1">
      <alignment horizontal="center" vertical="center" wrapText="1"/>
    </xf>
    <xf numFmtId="3" fontId="0" fillId="3" borderId="1" xfId="0" applyNumberFormat="1" applyFill="1" applyBorder="1" applyAlignment="1">
      <alignment horizontal="center" vertical="center" wrapText="1"/>
    </xf>
    <xf numFmtId="1" fontId="0" fillId="3" borderId="1" xfId="0" applyNumberFormat="1" applyFill="1" applyBorder="1" applyAlignment="1">
      <alignment horizontal="center" vertical="center"/>
    </xf>
    <xf numFmtId="3" fontId="0" fillId="3" borderId="17" xfId="0" applyNumberFormat="1" applyFill="1" applyBorder="1" applyAlignment="1">
      <alignment horizontal="center" vertical="center"/>
    </xf>
    <xf numFmtId="1" fontId="0" fillId="0" borderId="1" xfId="0" applyNumberFormat="1" applyBorder="1" applyAlignment="1">
      <alignment horizontal="center" vertical="center"/>
    </xf>
    <xf numFmtId="1" fontId="0" fillId="3" borderId="17" xfId="0" applyNumberFormat="1" applyFill="1" applyBorder="1" applyAlignment="1">
      <alignment horizontal="center" vertical="center"/>
    </xf>
    <xf numFmtId="2" fontId="0" fillId="3" borderId="1" xfId="0" applyNumberFormat="1" applyFill="1" applyBorder="1" applyAlignment="1">
      <alignment horizontal="center" vertical="center"/>
    </xf>
    <xf numFmtId="4" fontId="0" fillId="3" borderId="1" xfId="0" applyNumberFormat="1" applyFill="1" applyBorder="1" applyAlignment="1">
      <alignment horizontal="center" vertical="center"/>
    </xf>
    <xf numFmtId="2" fontId="0" fillId="3" borderId="1" xfId="0" applyNumberFormat="1" applyFill="1" applyBorder="1" applyAlignment="1">
      <alignment horizontal="center" vertical="center" wrapText="1"/>
    </xf>
    <xf numFmtId="3" fontId="0" fillId="3" borderId="1" xfId="0" applyNumberFormat="1" applyFill="1" applyBorder="1" applyAlignment="1">
      <alignment horizontal="center" vertical="center"/>
    </xf>
    <xf numFmtId="1" fontId="0" fillId="3" borderId="5" xfId="0" applyNumberFormat="1" applyFill="1" applyBorder="1" applyAlignment="1">
      <alignment horizontal="center" vertical="center"/>
    </xf>
    <xf numFmtId="1" fontId="0" fillId="3" borderId="43" xfId="0" applyNumberFormat="1" applyFill="1" applyBorder="1" applyAlignment="1">
      <alignment horizontal="center" vertical="center"/>
    </xf>
    <xf numFmtId="2" fontId="0" fillId="0" borderId="0" xfId="0" applyNumberFormat="1"/>
    <xf numFmtId="0" fontId="59" fillId="0" borderId="1" xfId="0" applyFont="1" applyBorder="1" applyAlignment="1">
      <alignment horizontal="left" vertical="center" wrapText="1"/>
    </xf>
    <xf numFmtId="3" fontId="15" fillId="3" borderId="13" xfId="0" applyNumberFormat="1" applyFont="1" applyFill="1" applyBorder="1" applyAlignment="1">
      <alignment horizontal="center" vertical="center" wrapText="1"/>
    </xf>
    <xf numFmtId="49" fontId="15" fillId="3" borderId="13" xfId="0" applyNumberFormat="1" applyFont="1" applyFill="1" applyBorder="1" applyAlignment="1">
      <alignment horizontal="center" vertical="center" wrapText="1"/>
    </xf>
    <xf numFmtId="49" fontId="15" fillId="3" borderId="13" xfId="0" applyNumberFormat="1" applyFont="1" applyFill="1" applyBorder="1" applyAlignment="1">
      <alignment horizontal="center" vertical="center"/>
    </xf>
    <xf numFmtId="49" fontId="15" fillId="3" borderId="8" xfId="0" applyNumberFormat="1" applyFont="1" applyFill="1" applyBorder="1" applyAlignment="1">
      <alignment vertical="center" wrapText="1"/>
    </xf>
    <xf numFmtId="49" fontId="15" fillId="3" borderId="10" xfId="0" applyNumberFormat="1" applyFont="1" applyFill="1" applyBorder="1" applyAlignment="1">
      <alignment vertical="center" wrapText="1"/>
    </xf>
    <xf numFmtId="0" fontId="15" fillId="3" borderId="1" xfId="0" applyFont="1" applyFill="1" applyBorder="1" applyAlignment="1">
      <alignment horizontal="left"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0" xfId="0" applyFont="1" applyAlignment="1">
      <alignment horizontal="center" vertical="center" wrapText="1"/>
    </xf>
    <xf numFmtId="0" fontId="2" fillId="0" borderId="28"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6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xf numFmtId="0" fontId="2" fillId="0" borderId="13" xfId="0" applyFont="1" applyBorder="1"/>
    <xf numFmtId="0" fontId="2" fillId="0" borderId="10" xfId="0" applyFont="1" applyBorder="1"/>
    <xf numFmtId="4" fontId="2" fillId="5" borderId="1" xfId="0" applyNumberFormat="1" applyFont="1" applyFill="1" applyBorder="1"/>
    <xf numFmtId="4" fontId="2" fillId="0" borderId="1" xfId="0" applyNumberFormat="1" applyFont="1" applyBorder="1"/>
    <xf numFmtId="0" fontId="2" fillId="3" borderId="1" xfId="0" applyFont="1" applyFill="1" applyBorder="1" applyAlignment="1">
      <alignment vertical="center"/>
    </xf>
    <xf numFmtId="0" fontId="2" fillId="3" borderId="1" xfId="0" applyFont="1" applyFill="1" applyBorder="1"/>
    <xf numFmtId="3" fontId="0" fillId="0" borderId="0" xfId="0" applyNumberFormat="1" applyAlignment="1">
      <alignment vertical="center"/>
    </xf>
    <xf numFmtId="4" fontId="15" fillId="2" borderId="13" xfId="0" applyNumberFormat="1"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3" fontId="26" fillId="2" borderId="1" xfId="0" applyNumberFormat="1" applyFont="1" applyFill="1" applyBorder="1" applyAlignment="1">
      <alignment horizontal="center" vertical="center" wrapText="1"/>
    </xf>
    <xf numFmtId="49" fontId="59" fillId="2" borderId="12" xfId="0" applyNumberFormat="1" applyFont="1" applyFill="1" applyBorder="1" applyAlignment="1">
      <alignment horizontal="center" vertical="center" wrapText="1"/>
    </xf>
    <xf numFmtId="3" fontId="59" fillId="2" borderId="12" xfId="0" applyNumberFormat="1" applyFont="1" applyFill="1" applyBorder="1" applyAlignment="1">
      <alignment horizontal="center" vertical="center" wrapText="1"/>
    </xf>
    <xf numFmtId="49" fontId="59" fillId="2" borderId="13" xfId="0" applyNumberFormat="1" applyFont="1" applyFill="1" applyBorder="1" applyAlignment="1">
      <alignment horizontal="center" vertical="center" wrapText="1"/>
    </xf>
    <xf numFmtId="3" fontId="59" fillId="2" borderId="13" xfId="0" applyNumberFormat="1" applyFont="1" applyFill="1" applyBorder="1" applyAlignment="1">
      <alignment horizontal="center" vertical="center" wrapText="1"/>
    </xf>
    <xf numFmtId="49" fontId="15" fillId="0" borderId="49"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3" borderId="3" xfId="0" applyNumberFormat="1" applyFont="1" applyFill="1" applyBorder="1" applyAlignment="1">
      <alignment horizontal="center" vertical="center" wrapText="1"/>
    </xf>
    <xf numFmtId="49" fontId="59" fillId="3" borderId="3" xfId="0" applyNumberFormat="1" applyFont="1" applyFill="1" applyBorder="1" applyAlignment="1">
      <alignment horizontal="center" vertical="center" wrapText="1"/>
    </xf>
    <xf numFmtId="49" fontId="59" fillId="3" borderId="46" xfId="0" applyNumberFormat="1" applyFont="1" applyFill="1" applyBorder="1" applyAlignment="1">
      <alignment horizontal="center" vertical="center" wrapText="1"/>
    </xf>
    <xf numFmtId="49" fontId="15" fillId="3" borderId="31" xfId="0" applyNumberFormat="1" applyFont="1" applyFill="1" applyBorder="1" applyAlignment="1">
      <alignment horizontal="center" vertical="center" wrapText="1"/>
    </xf>
    <xf numFmtId="49" fontId="26" fillId="2" borderId="3" xfId="0" applyNumberFormat="1" applyFont="1" applyFill="1" applyBorder="1" applyAlignment="1">
      <alignment horizontal="center" vertical="center" wrapText="1"/>
    </xf>
    <xf numFmtId="49" fontId="59" fillId="2" borderId="31" xfId="0" applyNumberFormat="1" applyFont="1" applyFill="1" applyBorder="1" applyAlignment="1">
      <alignment horizontal="center" vertical="center" wrapText="1"/>
    </xf>
    <xf numFmtId="49" fontId="59" fillId="2" borderId="46" xfId="0" applyNumberFormat="1" applyFont="1" applyFill="1" applyBorder="1" applyAlignment="1">
      <alignment horizontal="center" vertical="center" wrapText="1"/>
    </xf>
    <xf numFmtId="49" fontId="15" fillId="0" borderId="1" xfId="0" applyNumberFormat="1" applyFont="1" applyBorder="1" applyAlignment="1">
      <alignment horizontal="left" vertical="center" wrapText="1"/>
    </xf>
    <xf numFmtId="0" fontId="14" fillId="3" borderId="1" xfId="0" applyFont="1" applyFill="1" applyBorder="1" applyAlignment="1">
      <alignment vertical="center" wrapText="1"/>
    </xf>
    <xf numFmtId="4" fontId="15" fillId="0" borderId="1" xfId="0" applyNumberFormat="1" applyFont="1" applyBorder="1" applyAlignment="1">
      <alignment horizontal="left" vertical="center" wrapText="1"/>
    </xf>
    <xf numFmtId="4" fontId="26" fillId="3" borderId="1" xfId="0" applyNumberFormat="1" applyFont="1" applyFill="1" applyBorder="1" applyAlignment="1">
      <alignment horizontal="left" vertical="center" wrapText="1"/>
    </xf>
    <xf numFmtId="0" fontId="18" fillId="0" borderId="1" xfId="0" applyFont="1" applyBorder="1" applyAlignment="1">
      <alignment vertical="center" wrapText="1"/>
    </xf>
    <xf numFmtId="49" fontId="26" fillId="0" borderId="1" xfId="0" applyNumberFormat="1" applyFont="1" applyBorder="1" applyAlignment="1">
      <alignment horizontal="left" vertical="top" wrapText="1"/>
    </xf>
    <xf numFmtId="49" fontId="26" fillId="3" borderId="1" xfId="0" applyNumberFormat="1" applyFont="1" applyFill="1" applyBorder="1" applyAlignment="1">
      <alignment horizontal="left" vertical="center" wrapText="1"/>
    </xf>
    <xf numFmtId="49" fontId="14"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3" borderId="1" xfId="0" applyFont="1" applyFill="1" applyBorder="1" applyAlignment="1">
      <alignment horizontal="left" vertical="top" wrapText="1"/>
    </xf>
    <xf numFmtId="0" fontId="59" fillId="3" borderId="1" xfId="0" applyFont="1" applyFill="1" applyBorder="1" applyAlignment="1">
      <alignment horizontal="left" vertical="center" wrapText="1"/>
    </xf>
    <xf numFmtId="49" fontId="15" fillId="0" borderId="13" xfId="0" applyNumberFormat="1" applyFont="1" applyBorder="1" applyAlignment="1">
      <alignment vertical="center" wrapText="1"/>
    </xf>
    <xf numFmtId="49" fontId="26" fillId="3" borderId="13" xfId="0" applyNumberFormat="1" applyFont="1" applyFill="1" applyBorder="1" applyAlignment="1">
      <alignment vertical="center" wrapText="1"/>
    </xf>
    <xf numFmtId="49" fontId="26" fillId="0" borderId="13" xfId="0" applyNumberFormat="1" applyFont="1" applyBorder="1" applyAlignment="1">
      <alignment vertical="center" wrapText="1"/>
    </xf>
    <xf numFmtId="0" fontId="0" fillId="0" borderId="53" xfId="0" applyBorder="1" applyAlignment="1">
      <alignment vertical="center"/>
    </xf>
    <xf numFmtId="49" fontId="15" fillId="2" borderId="1" xfId="0" applyNumberFormat="1" applyFont="1" applyFill="1" applyBorder="1" applyAlignment="1">
      <alignment horizontal="left" vertical="center" wrapText="1"/>
    </xf>
    <xf numFmtId="0" fontId="15" fillId="2" borderId="1" xfId="0" applyFont="1" applyFill="1" applyBorder="1" applyAlignment="1">
      <alignment vertical="center" wrapText="1"/>
    </xf>
    <xf numFmtId="0" fontId="15" fillId="2" borderId="1" xfId="0" applyFont="1" applyFill="1" applyBorder="1" applyAlignment="1">
      <alignment horizontal="left" vertical="top" wrapText="1"/>
    </xf>
    <xf numFmtId="0" fontId="15" fillId="2" borderId="1"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70" fillId="2" borderId="1" xfId="0" applyFont="1" applyFill="1" applyBorder="1" applyAlignment="1">
      <alignment horizontal="left" vertical="center" wrapText="1"/>
    </xf>
    <xf numFmtId="0" fontId="59" fillId="0" borderId="12" xfId="0" applyFont="1" applyBorder="1" applyAlignment="1">
      <alignment horizontal="left" vertical="center" wrapText="1"/>
    </xf>
    <xf numFmtId="0" fontId="60" fillId="0" borderId="12" xfId="0" applyFont="1" applyBorder="1"/>
    <xf numFmtId="0" fontId="60" fillId="3" borderId="12" xfId="0" applyFont="1" applyFill="1" applyBorder="1"/>
    <xf numFmtId="0" fontId="59" fillId="2" borderId="12" xfId="0" applyFont="1" applyFill="1" applyBorder="1" applyAlignment="1">
      <alignment horizontal="left" vertical="center" wrapText="1"/>
    </xf>
    <xf numFmtId="49" fontId="15" fillId="0" borderId="13" xfId="0" applyNumberFormat="1" applyFont="1" applyBorder="1" applyAlignment="1">
      <alignment horizontal="left" vertical="center" wrapText="1"/>
    </xf>
    <xf numFmtId="49" fontId="15" fillId="3" borderId="13" xfId="0" applyNumberFormat="1" applyFont="1" applyFill="1" applyBorder="1" applyAlignment="1">
      <alignment horizontal="left" vertical="center" wrapText="1"/>
    </xf>
    <xf numFmtId="49" fontId="69" fillId="3" borderId="13" xfId="0" applyNumberFormat="1" applyFont="1" applyFill="1" applyBorder="1" applyAlignment="1">
      <alignment horizontal="left" vertical="center" wrapText="1"/>
    </xf>
    <xf numFmtId="49" fontId="15" fillId="2" borderId="13" xfId="0" applyNumberFormat="1" applyFont="1" applyFill="1" applyBorder="1" applyAlignment="1">
      <alignment horizontal="left" vertical="center" wrapText="1"/>
    </xf>
    <xf numFmtId="49" fontId="15" fillId="0" borderId="12" xfId="0" applyNumberFormat="1" applyFont="1" applyBorder="1" applyAlignment="1">
      <alignment vertical="center" wrapText="1"/>
    </xf>
    <xf numFmtId="2" fontId="59" fillId="3" borderId="12" xfId="0" applyNumberFormat="1" applyFont="1" applyFill="1" applyBorder="1" applyAlignment="1">
      <alignment vertical="center" wrapText="1"/>
    </xf>
    <xf numFmtId="0" fontId="7" fillId="0" borderId="13" xfId="0" applyFont="1" applyBorder="1" applyAlignment="1">
      <alignment vertical="center" wrapText="1"/>
    </xf>
    <xf numFmtId="2" fontId="15" fillId="0" borderId="12" xfId="0" applyNumberFormat="1" applyFont="1" applyBorder="1" applyAlignment="1">
      <alignment vertical="center" wrapText="1"/>
    </xf>
    <xf numFmtId="2" fontId="0" fillId="2" borderId="17" xfId="0" applyNumberFormat="1" applyFill="1" applyBorder="1" applyAlignment="1">
      <alignment horizontal="center" vertical="center"/>
    </xf>
    <xf numFmtId="2" fontId="26" fillId="2" borderId="9" xfId="0" applyNumberFormat="1" applyFont="1" applyFill="1" applyBorder="1" applyAlignment="1">
      <alignment horizontal="center" vertical="center" wrapText="1"/>
    </xf>
    <xf numFmtId="1" fontId="26" fillId="2" borderId="1" xfId="0" applyNumberFormat="1" applyFont="1" applyFill="1" applyBorder="1" applyAlignment="1">
      <alignment horizontal="center" vertical="center" wrapText="1"/>
    </xf>
    <xf numFmtId="1" fontId="26" fillId="2" borderId="1" xfId="0" applyNumberFormat="1" applyFont="1" applyFill="1" applyBorder="1" applyAlignment="1">
      <alignment horizontal="center" vertical="center"/>
    </xf>
    <xf numFmtId="1" fontId="26" fillId="2" borderId="17" xfId="0" applyNumberFormat="1" applyFont="1" applyFill="1" applyBorder="1" applyAlignment="1">
      <alignment horizontal="center" vertical="center"/>
    </xf>
    <xf numFmtId="2" fontId="60" fillId="2" borderId="9" xfId="0" applyNumberFormat="1" applyFont="1" applyFill="1" applyBorder="1" applyAlignment="1">
      <alignment horizontal="center" vertical="center" wrapText="1"/>
    </xf>
    <xf numFmtId="1" fontId="60" fillId="2" borderId="1" xfId="0" applyNumberFormat="1" applyFont="1" applyFill="1" applyBorder="1" applyAlignment="1">
      <alignment horizontal="center" vertical="center" wrapText="1"/>
    </xf>
    <xf numFmtId="1" fontId="60" fillId="2" borderId="1" xfId="0" applyNumberFormat="1" applyFont="1" applyFill="1" applyBorder="1" applyAlignment="1">
      <alignment horizontal="center" vertical="center"/>
    </xf>
    <xf numFmtId="1" fontId="59" fillId="2" borderId="1" xfId="0" applyNumberFormat="1" applyFont="1" applyFill="1" applyBorder="1" applyAlignment="1">
      <alignment horizontal="center" vertical="center"/>
    </xf>
    <xf numFmtId="1" fontId="60" fillId="2" borderId="17" xfId="0" applyNumberFormat="1" applyFont="1" applyFill="1" applyBorder="1" applyAlignment="1">
      <alignment horizontal="center" vertical="center"/>
    </xf>
    <xf numFmtId="3" fontId="0" fillId="2" borderId="17" xfId="0" applyNumberFormat="1" applyFill="1" applyBorder="1" applyAlignment="1">
      <alignment horizontal="center" vertical="center"/>
    </xf>
    <xf numFmtId="4" fontId="0" fillId="2" borderId="17" xfId="0" applyNumberFormat="1" applyFill="1" applyBorder="1" applyAlignment="1">
      <alignment horizontal="center" vertical="center"/>
    </xf>
    <xf numFmtId="3" fontId="0" fillId="2" borderId="1" xfId="0" applyNumberFormat="1" applyFill="1" applyBorder="1" applyAlignment="1">
      <alignment horizontal="center" vertical="center"/>
    </xf>
    <xf numFmtId="1" fontId="0" fillId="0" borderId="17" xfId="0" applyNumberFormat="1" applyBorder="1" applyAlignment="1">
      <alignment horizontal="center" vertical="center"/>
    </xf>
    <xf numFmtId="1" fontId="15" fillId="0" borderId="17" xfId="0" applyNumberFormat="1" applyFont="1" applyBorder="1" applyAlignment="1">
      <alignment horizontal="center" vertical="center"/>
    </xf>
    <xf numFmtId="0" fontId="59" fillId="2" borderId="12" xfId="0" applyFont="1" applyFill="1" applyBorder="1" applyAlignment="1">
      <alignment horizontal="center" vertical="center" wrapText="1"/>
    </xf>
    <xf numFmtId="49" fontId="0" fillId="2" borderId="13" xfId="0" applyNumberFormat="1" applyFill="1" applyBorder="1" applyAlignment="1">
      <alignment vertical="center" wrapText="1"/>
    </xf>
    <xf numFmtId="49" fontId="26" fillId="0" borderId="1" xfId="0" applyNumberFormat="1" applyFont="1" applyBorder="1" applyAlignment="1">
      <alignment vertical="center" wrapText="1"/>
    </xf>
    <xf numFmtId="49" fontId="26" fillId="0" borderId="1" xfId="0" applyNumberFormat="1" applyFont="1" applyBorder="1" applyAlignment="1">
      <alignment horizontal="left" vertical="center"/>
    </xf>
    <xf numFmtId="49" fontId="52" fillId="0" borderId="1" xfId="0" applyNumberFormat="1" applyFont="1" applyBorder="1" applyAlignment="1">
      <alignment horizontal="left" vertical="center"/>
    </xf>
    <xf numFmtId="0" fontId="0" fillId="0" borderId="1" xfId="0" applyBorder="1" applyAlignment="1">
      <alignment horizontal="left" vertical="center"/>
    </xf>
    <xf numFmtId="0" fontId="0" fillId="0" borderId="13" xfId="0" applyBorder="1" applyAlignment="1">
      <alignment horizontal="left" vertical="center"/>
    </xf>
    <xf numFmtId="49" fontId="52" fillId="0" borderId="12" xfId="0" applyNumberFormat="1" applyFont="1" applyBorder="1" applyAlignment="1">
      <alignment horizontal="left" vertical="center"/>
    </xf>
    <xf numFmtId="0" fontId="0" fillId="0" borderId="12" xfId="0" applyBorder="1" applyAlignment="1">
      <alignment horizontal="left" vertical="center"/>
    </xf>
    <xf numFmtId="0" fontId="0" fillId="12" borderId="25" xfId="0" applyFill="1" applyBorder="1" applyAlignment="1">
      <alignment horizontal="center" vertical="center"/>
    </xf>
    <xf numFmtId="0" fontId="0" fillId="12" borderId="21" xfId="0" applyFill="1" applyBorder="1" applyAlignment="1">
      <alignment horizontal="center" vertical="center"/>
    </xf>
    <xf numFmtId="0" fontId="0" fillId="12" borderId="27" xfId="0" applyFill="1" applyBorder="1" applyAlignment="1">
      <alignment horizontal="center" vertical="center"/>
    </xf>
    <xf numFmtId="0" fontId="0" fillId="17" borderId="6" xfId="0" applyFill="1" applyBorder="1" applyAlignment="1">
      <alignment horizontal="center" vertical="center" wrapText="1"/>
    </xf>
    <xf numFmtId="0" fontId="0" fillId="17" borderId="11" xfId="0" applyFill="1" applyBorder="1" applyAlignment="1">
      <alignment horizontal="center" vertical="center" wrapText="1"/>
    </xf>
    <xf numFmtId="0" fontId="46" fillId="17" borderId="7" xfId="0" applyFont="1" applyFill="1" applyBorder="1" applyAlignment="1">
      <alignment horizontal="center" vertical="center" wrapText="1"/>
    </xf>
    <xf numFmtId="0" fontId="46" fillId="0" borderId="12" xfId="0" applyFont="1" applyBorder="1" applyAlignment="1">
      <alignment horizontal="center" vertical="center" wrapText="1"/>
    </xf>
    <xf numFmtId="0" fontId="39" fillId="0" borderId="41" xfId="0" applyFont="1" applyBorder="1" applyAlignment="1">
      <alignment vertical="center" wrapText="1"/>
    </xf>
    <xf numFmtId="0" fontId="0" fillId="16" borderId="9" xfId="0" applyFill="1" applyBorder="1" applyAlignment="1">
      <alignment horizontal="center" vertical="center"/>
    </xf>
    <xf numFmtId="0" fontId="46" fillId="16" borderId="1" xfId="0" applyFont="1" applyFill="1" applyBorder="1" applyAlignment="1">
      <alignment horizontal="center" vertical="center" wrapText="1"/>
    </xf>
    <xf numFmtId="0" fontId="40" fillId="12" borderId="8" xfId="0" applyFont="1" applyFill="1" applyBorder="1" applyAlignment="1">
      <alignment horizontal="center" vertical="center"/>
    </xf>
    <xf numFmtId="0" fontId="40" fillId="12" borderId="5" xfId="0" applyFont="1" applyFill="1" applyBorder="1" applyAlignment="1">
      <alignment horizontal="center" vertical="center"/>
    </xf>
    <xf numFmtId="0" fontId="40" fillId="12" borderId="25" xfId="0" applyFont="1" applyFill="1" applyBorder="1" applyAlignment="1">
      <alignment horizontal="center" vertical="center"/>
    </xf>
    <xf numFmtId="0" fontId="40" fillId="12" borderId="21" xfId="0" applyFont="1" applyFill="1" applyBorder="1" applyAlignment="1">
      <alignment horizontal="center" vertical="center"/>
    </xf>
    <xf numFmtId="0" fontId="40" fillId="12" borderId="27" xfId="0" applyFont="1" applyFill="1" applyBorder="1" applyAlignment="1">
      <alignment horizontal="center" vertical="center"/>
    </xf>
    <xf numFmtId="0" fontId="46" fillId="12" borderId="30" xfId="0" applyFont="1" applyFill="1" applyBorder="1" applyAlignment="1">
      <alignment horizontal="center" vertical="center" wrapText="1"/>
    </xf>
    <xf numFmtId="0" fontId="46" fillId="12" borderId="23" xfId="0" applyFont="1" applyFill="1" applyBorder="1" applyAlignment="1">
      <alignment horizontal="center" vertical="center" wrapText="1"/>
    </xf>
    <xf numFmtId="0" fontId="46" fillId="12" borderId="43" xfId="0" applyFont="1" applyFill="1" applyBorder="1" applyAlignment="1">
      <alignment horizontal="center" vertical="center" wrapText="1"/>
    </xf>
    <xf numFmtId="0" fontId="0" fillId="11" borderId="6" xfId="0" applyFill="1" applyBorder="1" applyAlignment="1">
      <alignment horizontal="center" vertical="center"/>
    </xf>
    <xf numFmtId="0" fontId="0" fillId="11" borderId="9" xfId="0" applyFill="1" applyBorder="1" applyAlignment="1">
      <alignment horizontal="center" vertical="center"/>
    </xf>
    <xf numFmtId="0" fontId="46" fillId="11" borderId="30" xfId="0" applyFont="1" applyFill="1" applyBorder="1" applyAlignment="1">
      <alignment horizontal="center" vertical="center" wrapText="1"/>
    </xf>
    <xf numFmtId="0" fontId="46" fillId="11" borderId="23" xfId="0" applyFont="1" applyFill="1" applyBorder="1" applyAlignment="1">
      <alignment horizontal="center" vertical="center" wrapText="1"/>
    </xf>
    <xf numFmtId="0" fontId="46" fillId="11" borderId="32" xfId="0" applyFont="1" applyFill="1" applyBorder="1" applyAlignment="1">
      <alignment horizontal="center" vertical="center" wrapText="1"/>
    </xf>
    <xf numFmtId="0" fontId="40" fillId="13" borderId="2" xfId="0" applyFont="1" applyFill="1" applyBorder="1" applyAlignment="1">
      <alignment horizontal="center" vertical="center"/>
    </xf>
    <xf numFmtId="0" fontId="40" fillId="13" borderId="5" xfId="0" applyFont="1" applyFill="1" applyBorder="1" applyAlignment="1">
      <alignment horizontal="center" vertical="center"/>
    </xf>
    <xf numFmtId="49" fontId="40" fillId="13" borderId="2" xfId="0" applyNumberFormat="1" applyFont="1" applyFill="1" applyBorder="1" applyAlignment="1">
      <alignment horizontal="center" vertical="center"/>
    </xf>
    <xf numFmtId="49" fontId="40" fillId="13" borderId="5" xfId="0" applyNumberFormat="1" applyFont="1" applyFill="1" applyBorder="1" applyAlignment="1">
      <alignment horizontal="center" vertical="center"/>
    </xf>
    <xf numFmtId="3" fontId="40" fillId="13" borderId="20" xfId="0" applyNumberFormat="1" applyFont="1" applyFill="1" applyBorder="1" applyAlignment="1">
      <alignment horizontal="center" vertical="center"/>
    </xf>
    <xf numFmtId="0" fontId="40" fillId="13" borderId="43" xfId="0" applyFont="1" applyFill="1" applyBorder="1" applyAlignment="1">
      <alignment horizontal="center" vertical="center"/>
    </xf>
    <xf numFmtId="0" fontId="0" fillId="15" borderId="15" xfId="0" applyFill="1"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46" fillId="15" borderId="14" xfId="0" applyFont="1" applyFill="1" applyBorder="1" applyAlignment="1">
      <alignment horizontal="center" vertical="center" wrapText="1"/>
    </xf>
    <xf numFmtId="0" fontId="0" fillId="15" borderId="19" xfId="0" applyFill="1" applyBorder="1" applyAlignment="1">
      <alignment horizontal="center" vertical="center" wrapText="1"/>
    </xf>
    <xf numFmtId="0" fontId="0" fillId="15" borderId="31" xfId="0" applyFill="1" applyBorder="1" applyAlignment="1">
      <alignment horizontal="center" vertical="center" wrapText="1"/>
    </xf>
    <xf numFmtId="0" fontId="0" fillId="13" borderId="2" xfId="0" applyFill="1" applyBorder="1" applyAlignment="1">
      <alignment horizontal="center" vertical="center"/>
    </xf>
    <xf numFmtId="0" fontId="0" fillId="13" borderId="13" xfId="0" applyFill="1" applyBorder="1" applyAlignment="1">
      <alignment horizontal="center" vertical="center"/>
    </xf>
    <xf numFmtId="0" fontId="46" fillId="14" borderId="30" xfId="0" applyFont="1" applyFill="1" applyBorder="1" applyAlignment="1">
      <alignment horizontal="center" vertical="center" wrapText="1"/>
    </xf>
    <xf numFmtId="0" fontId="46" fillId="14" borderId="32" xfId="0" applyFont="1" applyFill="1" applyBorder="1" applyAlignment="1">
      <alignment horizontal="center" vertical="center" wrapText="1"/>
    </xf>
    <xf numFmtId="0" fontId="46" fillId="13" borderId="20" xfId="0" applyFont="1" applyFill="1" applyBorder="1" applyAlignment="1">
      <alignment horizontal="center" vertical="center" wrapText="1"/>
    </xf>
    <xf numFmtId="0" fontId="46" fillId="13" borderId="32" xfId="0" applyFont="1" applyFill="1" applyBorder="1" applyAlignment="1">
      <alignment horizontal="center" vertical="center" wrapText="1"/>
    </xf>
    <xf numFmtId="0" fontId="41" fillId="0" borderId="3" xfId="0" applyFont="1" applyBorder="1" applyAlignment="1">
      <alignment horizontal="left" vertical="center"/>
    </xf>
    <xf numFmtId="0" fontId="0" fillId="0" borderId="41" xfId="0" applyBorder="1" applyAlignment="1">
      <alignment horizontal="left" vertical="center"/>
    </xf>
    <xf numFmtId="0" fontId="0" fillId="0" borderId="4" xfId="0" applyBorder="1" applyAlignment="1">
      <alignment horizontal="left" vertical="center"/>
    </xf>
    <xf numFmtId="0" fontId="40" fillId="12" borderId="10" xfId="0" applyFont="1" applyFill="1" applyBorder="1" applyAlignment="1">
      <alignment horizontal="center" vertical="center"/>
    </xf>
    <xf numFmtId="49" fontId="40" fillId="12" borderId="2" xfId="0" applyNumberFormat="1" applyFont="1" applyFill="1" applyBorder="1" applyAlignment="1">
      <alignment horizontal="center" vertical="center"/>
    </xf>
    <xf numFmtId="49" fontId="40" fillId="12" borderId="13" xfId="0" applyNumberFormat="1" applyFont="1" applyFill="1" applyBorder="1" applyAlignment="1">
      <alignment horizontal="center" vertical="center"/>
    </xf>
    <xf numFmtId="49" fontId="40" fillId="12" borderId="1" xfId="0" applyNumberFormat="1" applyFont="1" applyFill="1" applyBorder="1" applyAlignment="1">
      <alignment horizontal="center" vertical="center"/>
    </xf>
    <xf numFmtId="3" fontId="48" fillId="0" borderId="33" xfId="0" applyNumberFormat="1" applyFont="1" applyBorder="1" applyAlignment="1">
      <alignment horizontal="center" vertical="center"/>
    </xf>
    <xf numFmtId="3" fontId="48" fillId="0" borderId="0" xfId="0" applyNumberFormat="1" applyFont="1" applyAlignment="1">
      <alignment horizontal="center" vertical="center"/>
    </xf>
    <xf numFmtId="0" fontId="41" fillId="0" borderId="3" xfId="0" applyFont="1" applyBorder="1" applyAlignment="1">
      <alignment horizontal="left" vertical="center" wrapText="1"/>
    </xf>
    <xf numFmtId="0" fontId="0" fillId="0" borderId="41" xfId="0" applyBorder="1" applyAlignment="1">
      <alignment horizontal="left" vertical="center" wrapText="1"/>
    </xf>
    <xf numFmtId="0" fontId="0" fillId="0" borderId="4" xfId="0" applyBorder="1" applyAlignment="1">
      <alignment horizontal="left" vertical="center" wrapText="1"/>
    </xf>
    <xf numFmtId="4" fontId="42" fillId="0" borderId="48" xfId="0" applyNumberFormat="1" applyFont="1" applyBorder="1" applyAlignment="1">
      <alignment horizontal="center" vertical="center" wrapText="1"/>
    </xf>
    <xf numFmtId="4" fontId="42" fillId="0" borderId="47" xfId="0" applyNumberFormat="1" applyFont="1" applyBorder="1" applyAlignment="1">
      <alignment horizontal="center" vertical="center" wrapText="1"/>
    </xf>
    <xf numFmtId="4" fontId="42" fillId="0" borderId="45" xfId="0" applyNumberFormat="1" applyFont="1" applyBorder="1" applyAlignment="1">
      <alignment horizontal="center" vertical="center" wrapText="1"/>
    </xf>
    <xf numFmtId="0" fontId="39" fillId="0" borderId="50" xfId="0" applyFont="1" applyBorder="1" applyAlignment="1">
      <alignment horizontal="left" vertical="center" wrapText="1"/>
    </xf>
    <xf numFmtId="0" fontId="39" fillId="0" borderId="51" xfId="0" applyFont="1" applyBorder="1" applyAlignment="1">
      <alignment horizontal="left" vertical="center" wrapText="1"/>
    </xf>
    <xf numFmtId="0" fontId="39" fillId="0" borderId="4" xfId="0" applyFont="1" applyBorder="1" applyAlignment="1">
      <alignment horizontal="left" wrapText="1"/>
    </xf>
    <xf numFmtId="0" fontId="40" fillId="13" borderId="15" xfId="0" applyFont="1" applyFill="1" applyBorder="1" applyAlignment="1">
      <alignment horizontal="center" vertical="center"/>
    </xf>
    <xf numFmtId="0" fontId="40" fillId="13" borderId="27" xfId="0" applyFont="1" applyFill="1" applyBorder="1" applyAlignment="1">
      <alignment horizontal="center" vertical="center"/>
    </xf>
    <xf numFmtId="0" fontId="40" fillId="13" borderId="2" xfId="0" applyFont="1" applyFill="1" applyBorder="1" applyAlignment="1">
      <alignment horizontal="center" vertical="center" wrapText="1"/>
    </xf>
    <xf numFmtId="0" fontId="40" fillId="13" borderId="5" xfId="0" applyFont="1" applyFill="1" applyBorder="1" applyAlignment="1">
      <alignment horizontal="center" vertical="center" wrapText="1"/>
    </xf>
    <xf numFmtId="0" fontId="39" fillId="0" borderId="4" xfId="0" applyFont="1" applyBorder="1" applyAlignment="1">
      <alignment horizontal="left" vertical="center" wrapText="1"/>
    </xf>
    <xf numFmtId="3" fontId="47" fillId="0" borderId="33" xfId="0" applyNumberFormat="1" applyFont="1" applyBorder="1" applyAlignment="1">
      <alignment horizontal="center" vertical="center" wrapText="1"/>
    </xf>
    <xf numFmtId="14" fontId="0" fillId="0" borderId="33" xfId="0" applyNumberFormat="1" applyBorder="1" applyAlignment="1">
      <alignment horizontal="center"/>
    </xf>
    <xf numFmtId="0" fontId="0" fillId="0" borderId="0" xfId="0" applyAlignment="1">
      <alignment horizontal="center"/>
    </xf>
    <xf numFmtId="14" fontId="15" fillId="0" borderId="33" xfId="0" applyNumberFormat="1" applyFont="1" applyBorder="1" applyAlignment="1">
      <alignment horizontal="center" vertical="center"/>
    </xf>
    <xf numFmtId="0" fontId="15" fillId="0" borderId="0" xfId="0" applyFont="1" applyAlignment="1">
      <alignment horizontal="center" vertical="center"/>
    </xf>
    <xf numFmtId="4" fontId="0" fillId="0" borderId="25" xfId="0" applyNumberFormat="1" applyBorder="1" applyAlignment="1">
      <alignment horizontal="center" vertical="center" wrapText="1"/>
    </xf>
    <xf numFmtId="4" fontId="0" fillId="0" borderId="26" xfId="0" applyNumberFormat="1" applyBorder="1" applyAlignment="1">
      <alignment horizontal="center" vertical="center" wrapText="1"/>
    </xf>
    <xf numFmtId="4" fontId="0" fillId="0" borderId="7" xfId="0" applyNumberFormat="1" applyBorder="1" applyAlignment="1">
      <alignment horizontal="center" vertical="center" wrapText="1"/>
    </xf>
    <xf numFmtId="4" fontId="0" fillId="0" borderId="1" xfId="0" applyNumberFormat="1" applyBorder="1" applyAlignment="1">
      <alignment horizontal="center" vertical="center" wrapText="1"/>
    </xf>
    <xf numFmtId="49" fontId="0" fillId="0" borderId="35" xfId="0" applyNumberFormat="1" applyBorder="1" applyAlignment="1">
      <alignment horizontal="center" vertical="center" wrapText="1"/>
    </xf>
    <xf numFmtId="49" fontId="0" fillId="0" borderId="33" xfId="0" applyNumberFormat="1" applyBorder="1" applyAlignment="1">
      <alignment horizontal="center" vertical="center" wrapText="1"/>
    </xf>
    <xf numFmtId="49" fontId="0" fillId="0" borderId="42" xfId="0" applyNumberFormat="1" applyBorder="1" applyAlignment="1">
      <alignment horizontal="center" vertical="center" wrapText="1"/>
    </xf>
    <xf numFmtId="4" fontId="0" fillId="0" borderId="8" xfId="0" applyNumberFormat="1" applyBorder="1" applyAlignment="1">
      <alignment horizontal="center" vertical="center"/>
    </xf>
    <xf numFmtId="4" fontId="0" fillId="0" borderId="13" xfId="0" applyNumberFormat="1" applyBorder="1" applyAlignment="1">
      <alignment horizontal="center" vertical="center"/>
    </xf>
    <xf numFmtId="49" fontId="0" fillId="0" borderId="8" xfId="0" applyNumberFormat="1" applyBorder="1" applyAlignment="1">
      <alignment horizontal="center" vertical="center" wrapText="1"/>
    </xf>
    <xf numFmtId="49" fontId="0" fillId="0" borderId="10" xfId="0" applyNumberFormat="1" applyBorder="1" applyAlignment="1">
      <alignment horizontal="center" vertical="center" wrapText="1"/>
    </xf>
    <xf numFmtId="49" fontId="0" fillId="0" borderId="5" xfId="0" applyNumberFormat="1" applyBorder="1" applyAlignment="1">
      <alignment horizontal="center" vertical="center" wrapText="1"/>
    </xf>
    <xf numFmtId="4" fontId="0" fillId="0" borderId="8" xfId="0" applyNumberFormat="1" applyBorder="1" applyAlignment="1">
      <alignment horizontal="center" vertical="center" wrapText="1"/>
    </xf>
    <xf numFmtId="4" fontId="0" fillId="0" borderId="13" xfId="0" applyNumberFormat="1" applyBorder="1" applyAlignment="1">
      <alignment horizontal="center" vertical="center" wrapText="1"/>
    </xf>
    <xf numFmtId="4" fontId="15" fillId="0" borderId="8" xfId="0" applyNumberFormat="1" applyFont="1" applyBorder="1" applyAlignment="1">
      <alignment horizontal="center" vertical="center"/>
    </xf>
    <xf numFmtId="4" fontId="15" fillId="0" borderId="13" xfId="0" applyNumberFormat="1" applyFont="1" applyBorder="1" applyAlignment="1">
      <alignment horizontal="center" vertical="center"/>
    </xf>
    <xf numFmtId="4" fontId="27" fillId="0" borderId="10" xfId="0" applyNumberFormat="1" applyFont="1" applyBorder="1" applyAlignment="1">
      <alignment horizontal="center" vertical="center"/>
    </xf>
    <xf numFmtId="4" fontId="27" fillId="0" borderId="5" xfId="0" applyNumberFormat="1" applyFont="1" applyBorder="1" applyAlignment="1">
      <alignment horizontal="center" vertical="center"/>
    </xf>
    <xf numFmtId="4" fontId="0" fillId="0" borderId="2" xfId="0" applyNumberFormat="1" applyBorder="1" applyAlignment="1">
      <alignment horizontal="center" vertical="center" wrapText="1"/>
    </xf>
    <xf numFmtId="4" fontId="0" fillId="0" borderId="5" xfId="0" applyNumberFormat="1" applyBorder="1" applyAlignment="1">
      <alignment horizontal="center" vertical="center" wrapText="1"/>
    </xf>
    <xf numFmtId="4" fontId="0" fillId="0" borderId="2" xfId="0" applyNumberFormat="1" applyBorder="1" applyAlignment="1">
      <alignment horizontal="center" vertical="center"/>
    </xf>
    <xf numFmtId="4" fontId="0" fillId="0" borderId="5" xfId="0" applyNumberFormat="1" applyBorder="1" applyAlignment="1">
      <alignment horizontal="center" vertical="center"/>
    </xf>
    <xf numFmtId="4" fontId="0" fillId="0" borderId="21" xfId="0" applyNumberFormat="1" applyBorder="1" applyAlignment="1">
      <alignment horizontal="center" vertical="center" wrapText="1"/>
    </xf>
    <xf numFmtId="4" fontId="0" fillId="0" borderId="27" xfId="0" applyNumberFormat="1"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4" fontId="0" fillId="0" borderId="12"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12" xfId="0" applyBorder="1" applyAlignment="1">
      <alignment horizontal="center" vertical="center"/>
    </xf>
    <xf numFmtId="4" fontId="0" fillId="0" borderId="12" xfId="0" applyNumberFormat="1"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5"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5" xfId="0" applyFont="1" applyBorder="1" applyAlignment="1">
      <alignment horizontal="center" vertical="center" wrapText="1"/>
    </xf>
    <xf numFmtId="0" fontId="17" fillId="7" borderId="8"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5" xfId="0" applyFont="1" applyFill="1" applyBorder="1" applyAlignment="1">
      <alignment horizontal="center" vertical="center" wrapText="1"/>
    </xf>
    <xf numFmtId="49" fontId="0" fillId="0" borderId="13" xfId="0" applyNumberFormat="1" applyBorder="1" applyAlignment="1">
      <alignment horizontal="center" vertical="center" wrapText="1"/>
    </xf>
    <xf numFmtId="49" fontId="0" fillId="0" borderId="2" xfId="0" applyNumberFormat="1" applyBorder="1" applyAlignment="1">
      <alignment horizontal="center" vertical="center" wrapText="1"/>
    </xf>
    <xf numFmtId="4" fontId="0" fillId="0" borderId="7" xfId="0" applyNumberFormat="1" applyBorder="1" applyAlignment="1">
      <alignment horizontal="center" vertical="center"/>
    </xf>
    <xf numFmtId="0" fontId="0" fillId="0" borderId="1" xfId="0" applyBorder="1" applyAlignment="1">
      <alignment horizontal="center" vertical="center"/>
    </xf>
    <xf numFmtId="49" fontId="0" fillId="0" borderId="7" xfId="0" applyNumberFormat="1" applyBorder="1" applyAlignment="1">
      <alignment horizontal="center" vertical="center" wrapText="1"/>
    </xf>
    <xf numFmtId="49" fontId="15" fillId="0" borderId="7"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0" fontId="0" fillId="0" borderId="13" xfId="0" applyBorder="1" applyAlignment="1">
      <alignment horizontal="center" vertical="center" wrapText="1"/>
    </xf>
    <xf numFmtId="49" fontId="15" fillId="7" borderId="10" xfId="0" applyNumberFormat="1" applyFont="1" applyFill="1" applyBorder="1" applyAlignment="1">
      <alignment horizontal="center" vertical="center" wrapText="1"/>
    </xf>
    <xf numFmtId="49" fontId="15" fillId="7" borderId="5"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15" fillId="7" borderId="1" xfId="0" applyNumberFormat="1" applyFont="1" applyFill="1" applyBorder="1" applyAlignment="1">
      <alignment horizontal="center" vertical="center" wrapText="1"/>
    </xf>
    <xf numFmtId="49" fontId="15" fillId="7" borderId="12" xfId="0" applyNumberFormat="1" applyFont="1" applyFill="1" applyBorder="1" applyAlignment="1">
      <alignment horizontal="center" vertical="center" wrapText="1"/>
    </xf>
    <xf numFmtId="164" fontId="15" fillId="0" borderId="13"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0" fillId="0" borderId="33" xfId="0" applyBorder="1" applyAlignment="1">
      <alignment horizontal="center" vertical="center" wrapText="1"/>
    </xf>
    <xf numFmtId="0" fontId="0" fillId="3" borderId="1" xfId="0" applyFill="1" applyBorder="1" applyAlignment="1">
      <alignment horizontal="center" vertical="center" wrapText="1"/>
    </xf>
    <xf numFmtId="164" fontId="0" fillId="0" borderId="1" xfId="0" applyNumberFormat="1" applyBorder="1" applyAlignment="1">
      <alignment horizontal="center" vertical="center" wrapText="1"/>
    </xf>
    <xf numFmtId="0" fontId="21" fillId="0" borderId="1" xfId="0" applyFont="1" applyBorder="1" applyAlignment="1">
      <alignment horizontal="center" vertical="center" wrapText="1"/>
    </xf>
    <xf numFmtId="0" fontId="0" fillId="0" borderId="15" xfId="0" applyBorder="1" applyAlignment="1">
      <alignment horizontal="center" vertical="center" wrapText="1"/>
    </xf>
    <xf numFmtId="0" fontId="0" fillId="0" borderId="27" xfId="0" applyBorder="1" applyAlignment="1">
      <alignment horizontal="center" vertical="center" wrapText="1"/>
    </xf>
    <xf numFmtId="164" fontId="0" fillId="0" borderId="2" xfId="0" applyNumberFormat="1" applyBorder="1" applyAlignment="1">
      <alignment horizontal="center" vertical="center"/>
    </xf>
    <xf numFmtId="164" fontId="0" fillId="0" borderId="5" xfId="0" applyNumberFormat="1" applyBorder="1" applyAlignment="1">
      <alignment horizontal="center" vertical="center"/>
    </xf>
    <xf numFmtId="0" fontId="15" fillId="2" borderId="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21" fillId="0" borderId="14" xfId="0" applyFont="1" applyBorder="1" applyAlignment="1">
      <alignment horizontal="center" vertical="center"/>
    </xf>
    <xf numFmtId="0" fontId="21" fillId="0" borderId="36" xfId="0" applyFont="1" applyBorder="1" applyAlignment="1">
      <alignment horizontal="center" vertical="center"/>
    </xf>
    <xf numFmtId="0" fontId="15" fillId="0" borderId="13" xfId="0" applyFont="1" applyBorder="1" applyAlignment="1">
      <alignment horizontal="center" vertical="center" wrapText="1"/>
    </xf>
    <xf numFmtId="4" fontId="0" fillId="0" borderId="10" xfId="0" applyNumberFormat="1" applyBorder="1" applyAlignment="1">
      <alignment horizontal="center" vertical="center" wrapText="1"/>
    </xf>
    <xf numFmtId="0" fontId="0" fillId="0" borderId="20" xfId="0" applyBorder="1" applyAlignment="1">
      <alignment wrapText="1"/>
    </xf>
    <xf numFmtId="0" fontId="0" fillId="0" borderId="23" xfId="0" applyBorder="1" applyAlignment="1">
      <alignment wrapText="1"/>
    </xf>
    <xf numFmtId="0" fontId="0" fillId="0" borderId="43" xfId="0" applyBorder="1" applyAlignment="1">
      <alignment wrapText="1"/>
    </xf>
    <xf numFmtId="0" fontId="2" fillId="0" borderId="21" xfId="0" applyFont="1" applyBorder="1" applyAlignment="1">
      <alignment horizontal="center" vertical="center" wrapText="1"/>
    </xf>
    <xf numFmtId="0" fontId="2" fillId="0" borderId="26" xfId="0" applyFont="1" applyBorder="1" applyAlignment="1">
      <alignment horizontal="center" vertical="center" wrapText="1"/>
    </xf>
    <xf numFmtId="0" fontId="15" fillId="3" borderId="1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0" borderId="13" xfId="0" applyFont="1" applyBorder="1" applyAlignment="1">
      <alignment horizontal="center" vertical="center"/>
    </xf>
    <xf numFmtId="0" fontId="15" fillId="0" borderId="1" xfId="0" applyFont="1" applyBorder="1" applyAlignment="1">
      <alignment horizontal="center" vertical="center"/>
    </xf>
    <xf numFmtId="0" fontId="15" fillId="3" borderId="2" xfId="0" applyFont="1" applyFill="1" applyBorder="1" applyAlignment="1">
      <alignment horizontal="center" vertical="center" wrapText="1"/>
    </xf>
    <xf numFmtId="164" fontId="15" fillId="0" borderId="2" xfId="0" applyNumberFormat="1" applyFont="1" applyBorder="1" applyAlignment="1">
      <alignment horizontal="center" vertical="center" wrapText="1"/>
    </xf>
    <xf numFmtId="0" fontId="15" fillId="0" borderId="31" xfId="0" applyFont="1" applyBorder="1" applyAlignment="1">
      <alignment horizontal="center" vertical="center"/>
    </xf>
    <xf numFmtId="0" fontId="15" fillId="0" borderId="3" xfId="0" applyFont="1" applyBorder="1" applyAlignment="1">
      <alignment horizontal="center" vertical="center"/>
    </xf>
    <xf numFmtId="0" fontId="15" fillId="0" borderId="14" xfId="0" applyFont="1" applyBorder="1" applyAlignment="1">
      <alignment horizontal="center" vertical="center"/>
    </xf>
    <xf numFmtId="0" fontId="20" fillId="0" borderId="1"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7" xfId="0" applyFont="1" applyBorder="1" applyAlignment="1">
      <alignment horizontal="center" vertical="center" wrapText="1"/>
    </xf>
    <xf numFmtId="164" fontId="0" fillId="0" borderId="30" xfId="0" applyNumberFormat="1" applyBorder="1" applyAlignment="1">
      <alignment horizontal="center" vertical="center" wrapText="1"/>
    </xf>
    <xf numFmtId="164" fontId="0" fillId="0" borderId="23" xfId="0" applyNumberFormat="1" applyBorder="1" applyAlignment="1">
      <alignment horizontal="center" vertical="center" wrapText="1"/>
    </xf>
    <xf numFmtId="164" fontId="0" fillId="0" borderId="32" xfId="0" applyNumberFormat="1" applyBorder="1" applyAlignment="1">
      <alignment horizontal="center" vertical="center" wrapText="1"/>
    </xf>
    <xf numFmtId="0" fontId="0" fillId="3" borderId="25"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6" xfId="0" applyFill="1" applyBorder="1" applyAlignment="1">
      <alignment horizontal="center" vertical="center" wrapText="1"/>
    </xf>
    <xf numFmtId="164" fontId="0" fillId="0" borderId="8" xfId="0" applyNumberFormat="1" applyBorder="1" applyAlignment="1">
      <alignment horizontal="center" vertical="center" wrapText="1"/>
    </xf>
    <xf numFmtId="164" fontId="0" fillId="0" borderId="10" xfId="0" applyNumberFormat="1" applyBorder="1" applyAlignment="1">
      <alignment horizontal="center" vertical="center" wrapText="1"/>
    </xf>
    <xf numFmtId="164" fontId="0" fillId="0" borderId="13" xfId="0" applyNumberFormat="1" applyBorder="1" applyAlignment="1">
      <alignment horizontal="center" vertical="center" wrapText="1"/>
    </xf>
    <xf numFmtId="0" fontId="0" fillId="0" borderId="30" xfId="0" applyBorder="1" applyAlignment="1">
      <alignment horizontal="center" vertical="center"/>
    </xf>
    <xf numFmtId="0" fontId="0" fillId="0" borderId="23" xfId="0" applyBorder="1" applyAlignment="1">
      <alignment horizontal="center" vertical="center"/>
    </xf>
    <xf numFmtId="0" fontId="0" fillId="0" borderId="32" xfId="0" applyBorder="1" applyAlignment="1">
      <alignment horizontal="center" vertical="center"/>
    </xf>
    <xf numFmtId="0" fontId="0" fillId="0" borderId="21" xfId="0" applyBorder="1" applyAlignment="1">
      <alignment horizontal="center" vertical="center" wrapText="1"/>
    </xf>
    <xf numFmtId="0" fontId="17" fillId="0" borderId="2" xfId="0" applyFont="1" applyBorder="1" applyAlignment="1">
      <alignment horizontal="center" vertical="center" wrapText="1"/>
    </xf>
    <xf numFmtId="0" fontId="0" fillId="3" borderId="29"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9" xfId="0" applyFill="1" applyBorder="1" applyAlignment="1">
      <alignment horizontal="center" vertical="center" wrapText="1"/>
    </xf>
    <xf numFmtId="164" fontId="0" fillId="0" borderId="7" xfId="0" applyNumberFormat="1" applyBorder="1" applyAlignment="1">
      <alignment horizontal="center" vertical="center" wrapText="1"/>
    </xf>
    <xf numFmtId="164" fontId="0" fillId="0" borderId="12" xfId="0" applyNumberForma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wrapText="1"/>
    </xf>
    <xf numFmtId="0" fontId="0" fillId="0" borderId="17" xfId="0" applyBorder="1" applyAlignment="1">
      <alignment wrapText="1"/>
    </xf>
    <xf numFmtId="0" fontId="17"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7" fillId="0" borderId="7" xfId="0" applyFont="1" applyBorder="1" applyAlignment="1">
      <alignment horizontal="center" vertical="center" wrapText="1"/>
    </xf>
    <xf numFmtId="0" fontId="2"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7" fillId="2"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0" borderId="0" xfId="0" applyFont="1" applyAlignment="1">
      <alignment horizontal="left"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0" borderId="13" xfId="0" applyFont="1" applyBorder="1" applyAlignment="1">
      <alignment horizontal="center" vertical="center" wrapText="1"/>
    </xf>
    <xf numFmtId="0" fontId="0" fillId="3" borderId="2" xfId="0" applyFill="1" applyBorder="1" applyAlignment="1">
      <alignment horizontal="center" vertical="center" wrapText="1"/>
    </xf>
    <xf numFmtId="164" fontId="0" fillId="0" borderId="2" xfId="0" applyNumberFormat="1" applyBorder="1" applyAlignment="1">
      <alignment horizontal="center" vertical="center" wrapText="1"/>
    </xf>
    <xf numFmtId="0" fontId="12" fillId="0" borderId="0" xfId="0" applyFont="1" applyAlignment="1">
      <alignment horizontal="left" vertical="top" wrapText="1"/>
    </xf>
    <xf numFmtId="164" fontId="0" fillId="0" borderId="6" xfId="0" applyNumberFormat="1" applyBorder="1" applyAlignment="1">
      <alignment horizontal="center" vertical="center" wrapText="1"/>
    </xf>
    <xf numFmtId="164" fontId="0" fillId="0" borderId="9" xfId="0" applyNumberFormat="1" applyBorder="1" applyAlignment="1">
      <alignment horizontal="center" vertical="center" wrapText="1"/>
    </xf>
    <xf numFmtId="164" fontId="0" fillId="0" borderId="11" xfId="0" applyNumberFormat="1" applyBorder="1" applyAlignment="1">
      <alignment horizontal="center" vertical="center" wrapText="1"/>
    </xf>
    <xf numFmtId="0" fontId="13" fillId="0" borderId="0" xfId="0" applyFont="1" applyAlignment="1">
      <alignment horizontal="left" vertical="top" wrapText="1"/>
    </xf>
    <xf numFmtId="0" fontId="4" fillId="0" borderId="8" xfId="0" applyFont="1" applyBorder="1" applyAlignment="1">
      <alignment horizontal="center" vertical="top" wrapText="1"/>
    </xf>
    <xf numFmtId="0" fontId="4" fillId="0" borderId="5" xfId="0" applyFont="1" applyBorder="1" applyAlignment="1">
      <alignment horizontal="center" vertical="top" wrapText="1"/>
    </xf>
    <xf numFmtId="0" fontId="4" fillId="0" borderId="2" xfId="0" applyFont="1" applyBorder="1" applyAlignment="1">
      <alignment horizontal="center" vertical="top"/>
    </xf>
    <xf numFmtId="0" fontId="4" fillId="0" borderId="10" xfId="0" applyFont="1" applyBorder="1" applyAlignment="1">
      <alignment horizontal="center" vertical="top"/>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34" xfId="0" applyBorder="1" applyAlignment="1">
      <alignment horizontal="center" vertical="center" wrapText="1"/>
    </xf>
    <xf numFmtId="0" fontId="4" fillId="0" borderId="2" xfId="0" applyFont="1" applyBorder="1" applyAlignment="1">
      <alignment horizontal="center" vertical="top" wrapText="1"/>
    </xf>
    <xf numFmtId="0" fontId="4" fillId="0" borderId="10" xfId="0" applyFont="1" applyBorder="1" applyAlignment="1">
      <alignment horizontal="center" vertical="top" wrapText="1"/>
    </xf>
    <xf numFmtId="0" fontId="4" fillId="0" borderId="2" xfId="0" applyFont="1" applyBorder="1" applyAlignment="1">
      <alignment horizontal="left" vertical="top"/>
    </xf>
    <xf numFmtId="0" fontId="4" fillId="0" borderId="10" xfId="0" applyFont="1" applyBorder="1" applyAlignment="1">
      <alignment horizontal="left" vertical="top"/>
    </xf>
    <xf numFmtId="0" fontId="4" fillId="0" borderId="1" xfId="0" applyFont="1" applyBorder="1" applyAlignment="1">
      <alignment horizontal="center" vertical="top" wrapText="1"/>
    </xf>
    <xf numFmtId="0" fontId="4" fillId="0" borderId="3" xfId="0" applyFont="1" applyBorder="1" applyAlignment="1">
      <alignment horizontal="center" vertical="top" wrapText="1"/>
    </xf>
    <xf numFmtId="0" fontId="4" fillId="0" borderId="1" xfId="0" applyFont="1" applyBorder="1" applyAlignment="1">
      <alignment horizontal="center" vertical="top"/>
    </xf>
    <xf numFmtId="0" fontId="4" fillId="0" borderId="4" xfId="0" applyFont="1" applyBorder="1" applyAlignment="1">
      <alignment horizontal="center" vertical="top"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2" xfId="0" applyFont="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2" xfId="0" applyFill="1" applyBorder="1" applyAlignment="1">
      <alignment horizontal="center" vertical="center" wrapText="1"/>
    </xf>
    <xf numFmtId="0" fontId="17" fillId="0" borderId="13" xfId="0" applyFont="1" applyBorder="1" applyAlignment="1">
      <alignment horizontal="center" vertical="center" wrapText="1"/>
    </xf>
    <xf numFmtId="2" fontId="28" fillId="0" borderId="1" xfId="0" applyNumberFormat="1" applyFont="1" applyBorder="1" applyAlignment="1">
      <alignment horizontal="left" vertical="center" wrapText="1"/>
    </xf>
    <xf numFmtId="0" fontId="20" fillId="6" borderId="8"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0" fillId="0" borderId="17" xfId="0" applyBorder="1" applyAlignment="1">
      <alignment horizontal="center"/>
    </xf>
    <xf numFmtId="0" fontId="0" fillId="0" borderId="20" xfId="0" applyBorder="1" applyAlignment="1">
      <alignment horizontal="center"/>
    </xf>
    <xf numFmtId="4" fontId="0" fillId="0" borderId="30" xfId="0" applyNumberFormat="1" applyBorder="1" applyAlignment="1">
      <alignment horizontal="center" vertical="center" wrapText="1"/>
    </xf>
    <xf numFmtId="0" fontId="0" fillId="0" borderId="23" xfId="0" applyBorder="1" applyAlignment="1">
      <alignment horizontal="center" vertical="center" wrapText="1"/>
    </xf>
    <xf numFmtId="0" fontId="0" fillId="0" borderId="32" xfId="0"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4" fontId="15" fillId="0" borderId="10" xfId="0" applyNumberFormat="1" applyFont="1" applyBorder="1" applyAlignment="1">
      <alignment horizontal="center" vertical="center"/>
    </xf>
    <xf numFmtId="4" fontId="15" fillId="0" borderId="5" xfId="0" applyNumberFormat="1" applyFont="1" applyBorder="1" applyAlignment="1">
      <alignment horizontal="center" vertical="center"/>
    </xf>
    <xf numFmtId="4" fontId="0" fillId="9" borderId="10" xfId="0" applyNumberFormat="1" applyFill="1" applyBorder="1" applyAlignment="1">
      <alignment horizontal="center" vertical="center"/>
    </xf>
    <xf numFmtId="4" fontId="0" fillId="9" borderId="5" xfId="0" applyNumberFormat="1" applyFill="1" applyBorder="1" applyAlignment="1">
      <alignment horizontal="center" vertical="center"/>
    </xf>
    <xf numFmtId="49" fontId="15" fillId="9" borderId="2"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 fontId="0" fillId="9" borderId="2" xfId="0" applyNumberFormat="1" applyFill="1" applyBorder="1" applyAlignment="1">
      <alignment horizontal="center" vertical="center" wrapText="1"/>
    </xf>
    <xf numFmtId="4" fontId="0" fillId="9" borderId="5" xfId="0" applyNumberFormat="1" applyFill="1" applyBorder="1" applyAlignment="1">
      <alignment horizontal="center" vertical="center" wrapText="1"/>
    </xf>
    <xf numFmtId="4" fontId="0" fillId="9" borderId="2" xfId="0" applyNumberFormat="1" applyFill="1" applyBorder="1" applyAlignment="1">
      <alignment horizontal="center" vertical="center"/>
    </xf>
    <xf numFmtId="4" fontId="0" fillId="0" borderId="10" xfId="0" applyNumberFormat="1" applyBorder="1" applyAlignment="1">
      <alignment horizontal="center" vertical="center"/>
    </xf>
    <xf numFmtId="49" fontId="0" fillId="0" borderId="25" xfId="0" applyNumberFormat="1" applyBorder="1" applyAlignment="1">
      <alignment horizontal="center" vertical="center" wrapText="1"/>
    </xf>
    <xf numFmtId="49" fontId="0" fillId="0" borderId="21" xfId="0" applyNumberFormat="1" applyBorder="1" applyAlignment="1">
      <alignment horizontal="center" vertical="center" wrapText="1"/>
    </xf>
    <xf numFmtId="49" fontId="0" fillId="0" borderId="27" xfId="0" applyNumberFormat="1" applyBorder="1" applyAlignment="1">
      <alignment horizontal="center" vertical="center" wrapText="1"/>
    </xf>
    <xf numFmtId="49" fontId="2" fillId="0" borderId="8" xfId="0" applyNumberFormat="1" applyFont="1" applyBorder="1" applyAlignment="1">
      <alignment horizontal="center" vertical="center" wrapText="1"/>
    </xf>
    <xf numFmtId="4" fontId="15" fillId="0" borderId="8" xfId="0" applyNumberFormat="1" applyFont="1" applyBorder="1" applyAlignment="1">
      <alignment horizontal="center" vertical="center" wrapText="1"/>
    </xf>
    <xf numFmtId="4" fontId="15" fillId="0" borderId="10" xfId="0" applyNumberFormat="1" applyFont="1" applyBorder="1" applyAlignment="1">
      <alignment horizontal="center" vertical="center" wrapText="1"/>
    </xf>
    <xf numFmtId="4" fontId="15" fillId="0" borderId="5" xfId="0" applyNumberFormat="1" applyFont="1" applyBorder="1" applyAlignment="1">
      <alignment horizontal="center" vertical="center" wrapText="1"/>
    </xf>
    <xf numFmtId="49" fontId="4" fillId="0" borderId="16" xfId="0" applyNumberFormat="1" applyFont="1" applyBorder="1" applyAlignment="1">
      <alignment horizontal="left" vertical="top" wrapText="1"/>
    </xf>
    <xf numFmtId="49" fontId="4" fillId="0" borderId="18" xfId="0" applyNumberFormat="1" applyFont="1" applyBorder="1" applyAlignment="1">
      <alignment horizontal="left" vertical="top" wrapText="1"/>
    </xf>
    <xf numFmtId="49" fontId="4"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49" fontId="4" fillId="0" borderId="12"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0" fillId="7" borderId="2" xfId="0" applyNumberFormat="1" applyFill="1" applyBorder="1" applyAlignment="1">
      <alignment horizontal="center" vertical="center" wrapText="1"/>
    </xf>
    <xf numFmtId="49" fontId="0" fillId="7" borderId="10" xfId="0" applyNumberFormat="1" applyFill="1" applyBorder="1" applyAlignment="1">
      <alignment horizontal="center" vertical="center" wrapText="1"/>
    </xf>
    <xf numFmtId="49" fontId="0" fillId="7" borderId="5" xfId="0" applyNumberFormat="1" applyFill="1" applyBorder="1" applyAlignment="1">
      <alignment horizontal="center" vertical="center" wrapText="1"/>
    </xf>
    <xf numFmtId="4" fontId="15" fillId="0" borderId="13" xfId="0" applyNumberFormat="1" applyFont="1" applyBorder="1" applyAlignment="1">
      <alignment horizontal="center" vertical="center" wrapText="1"/>
    </xf>
    <xf numFmtId="0" fontId="15" fillId="0" borderId="33" xfId="0" applyFont="1" applyBorder="1" applyAlignment="1">
      <alignment horizontal="center" vertical="center" wrapText="1"/>
    </xf>
    <xf numFmtId="49" fontId="0" fillId="4" borderId="20" xfId="0" applyNumberFormat="1" applyFill="1" applyBorder="1" applyAlignment="1">
      <alignment horizontal="left" vertical="center" wrapText="1"/>
    </xf>
    <xf numFmtId="49" fontId="0" fillId="4" borderId="32" xfId="0" applyNumberFormat="1" applyFill="1" applyBorder="1" applyAlignment="1">
      <alignment horizontal="left" vertical="center" wrapText="1"/>
    </xf>
    <xf numFmtId="49" fontId="0" fillId="8" borderId="23" xfId="0" applyNumberFormat="1" applyFill="1" applyBorder="1" applyAlignment="1">
      <alignment horizontal="left" vertical="top" wrapText="1"/>
    </xf>
    <xf numFmtId="49" fontId="0" fillId="8" borderId="32" xfId="0" applyNumberFormat="1" applyFill="1" applyBorder="1" applyAlignment="1">
      <alignment horizontal="left" vertical="top" wrapText="1"/>
    </xf>
    <xf numFmtId="49" fontId="0" fillId="4" borderId="30" xfId="0" applyNumberFormat="1" applyFill="1" applyBorder="1" applyAlignment="1">
      <alignment horizontal="left" vertical="center" wrapText="1"/>
    </xf>
    <xf numFmtId="49" fontId="0" fillId="8" borderId="20" xfId="0" applyNumberFormat="1" applyFill="1" applyBorder="1" applyAlignment="1">
      <alignment horizontal="left" vertical="center" wrapText="1"/>
    </xf>
    <xf numFmtId="49" fontId="0" fillId="8" borderId="32" xfId="0" applyNumberFormat="1" applyFill="1" applyBorder="1" applyAlignment="1">
      <alignment horizontal="left" vertical="center" wrapText="1"/>
    </xf>
    <xf numFmtId="0" fontId="0" fillId="0" borderId="0" xfId="0" applyAlignment="1">
      <alignment horizontal="center" wrapText="1"/>
    </xf>
    <xf numFmtId="4" fontId="0" fillId="8" borderId="2" xfId="0" applyNumberFormat="1" applyFill="1" applyBorder="1" applyAlignment="1">
      <alignment horizontal="center" vertical="center" wrapText="1"/>
    </xf>
    <xf numFmtId="4" fontId="0" fillId="8" borderId="10" xfId="0" applyNumberFormat="1" applyFill="1" applyBorder="1" applyAlignment="1">
      <alignment horizontal="center" vertical="center" wrapText="1"/>
    </xf>
    <xf numFmtId="4" fontId="0" fillId="8" borderId="13" xfId="0" applyNumberFormat="1" applyFill="1" applyBorder="1" applyAlignment="1">
      <alignment horizontal="center" vertical="center" wrapText="1"/>
    </xf>
    <xf numFmtId="4" fontId="0" fillId="4" borderId="2" xfId="0" applyNumberFormat="1" applyFill="1" applyBorder="1" applyAlignment="1">
      <alignment horizontal="center" vertical="center" wrapText="1"/>
    </xf>
    <xf numFmtId="4" fontId="0" fillId="4" borderId="10" xfId="0" applyNumberFormat="1" applyFill="1" applyBorder="1" applyAlignment="1">
      <alignment horizontal="center" vertical="center" wrapText="1"/>
    </xf>
    <xf numFmtId="4" fontId="0" fillId="4" borderId="8" xfId="0" applyNumberFormat="1" applyFill="1" applyBorder="1" applyAlignment="1">
      <alignment horizontal="center" vertical="center" wrapText="1"/>
    </xf>
    <xf numFmtId="4" fontId="0" fillId="4" borderId="13" xfId="0" applyNumberFormat="1" applyFill="1" applyBorder="1" applyAlignment="1">
      <alignment horizontal="center" vertical="center" wrapText="1"/>
    </xf>
    <xf numFmtId="4" fontId="0" fillId="4" borderId="1" xfId="0" applyNumberFormat="1" applyFill="1" applyBorder="1" applyAlignment="1">
      <alignment horizontal="center" vertical="center"/>
    </xf>
    <xf numFmtId="4" fontId="15" fillId="8" borderId="2" xfId="0" applyNumberFormat="1" applyFont="1" applyFill="1" applyBorder="1" applyAlignment="1">
      <alignment horizontal="center" vertical="center"/>
    </xf>
    <xf numFmtId="4" fontId="15" fillId="8" borderId="10" xfId="0" applyNumberFormat="1" applyFont="1" applyFill="1" applyBorder="1" applyAlignment="1">
      <alignment horizontal="center" vertical="center"/>
    </xf>
    <xf numFmtId="4" fontId="15" fillId="8" borderId="13" xfId="0" applyNumberFormat="1" applyFont="1" applyFill="1" applyBorder="1" applyAlignment="1">
      <alignment horizontal="center" vertical="center"/>
    </xf>
    <xf numFmtId="4" fontId="15" fillId="8" borderId="1" xfId="0" applyNumberFormat="1" applyFont="1" applyFill="1" applyBorder="1" applyAlignment="1">
      <alignment horizontal="center" vertical="center" wrapText="1"/>
    </xf>
    <xf numFmtId="0" fontId="0" fillId="8" borderId="2"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13" xfId="0" applyFill="1" applyBorder="1" applyAlignment="1">
      <alignment horizontal="center" vertical="center" wrapText="1"/>
    </xf>
    <xf numFmtId="4" fontId="15" fillId="4" borderId="8" xfId="0" applyNumberFormat="1" applyFont="1" applyFill="1" applyBorder="1" applyAlignment="1">
      <alignment horizontal="center" vertical="center"/>
    </xf>
    <xf numFmtId="4" fontId="15" fillId="4" borderId="10" xfId="0" applyNumberFormat="1" applyFont="1" applyFill="1" applyBorder="1" applyAlignment="1">
      <alignment horizontal="center" vertical="center"/>
    </xf>
    <xf numFmtId="4" fontId="15" fillId="4" borderId="13" xfId="0" applyNumberFormat="1" applyFont="1" applyFill="1" applyBorder="1" applyAlignment="1">
      <alignment horizontal="center" vertical="center"/>
    </xf>
    <xf numFmtId="4" fontId="15" fillId="4" borderId="2" xfId="0" applyNumberFormat="1" applyFont="1" applyFill="1" applyBorder="1" applyAlignment="1">
      <alignment horizontal="center" vertical="center"/>
    </xf>
    <xf numFmtId="49" fontId="15" fillId="0" borderId="2" xfId="0" applyNumberFormat="1" applyFont="1" applyBorder="1" applyAlignment="1">
      <alignment horizontal="center" vertical="center" wrapText="1"/>
    </xf>
    <xf numFmtId="49" fontId="15" fillId="0" borderId="10" xfId="0" applyNumberFormat="1" applyFont="1" applyBorder="1" applyAlignment="1">
      <alignment horizontal="center" vertical="center" wrapText="1"/>
    </xf>
    <xf numFmtId="49" fontId="15" fillId="0" borderId="13" xfId="0" applyNumberFormat="1" applyFont="1" applyBorder="1" applyAlignment="1">
      <alignment horizontal="center" vertical="center" wrapText="1"/>
    </xf>
    <xf numFmtId="4" fontId="0" fillId="4" borderId="8" xfId="0" applyNumberFormat="1" applyFill="1" applyBorder="1" applyAlignment="1">
      <alignment horizontal="center" vertical="center"/>
    </xf>
    <xf numFmtId="4" fontId="0" fillId="4" borderId="10" xfId="0" applyNumberFormat="1" applyFill="1" applyBorder="1" applyAlignment="1">
      <alignment horizontal="center" vertical="center"/>
    </xf>
    <xf numFmtId="4" fontId="0" fillId="4" borderId="13" xfId="0" applyNumberFormat="1" applyFill="1" applyBorder="1" applyAlignment="1">
      <alignment horizontal="center" vertical="center"/>
    </xf>
    <xf numFmtId="0" fontId="4" fillId="0" borderId="5" xfId="0" applyFont="1" applyBorder="1" applyAlignment="1">
      <alignment horizontal="left" vertical="top" wrapText="1"/>
    </xf>
    <xf numFmtId="4" fontId="15" fillId="8" borderId="1" xfId="0" applyNumberFormat="1" applyFont="1" applyFill="1" applyBorder="1" applyAlignment="1">
      <alignment horizontal="center" vertical="center"/>
    </xf>
    <xf numFmtId="4" fontId="15" fillId="8" borderId="12" xfId="0" applyNumberFormat="1" applyFont="1" applyFill="1" applyBorder="1" applyAlignment="1">
      <alignment horizontal="center" vertical="center"/>
    </xf>
    <xf numFmtId="4" fontId="15" fillId="8" borderId="12" xfId="0" applyNumberFormat="1" applyFont="1" applyFill="1" applyBorder="1" applyAlignment="1">
      <alignment horizontal="center" vertical="center" wrapText="1"/>
    </xf>
    <xf numFmtId="4" fontId="15" fillId="4" borderId="1" xfId="0" applyNumberFormat="1" applyFont="1" applyFill="1" applyBorder="1" applyAlignment="1">
      <alignment horizontal="center" vertical="center" wrapText="1"/>
    </xf>
    <xf numFmtId="4" fontId="15" fillId="4" borderId="1" xfId="0" applyNumberFormat="1" applyFont="1" applyFill="1" applyBorder="1" applyAlignment="1">
      <alignment horizontal="center" vertical="center"/>
    </xf>
    <xf numFmtId="4" fontId="0" fillId="4" borderId="7" xfId="0" applyNumberFormat="1" applyFill="1" applyBorder="1" applyAlignment="1">
      <alignment horizontal="center" vertical="center"/>
    </xf>
    <xf numFmtId="4" fontId="0" fillId="4" borderId="2" xfId="0" applyNumberFormat="1" applyFill="1" applyBorder="1" applyAlignment="1">
      <alignment horizontal="center" vertical="center"/>
    </xf>
    <xf numFmtId="4" fontId="0" fillId="8" borderId="1" xfId="0" applyNumberFormat="1" applyFill="1" applyBorder="1" applyAlignment="1">
      <alignment horizontal="center" vertical="center" wrapText="1"/>
    </xf>
    <xf numFmtId="4" fontId="0" fillId="8" borderId="12" xfId="0" applyNumberFormat="1" applyFill="1" applyBorder="1" applyAlignment="1">
      <alignment horizontal="center" vertical="center" wrapText="1"/>
    </xf>
    <xf numFmtId="0" fontId="4" fillId="0" borderId="41" xfId="0" applyFont="1" applyBorder="1" applyAlignment="1">
      <alignment horizontal="center" vertical="top" wrapText="1"/>
    </xf>
    <xf numFmtId="0" fontId="4" fillId="0" borderId="3" xfId="0" applyFont="1" applyBorder="1" applyAlignment="1">
      <alignment horizontal="center" vertical="top"/>
    </xf>
    <xf numFmtId="0" fontId="4" fillId="0" borderId="4" xfId="0" applyFont="1" applyBorder="1" applyAlignment="1">
      <alignment horizontal="center" vertical="top"/>
    </xf>
    <xf numFmtId="49" fontId="15" fillId="0" borderId="12" xfId="0" applyNumberFormat="1" applyFont="1" applyBorder="1" applyAlignment="1">
      <alignment horizontal="center" vertical="center" wrapText="1"/>
    </xf>
    <xf numFmtId="0" fontId="0" fillId="8" borderId="5" xfId="0" applyFill="1" applyBorder="1" applyAlignment="1">
      <alignment horizontal="center" vertical="center" wrapText="1"/>
    </xf>
    <xf numFmtId="49"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49" fontId="0" fillId="4" borderId="8" xfId="0" applyNumberFormat="1" applyFill="1" applyBorder="1" applyAlignment="1">
      <alignment horizontal="center" vertical="center" wrapText="1"/>
    </xf>
    <xf numFmtId="0" fontId="0" fillId="4" borderId="10" xfId="0" applyFill="1" applyBorder="1" applyAlignment="1">
      <alignment horizontal="center" vertical="center" wrapText="1"/>
    </xf>
    <xf numFmtId="4" fontId="0" fillId="4" borderId="1" xfId="0" applyNumberFormat="1" applyFill="1" applyBorder="1" applyAlignment="1">
      <alignment horizontal="center" vertical="center" wrapText="1"/>
    </xf>
    <xf numFmtId="3" fontId="4" fillId="0" borderId="2" xfId="0" applyNumberFormat="1" applyFont="1" applyBorder="1" applyAlignment="1">
      <alignment horizontal="center" vertical="top" wrapText="1"/>
    </xf>
    <xf numFmtId="3" fontId="4" fillId="0" borderId="5" xfId="0" applyNumberFormat="1" applyFont="1" applyBorder="1" applyAlignment="1">
      <alignment horizontal="center" vertical="top" wrapText="1"/>
    </xf>
    <xf numFmtId="0" fontId="4" fillId="0" borderId="5" xfId="0" applyFont="1" applyBorder="1" applyAlignment="1">
      <alignment horizontal="center" vertical="top"/>
    </xf>
    <xf numFmtId="0" fontId="6" fillId="2" borderId="33"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4" fillId="0" borderId="13" xfId="0" applyFont="1" applyBorder="1" applyAlignment="1">
      <alignment horizontal="center" vertical="top" wrapText="1"/>
    </xf>
    <xf numFmtId="0" fontId="4" fillId="0" borderId="13" xfId="0" applyFont="1" applyBorder="1" applyAlignment="1">
      <alignment horizontal="left" vertical="top"/>
    </xf>
    <xf numFmtId="0" fontId="15" fillId="2" borderId="33" xfId="0" applyFont="1" applyFill="1" applyBorder="1" applyAlignment="1">
      <alignment horizontal="center" vertical="center" wrapText="1"/>
    </xf>
    <xf numFmtId="49" fontId="4" fillId="0" borderId="48" xfId="0" applyNumberFormat="1" applyFont="1" applyBorder="1" applyAlignment="1">
      <alignment horizontal="center" vertical="center" wrapText="1"/>
    </xf>
    <xf numFmtId="49" fontId="4" fillId="0" borderId="45"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14" fillId="3" borderId="13" xfId="0" applyFont="1" applyFill="1" applyBorder="1" applyAlignment="1">
      <alignment horizontal="center" vertical="center" wrapText="1"/>
    </xf>
    <xf numFmtId="0" fontId="14" fillId="3" borderId="12" xfId="0" applyFont="1" applyFill="1" applyBorder="1" applyAlignment="1">
      <alignment horizontal="center" vertical="center" wrapText="1"/>
    </xf>
    <xf numFmtId="3" fontId="15" fillId="3" borderId="2" xfId="0" applyNumberFormat="1" applyFont="1" applyFill="1" applyBorder="1" applyAlignment="1">
      <alignment horizontal="center" vertical="center" wrapText="1"/>
    </xf>
    <xf numFmtId="3" fontId="15" fillId="3" borderId="13" xfId="0" applyNumberFormat="1" applyFont="1" applyFill="1" applyBorder="1" applyAlignment="1">
      <alignment horizontal="center" vertical="center" wrapText="1"/>
    </xf>
    <xf numFmtId="49" fontId="15" fillId="3" borderId="2" xfId="0" applyNumberFormat="1" applyFont="1" applyFill="1" applyBorder="1" applyAlignment="1">
      <alignment horizontal="center" vertical="center" wrapText="1"/>
    </xf>
    <xf numFmtId="49" fontId="15" fillId="3" borderId="13" xfId="0" applyNumberFormat="1" applyFont="1" applyFill="1" applyBorder="1" applyAlignment="1">
      <alignment horizontal="center" vertical="center" wrapText="1"/>
    </xf>
    <xf numFmtId="0" fontId="14" fillId="0" borderId="8" xfId="0" applyFont="1" applyBorder="1" applyAlignment="1">
      <alignment horizontal="center" vertical="top" wrapText="1"/>
    </xf>
    <xf numFmtId="0" fontId="14" fillId="0" borderId="10" xfId="0" applyFont="1" applyBorder="1" applyAlignment="1">
      <alignment horizontal="center" vertical="top" wrapText="1"/>
    </xf>
    <xf numFmtId="0" fontId="14" fillId="0" borderId="8" xfId="0" applyFont="1" applyBorder="1" applyAlignment="1">
      <alignment horizontal="center" vertical="top"/>
    </xf>
    <xf numFmtId="0" fontId="14" fillId="0" borderId="10" xfId="0" applyFont="1" applyBorder="1" applyAlignment="1">
      <alignment horizontal="center" vertical="top"/>
    </xf>
    <xf numFmtId="3" fontId="15" fillId="3" borderId="7" xfId="0" applyNumberFormat="1" applyFont="1" applyFill="1" applyBorder="1" applyAlignment="1">
      <alignment horizontal="center" vertical="center" wrapText="1"/>
    </xf>
    <xf numFmtId="3" fontId="15" fillId="3" borderId="1" xfId="0" applyNumberFormat="1" applyFont="1" applyFill="1" applyBorder="1" applyAlignment="1">
      <alignment horizontal="center" vertical="center" wrapText="1"/>
    </xf>
    <xf numFmtId="0" fontId="14" fillId="0" borderId="49" xfId="0" applyFont="1" applyBorder="1" applyAlignment="1">
      <alignment horizontal="center" vertical="top" wrapText="1"/>
    </xf>
    <xf numFmtId="0" fontId="14" fillId="0" borderId="29" xfId="0" applyFont="1" applyBorder="1" applyAlignment="1">
      <alignment horizontal="center" vertical="top" wrapText="1"/>
    </xf>
    <xf numFmtId="0" fontId="14" fillId="2" borderId="13"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0" borderId="58" xfId="0" applyFont="1" applyBorder="1" applyAlignment="1">
      <alignment horizontal="center" vertical="top" wrapText="1"/>
    </xf>
    <xf numFmtId="0" fontId="14" fillId="0" borderId="19" xfId="0" applyFont="1" applyBorder="1" applyAlignment="1">
      <alignment horizontal="center" vertical="top" wrapText="1"/>
    </xf>
    <xf numFmtId="49" fontId="15" fillId="3" borderId="7" xfId="0" applyNumberFormat="1"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0" fontId="14" fillId="0" borderId="7" xfId="0" applyFont="1" applyBorder="1" applyAlignment="1">
      <alignment horizontal="center" vertical="top"/>
    </xf>
    <xf numFmtId="49" fontId="59" fillId="3" borderId="1" xfId="0" applyNumberFormat="1" applyFont="1" applyFill="1" applyBorder="1" applyAlignment="1">
      <alignment horizontal="center" vertical="center" wrapText="1"/>
    </xf>
    <xf numFmtId="49" fontId="59" fillId="3" borderId="12" xfId="0" applyNumberFormat="1" applyFont="1" applyFill="1" applyBorder="1" applyAlignment="1">
      <alignment horizontal="center" vertical="center" wrapText="1"/>
    </xf>
    <xf numFmtId="49" fontId="59" fillId="2" borderId="13" xfId="0" applyNumberFormat="1" applyFont="1" applyFill="1" applyBorder="1" applyAlignment="1">
      <alignment horizontal="center" vertical="center" wrapText="1"/>
    </xf>
    <xf numFmtId="49" fontId="59" fillId="2" borderId="12" xfId="0" applyNumberFormat="1" applyFont="1" applyFill="1" applyBorder="1" applyAlignment="1">
      <alignment horizontal="center" vertical="center" wrapText="1"/>
    </xf>
    <xf numFmtId="49" fontId="15" fillId="3" borderId="10" xfId="0" applyNumberFormat="1" applyFont="1" applyFill="1" applyBorder="1" applyAlignment="1">
      <alignment horizontal="center" vertical="center" wrapText="1"/>
    </xf>
    <xf numFmtId="3" fontId="15" fillId="0" borderId="1" xfId="0" applyNumberFormat="1" applyFont="1" applyBorder="1" applyAlignment="1">
      <alignment horizontal="center" vertical="center"/>
    </xf>
    <xf numFmtId="3" fontId="60" fillId="2" borderId="1" xfId="0" applyNumberFormat="1" applyFont="1" applyFill="1" applyBorder="1" applyAlignment="1">
      <alignment horizontal="center" vertical="center"/>
    </xf>
    <xf numFmtId="3" fontId="60" fillId="2" borderId="12" xfId="0" applyNumberFormat="1" applyFont="1" applyFill="1" applyBorder="1" applyAlignment="1">
      <alignment horizontal="center" vertical="center"/>
    </xf>
    <xf numFmtId="3" fontId="15" fillId="2" borderId="2" xfId="0" applyNumberFormat="1" applyFont="1" applyFill="1" applyBorder="1" applyAlignment="1">
      <alignment horizontal="center" vertical="center"/>
    </xf>
    <xf numFmtId="3" fontId="15" fillId="2" borderId="13" xfId="0" applyNumberFormat="1" applyFont="1" applyFill="1" applyBorder="1" applyAlignment="1">
      <alignment horizontal="center" vertical="center"/>
    </xf>
    <xf numFmtId="49" fontId="0" fillId="3" borderId="7" xfId="0" applyNumberFormat="1" applyFill="1" applyBorder="1" applyAlignment="1">
      <alignment horizontal="center" vertical="center" wrapText="1"/>
    </xf>
    <xf numFmtId="49" fontId="0" fillId="3" borderId="1" xfId="0" applyNumberFormat="1" applyFill="1" applyBorder="1" applyAlignment="1">
      <alignment horizontal="center" vertical="center" wrapText="1"/>
    </xf>
    <xf numFmtId="3" fontId="15" fillId="3" borderId="10" xfId="0" applyNumberFormat="1" applyFont="1" applyFill="1" applyBorder="1" applyAlignment="1">
      <alignment horizontal="center" vertical="center" wrapText="1"/>
    </xf>
    <xf numFmtId="3" fontId="15" fillId="2" borderId="1" xfId="0" applyNumberFormat="1" applyFont="1" applyFill="1" applyBorder="1" applyAlignment="1">
      <alignment horizontal="center" vertical="center"/>
    </xf>
    <xf numFmtId="3" fontId="15" fillId="0" borderId="13" xfId="0" applyNumberFormat="1" applyFont="1" applyBorder="1" applyAlignment="1">
      <alignment horizontal="center" vertical="center"/>
    </xf>
    <xf numFmtId="0" fontId="14" fillId="0" borderId="6" xfId="0" applyFont="1" applyBorder="1" applyAlignment="1">
      <alignment horizontal="left" vertical="top" wrapText="1"/>
    </xf>
    <xf numFmtId="0" fontId="14" fillId="0" borderId="15" xfId="0" applyFont="1" applyBorder="1" applyAlignment="1">
      <alignment horizontal="left" vertical="top" wrapText="1"/>
    </xf>
    <xf numFmtId="0" fontId="14" fillId="0" borderId="5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7" xfId="0" applyFont="1" applyBorder="1" applyAlignment="1">
      <alignment horizontal="left" vertical="top" wrapText="1"/>
    </xf>
    <xf numFmtId="0" fontId="14" fillId="0" borderId="2" xfId="0" applyFont="1" applyBorder="1" applyAlignment="1">
      <alignment horizontal="left" vertical="top" wrapText="1"/>
    </xf>
    <xf numFmtId="49" fontId="15" fillId="0" borderId="6" xfId="0" applyNumberFormat="1" applyFont="1" applyBorder="1" applyAlignment="1">
      <alignment horizontal="center" vertical="center" wrapText="1"/>
    </xf>
    <xf numFmtId="49" fontId="0" fillId="0" borderId="9" xfId="0" applyNumberFormat="1" applyBorder="1" applyAlignment="1">
      <alignment horizontal="center" vertical="center"/>
    </xf>
    <xf numFmtId="49" fontId="0" fillId="0" borderId="11" xfId="0" applyNumberFormat="1" applyBorder="1" applyAlignment="1">
      <alignment horizontal="center" vertical="center"/>
    </xf>
    <xf numFmtId="3" fontId="15" fillId="3" borderId="12" xfId="0" applyNumberFormat="1" applyFont="1" applyFill="1" applyBorder="1" applyAlignment="1">
      <alignment horizontal="center" vertical="center" wrapText="1"/>
    </xf>
    <xf numFmtId="0" fontId="14" fillId="0" borderId="6" xfId="0" applyFont="1" applyBorder="1" applyAlignment="1">
      <alignment horizontal="center" vertical="top" wrapText="1"/>
    </xf>
    <xf numFmtId="0" fontId="0" fillId="0" borderId="2" xfId="0" applyBorder="1" applyAlignment="1">
      <alignment horizontal="left" vertical="center" wrapText="1"/>
    </xf>
    <xf numFmtId="0" fontId="0" fillId="0" borderId="5" xfId="0" applyBorder="1" applyAlignment="1">
      <alignment horizontal="left" vertical="center" wrapText="1"/>
    </xf>
    <xf numFmtId="3" fontId="0" fillId="0" borderId="8" xfId="0" applyNumberFormat="1" applyBorder="1" applyAlignment="1">
      <alignment horizontal="center" vertical="center"/>
    </xf>
    <xf numFmtId="3" fontId="0" fillId="0" borderId="10" xfId="0" applyNumberFormat="1" applyBorder="1" applyAlignment="1">
      <alignment horizontal="center" vertical="center"/>
    </xf>
    <xf numFmtId="3" fontId="0" fillId="0" borderId="5" xfId="0" applyNumberFormat="1" applyBorder="1" applyAlignment="1">
      <alignment horizontal="center" vertical="center"/>
    </xf>
    <xf numFmtId="49" fontId="0" fillId="3" borderId="25" xfId="0" applyNumberFormat="1" applyFill="1" applyBorder="1" applyAlignment="1">
      <alignment horizontal="center" vertical="center" wrapText="1"/>
    </xf>
    <xf numFmtId="49" fontId="0" fillId="3" borderId="21" xfId="0" applyNumberFormat="1" applyFill="1" applyBorder="1" applyAlignment="1">
      <alignment horizontal="center" vertical="center" wrapText="1"/>
    </xf>
    <xf numFmtId="49" fontId="0" fillId="3" borderId="27" xfId="0" applyNumberFormat="1" applyFill="1" applyBorder="1" applyAlignment="1">
      <alignment horizontal="center" vertical="center" wrapText="1"/>
    </xf>
    <xf numFmtId="49" fontId="0" fillId="2" borderId="1" xfId="0" applyNumberFormat="1" applyFill="1" applyBorder="1" applyAlignment="1">
      <alignment horizontal="center" vertical="center" wrapText="1"/>
    </xf>
    <xf numFmtId="49" fontId="0" fillId="2" borderId="12" xfId="0" applyNumberFormat="1" applyFill="1" applyBorder="1" applyAlignment="1">
      <alignment horizontal="center" vertical="center" wrapText="1"/>
    </xf>
    <xf numFmtId="49" fontId="7" fillId="0" borderId="25" xfId="0" applyNumberFormat="1" applyFont="1" applyBorder="1" applyAlignment="1">
      <alignment horizontal="center" vertical="center" wrapText="1"/>
    </xf>
    <xf numFmtId="49" fontId="7" fillId="0" borderId="27" xfId="0" applyNumberFormat="1" applyFont="1" applyBorder="1" applyAlignment="1">
      <alignment horizontal="center" vertical="center" wrapText="1"/>
    </xf>
    <xf numFmtId="4" fontId="7" fillId="0" borderId="8" xfId="0" applyNumberFormat="1" applyFont="1" applyBorder="1" applyAlignment="1">
      <alignment horizontal="center" vertical="center"/>
    </xf>
    <xf numFmtId="4" fontId="7" fillId="0" borderId="5" xfId="0" applyNumberFormat="1" applyFont="1" applyBorder="1" applyAlignment="1">
      <alignment horizontal="center" vertical="center"/>
    </xf>
    <xf numFmtId="49" fontId="7" fillId="0" borderId="8"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4" borderId="7" xfId="0" applyNumberFormat="1" applyFont="1" applyFill="1" applyBorder="1" applyAlignment="1">
      <alignment horizontal="center" vertical="center" wrapText="1"/>
    </xf>
    <xf numFmtId="49" fontId="7" fillId="4" borderId="12" xfId="0" applyNumberFormat="1" applyFont="1" applyFill="1" applyBorder="1" applyAlignment="1">
      <alignment horizontal="center" vertical="center" wrapText="1"/>
    </xf>
    <xf numFmtId="2" fontId="53" fillId="0" borderId="0" xfId="0" applyNumberFormat="1" applyFont="1" applyAlignment="1">
      <alignment horizontal="center" vertical="center" wrapText="1"/>
    </xf>
    <xf numFmtId="0" fontId="57" fillId="3" borderId="1" xfId="0" applyFont="1" applyFill="1" applyBorder="1" applyAlignment="1">
      <alignment vertical="center"/>
    </xf>
    <xf numFmtId="0" fontId="57" fillId="3" borderId="3" xfId="0" applyFont="1" applyFill="1" applyBorder="1" applyAlignment="1">
      <alignment vertical="center"/>
    </xf>
    <xf numFmtId="0" fontId="56" fillId="3" borderId="1" xfId="0" applyFont="1" applyFill="1" applyBorder="1" applyAlignment="1">
      <alignment horizontal="center" vertical="center"/>
    </xf>
    <xf numFmtId="0" fontId="56" fillId="3" borderId="1" xfId="0" applyFont="1" applyFill="1" applyBorder="1" applyAlignment="1">
      <alignment vertical="center"/>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4_vp_dep\bendras\Stebesenos_rodikliai\Post%202020\VP%20projektai\4%20draft\3PO\SM\Metod.%20dok.%20SM%20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vencijų lėšos"/>
      <sheetName val="Bendras SM"/>
      <sheetName val="2PO 2.2"/>
      <sheetName val="Lapas1"/>
      <sheetName val="2PO2.8"/>
      <sheetName val="3PO3.1"/>
      <sheetName val="3PO 3.2"/>
      <sheetName val="3PO 3.3"/>
    </sheetNames>
    <sheetDataSet>
      <sheetData sheetId="0">
        <row r="8">
          <cell r="I8">
            <v>10000000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10" dT="2025-09-30T12:29:06.77" personId="{00000000-0000-0000-0000-000000000000}" id="{3FAE42A8-F0BE-458B-A7E8-0DFB8D7B3637}">
    <text>25-2, dėl pabrangusių pervažų įrengimo darbų kainų</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8"/>
  <sheetViews>
    <sheetView zoomScale="55" zoomScaleNormal="55" workbookViewId="0">
      <selection activeCell="J7" activeCellId="1" sqref="J5 J7"/>
    </sheetView>
  </sheetViews>
  <sheetFormatPr defaultRowHeight="15"/>
  <cols>
    <col min="1" max="1" width="15" customWidth="1"/>
    <col min="2" max="2" width="31.28515625" customWidth="1"/>
    <col min="3" max="3" width="10.7109375" style="242" customWidth="1"/>
    <col min="4" max="4" width="11" style="242" customWidth="1"/>
    <col min="5" max="5" width="15.28515625" style="244" customWidth="1"/>
    <col min="6" max="6" width="12.7109375" style="242" customWidth="1"/>
    <col min="7" max="7" width="12.7109375" style="243" customWidth="1"/>
    <col min="8" max="10" width="23.42578125" style="242" customWidth="1"/>
    <col min="11" max="11" width="54.42578125" style="241" customWidth="1"/>
    <col min="12" max="12" width="21" customWidth="1"/>
    <col min="14" max="14" width="16.28515625" customWidth="1"/>
    <col min="15" max="15" width="8.42578125" customWidth="1"/>
    <col min="16" max="16" width="26.28515625" customWidth="1"/>
    <col min="18" max="18" width="13.28515625" customWidth="1"/>
    <col min="19" max="19" width="10.28515625" bestFit="1" customWidth="1"/>
    <col min="20" max="20" width="11.7109375" bestFit="1" customWidth="1"/>
  </cols>
  <sheetData>
    <row r="1" spans="1:16" ht="18.75">
      <c r="C1" s="691" t="s">
        <v>0</v>
      </c>
      <c r="D1" s="692"/>
      <c r="E1" s="692"/>
      <c r="F1" s="692"/>
      <c r="G1" s="692"/>
      <c r="H1" s="693"/>
      <c r="I1" s="252"/>
      <c r="J1" s="252"/>
      <c r="L1" s="251"/>
    </row>
    <row r="2" spans="1:16" ht="32.25" thickBot="1">
      <c r="C2" s="300" t="s">
        <v>1</v>
      </c>
      <c r="D2" s="300" t="s">
        <v>2</v>
      </c>
      <c r="E2" s="300" t="s">
        <v>3</v>
      </c>
      <c r="F2" s="300" t="s">
        <v>4</v>
      </c>
      <c r="G2" s="301" t="s">
        <v>5</v>
      </c>
      <c r="H2" s="300" t="s">
        <v>6</v>
      </c>
      <c r="I2" s="346" t="s">
        <v>7</v>
      </c>
      <c r="J2" s="346" t="s">
        <v>8</v>
      </c>
      <c r="L2" s="251"/>
    </row>
    <row r="3" spans="1:16" ht="38.25" customHeight="1">
      <c r="A3" s="653" t="s">
        <v>9</v>
      </c>
      <c r="B3" s="655" t="s">
        <v>10</v>
      </c>
      <c r="C3" s="344">
        <v>2</v>
      </c>
      <c r="D3" s="344" t="s">
        <v>11</v>
      </c>
      <c r="E3" s="345" t="s">
        <v>12</v>
      </c>
      <c r="F3" s="344" t="s">
        <v>13</v>
      </c>
      <c r="G3" s="343" t="s">
        <v>14</v>
      </c>
      <c r="H3" s="347">
        <v>103039200</v>
      </c>
      <c r="I3" s="354">
        <f>H3+20897600-10000000</f>
        <v>113936800</v>
      </c>
      <c r="J3" s="354">
        <f>124531822+10000000</f>
        <v>134531822</v>
      </c>
      <c r="K3" s="657" t="s">
        <v>15</v>
      </c>
      <c r="L3" s="703" t="s">
        <v>16</v>
      </c>
      <c r="M3" s="715">
        <v>44105</v>
      </c>
      <c r="N3" s="716"/>
    </row>
    <row r="4" spans="1:16" ht="67.150000000000006" customHeight="1" thickBot="1">
      <c r="A4" s="654"/>
      <c r="B4" s="656"/>
      <c r="C4" s="341">
        <v>2</v>
      </c>
      <c r="D4" s="341" t="s">
        <v>17</v>
      </c>
      <c r="E4" s="342" t="s">
        <v>18</v>
      </c>
      <c r="F4" s="341" t="s">
        <v>13</v>
      </c>
      <c r="G4" s="340" t="s">
        <v>14</v>
      </c>
      <c r="H4" s="348">
        <v>7000000</v>
      </c>
      <c r="I4" s="354">
        <f>H4-600000</f>
        <v>6400000</v>
      </c>
      <c r="J4" s="354">
        <v>6400000</v>
      </c>
      <c r="K4" s="657"/>
      <c r="L4" s="704"/>
      <c r="M4" s="698">
        <v>123936800</v>
      </c>
      <c r="N4" s="699"/>
      <c r="O4" s="3" t="s">
        <v>11</v>
      </c>
      <c r="P4" s="376">
        <f>I3+I8</f>
        <v>123936800</v>
      </c>
    </row>
    <row r="5" spans="1:16" ht="40.5" customHeight="1">
      <c r="A5" s="381" t="s">
        <v>19</v>
      </c>
      <c r="B5" s="380" t="s">
        <v>20</v>
      </c>
      <c r="C5" s="378">
        <v>2</v>
      </c>
      <c r="D5" s="378" t="s">
        <v>17</v>
      </c>
      <c r="E5" s="379" t="s">
        <v>18</v>
      </c>
      <c r="F5" s="378" t="s">
        <v>21</v>
      </c>
      <c r="G5" s="377" t="s">
        <v>22</v>
      </c>
      <c r="H5" s="382">
        <v>122382600</v>
      </c>
      <c r="I5" s="355">
        <f>(H5-615010)</f>
        <v>121767590</v>
      </c>
      <c r="J5" s="355">
        <v>121730794</v>
      </c>
      <c r="K5" s="375" t="s">
        <v>23</v>
      </c>
      <c r="L5" s="704"/>
      <c r="M5" s="698">
        <v>173867590</v>
      </c>
      <c r="N5" s="699"/>
      <c r="O5" s="3" t="s">
        <v>24</v>
      </c>
      <c r="P5" s="376">
        <f>SUM(I5:I7)</f>
        <v>167467590</v>
      </c>
    </row>
    <row r="6" spans="1:16" ht="16.5" customHeight="1">
      <c r="A6" s="658" t="s">
        <v>25</v>
      </c>
      <c r="B6" s="659" t="s">
        <v>26</v>
      </c>
      <c r="C6" s="338">
        <v>2</v>
      </c>
      <c r="D6" s="338" t="s">
        <v>17</v>
      </c>
      <c r="E6" s="339" t="s">
        <v>18</v>
      </c>
      <c r="F6" s="338" t="s">
        <v>21</v>
      </c>
      <c r="G6" s="337" t="s">
        <v>14</v>
      </c>
      <c r="H6" s="336">
        <v>300000</v>
      </c>
      <c r="I6" s="356">
        <v>0</v>
      </c>
      <c r="J6" s="356">
        <v>0</v>
      </c>
      <c r="K6" s="375" t="s">
        <v>15</v>
      </c>
      <c r="L6" s="704"/>
      <c r="M6" s="326"/>
      <c r="N6" s="326"/>
    </row>
    <row r="7" spans="1:16" ht="25.5" customHeight="1">
      <c r="A7" s="658"/>
      <c r="B7" s="659"/>
      <c r="C7" s="338">
        <v>2</v>
      </c>
      <c r="D7" s="338" t="s">
        <v>17</v>
      </c>
      <c r="E7" s="339" t="s">
        <v>18</v>
      </c>
      <c r="F7" s="338" t="s">
        <v>21</v>
      </c>
      <c r="G7" s="337" t="s">
        <v>27</v>
      </c>
      <c r="H7" s="336">
        <v>46000000</v>
      </c>
      <c r="I7" s="356">
        <f>H7-600000+H6</f>
        <v>45700000</v>
      </c>
      <c r="J7" s="356">
        <v>45700000</v>
      </c>
      <c r="K7" s="369" t="s">
        <v>28</v>
      </c>
      <c r="L7" s="704"/>
      <c r="M7" s="326"/>
      <c r="N7" s="335"/>
    </row>
    <row r="8" spans="1:16" ht="25.5" customHeight="1" thickBot="1">
      <c r="A8" s="374" t="s">
        <v>29</v>
      </c>
      <c r="B8" s="373" t="s">
        <v>30</v>
      </c>
      <c r="C8" s="371">
        <v>2</v>
      </c>
      <c r="D8" s="371" t="s">
        <v>11</v>
      </c>
      <c r="E8" s="372" t="s">
        <v>12</v>
      </c>
      <c r="F8" s="371" t="s">
        <v>21</v>
      </c>
      <c r="G8" s="370" t="s">
        <v>31</v>
      </c>
      <c r="H8" s="383">
        <v>8000000</v>
      </c>
      <c r="I8" s="388">
        <v>10000000</v>
      </c>
      <c r="J8" s="388">
        <v>0</v>
      </c>
      <c r="K8" s="369" t="s">
        <v>32</v>
      </c>
      <c r="L8" s="705"/>
      <c r="M8" s="326"/>
      <c r="N8" s="335"/>
    </row>
    <row r="9" spans="1:16" ht="39.75" customHeight="1">
      <c r="A9" s="650" t="s">
        <v>33</v>
      </c>
      <c r="B9" s="665" t="s">
        <v>34</v>
      </c>
      <c r="C9" s="662">
        <v>3</v>
      </c>
      <c r="D9" s="660" t="s">
        <v>11</v>
      </c>
      <c r="E9" s="284" t="s">
        <v>12</v>
      </c>
      <c r="F9" s="334"/>
      <c r="G9" s="333" t="s">
        <v>35</v>
      </c>
      <c r="H9" s="384">
        <v>5000000</v>
      </c>
      <c r="I9" s="327">
        <f>H9+1250000+ 6250000</f>
        <v>12500000</v>
      </c>
      <c r="J9" s="327">
        <v>11908130</v>
      </c>
      <c r="K9" s="315" t="s">
        <v>36</v>
      </c>
      <c r="L9" s="703" t="s">
        <v>37</v>
      </c>
      <c r="M9" s="326"/>
      <c r="N9" s="326"/>
    </row>
    <row r="10" spans="1:16" ht="39.75" customHeight="1" thickBot="1">
      <c r="A10" s="651"/>
      <c r="B10" s="666"/>
      <c r="C10" s="663"/>
      <c r="D10" s="661"/>
      <c r="E10" s="389" t="s">
        <v>38</v>
      </c>
      <c r="F10" s="694" t="s">
        <v>39</v>
      </c>
      <c r="G10" s="390"/>
      <c r="H10" s="391"/>
      <c r="I10" s="327"/>
      <c r="J10" s="327">
        <v>588200</v>
      </c>
      <c r="K10" s="303"/>
      <c r="L10" s="704"/>
      <c r="M10" s="326"/>
      <c r="N10" s="326"/>
    </row>
    <row r="11" spans="1:16" s="329" customFormat="1" ht="59.25" customHeight="1">
      <c r="A11" s="651"/>
      <c r="B11" s="666"/>
      <c r="C11" s="663"/>
      <c r="D11" s="660" t="s">
        <v>11</v>
      </c>
      <c r="E11" s="328" t="s">
        <v>12</v>
      </c>
      <c r="F11" s="694"/>
      <c r="G11" s="695" t="s">
        <v>40</v>
      </c>
      <c r="H11" s="349">
        <v>5000000</v>
      </c>
      <c r="I11" s="327">
        <v>0</v>
      </c>
      <c r="J11" s="327">
        <v>0</v>
      </c>
      <c r="K11" s="331" t="s">
        <v>41</v>
      </c>
      <c r="L11" s="704"/>
      <c r="M11" s="326"/>
      <c r="N11" s="326"/>
    </row>
    <row r="12" spans="1:16" s="329" customFormat="1" ht="59.25" customHeight="1" thickBot="1">
      <c r="A12" s="651"/>
      <c r="B12" s="666"/>
      <c r="C12" s="663"/>
      <c r="D12" s="661"/>
      <c r="E12" s="328" t="s">
        <v>38</v>
      </c>
      <c r="F12" s="694"/>
      <c r="G12" s="696"/>
      <c r="H12" s="349"/>
      <c r="I12" s="327"/>
      <c r="J12" s="327">
        <v>0</v>
      </c>
      <c r="K12" s="331"/>
      <c r="L12" s="704"/>
      <c r="M12" s="326"/>
      <c r="N12" s="326"/>
    </row>
    <row r="13" spans="1:16" s="329" customFormat="1" ht="42" customHeight="1">
      <c r="A13" s="651"/>
      <c r="B13" s="666"/>
      <c r="C13" s="663"/>
      <c r="D13" s="660" t="s">
        <v>11</v>
      </c>
      <c r="E13" s="328" t="s">
        <v>12</v>
      </c>
      <c r="F13" s="694"/>
      <c r="G13" s="697" t="s">
        <v>42</v>
      </c>
      <c r="H13" s="349">
        <v>5000000</v>
      </c>
      <c r="I13" s="327">
        <f>H13+1250000</f>
        <v>6250000</v>
      </c>
      <c r="J13" s="327">
        <v>5960260</v>
      </c>
      <c r="K13" s="330" t="s">
        <v>43</v>
      </c>
      <c r="L13" s="704"/>
      <c r="M13" s="326"/>
      <c r="N13" s="326"/>
    </row>
    <row r="14" spans="1:16" s="329" customFormat="1" ht="42" customHeight="1" thickBot="1">
      <c r="A14" s="651"/>
      <c r="B14" s="666"/>
      <c r="C14" s="663"/>
      <c r="D14" s="661"/>
      <c r="E14" s="392" t="s">
        <v>38</v>
      </c>
      <c r="F14" s="694"/>
      <c r="G14" s="697"/>
      <c r="H14" s="393"/>
      <c r="I14" s="327"/>
      <c r="J14" s="327">
        <v>291200</v>
      </c>
      <c r="K14" s="330"/>
      <c r="L14" s="704"/>
      <c r="M14" s="326"/>
      <c r="N14" s="326"/>
    </row>
    <row r="15" spans="1:16" ht="42" customHeight="1" thickBot="1">
      <c r="A15" s="651"/>
      <c r="B15" s="666"/>
      <c r="C15" s="663"/>
      <c r="D15" s="660" t="s">
        <v>11</v>
      </c>
      <c r="E15" s="368" t="s">
        <v>12</v>
      </c>
      <c r="F15" s="694"/>
      <c r="G15" s="332" t="s">
        <v>44</v>
      </c>
      <c r="H15" s="385">
        <v>5000000</v>
      </c>
      <c r="I15" s="327">
        <f>H15+1250000</f>
        <v>6250000</v>
      </c>
      <c r="J15" s="327">
        <v>5961710</v>
      </c>
      <c r="K15" s="315" t="s">
        <v>45</v>
      </c>
      <c r="L15" s="704"/>
      <c r="M15" s="326"/>
      <c r="N15" s="326"/>
    </row>
    <row r="16" spans="1:16" ht="42" customHeight="1" thickBot="1">
      <c r="A16" s="652"/>
      <c r="B16" s="667"/>
      <c r="C16" s="664"/>
      <c r="D16" s="661"/>
      <c r="E16" s="394"/>
      <c r="F16" s="661"/>
      <c r="G16" s="332"/>
      <c r="H16" s="395"/>
      <c r="I16" s="327"/>
      <c r="J16" s="327">
        <v>290500</v>
      </c>
      <c r="K16" s="315"/>
      <c r="L16" s="704"/>
      <c r="M16" s="326"/>
      <c r="N16" s="326"/>
    </row>
    <row r="17" spans="1:20" ht="14.25" customHeight="1">
      <c r="A17" s="668" t="s">
        <v>46</v>
      </c>
      <c r="B17" s="670" t="s">
        <v>47</v>
      </c>
      <c r="C17" s="367">
        <v>3</v>
      </c>
      <c r="D17" s="365" t="s">
        <v>17</v>
      </c>
      <c r="E17" s="366" t="s">
        <v>18</v>
      </c>
      <c r="F17" s="365" t="s">
        <v>48</v>
      </c>
      <c r="G17" s="396" t="s">
        <v>49</v>
      </c>
      <c r="H17" s="386">
        <v>94000000</v>
      </c>
      <c r="I17" s="357">
        <f>H17-900000+2000000</f>
        <v>95100000</v>
      </c>
      <c r="J17" s="357">
        <f>I17</f>
        <v>95100000</v>
      </c>
      <c r="K17" s="315" t="s">
        <v>50</v>
      </c>
      <c r="L17" s="704"/>
      <c r="M17" s="326"/>
      <c r="N17" s="326"/>
    </row>
    <row r="18" spans="1:20" ht="25.5" customHeight="1">
      <c r="A18" s="669"/>
      <c r="B18" s="671"/>
      <c r="C18" s="278">
        <v>3</v>
      </c>
      <c r="D18" s="276" t="s">
        <v>17</v>
      </c>
      <c r="E18" s="277" t="s">
        <v>18</v>
      </c>
      <c r="F18" s="276" t="s">
        <v>48</v>
      </c>
      <c r="G18" s="275" t="s">
        <v>51</v>
      </c>
      <c r="H18" s="350">
        <v>52290000</v>
      </c>
      <c r="I18" s="357">
        <f>H18-800000</f>
        <v>51490000</v>
      </c>
      <c r="J18" s="357">
        <f>I18</f>
        <v>51490000</v>
      </c>
      <c r="K18" s="315" t="s">
        <v>52</v>
      </c>
      <c r="L18" s="704"/>
      <c r="M18" s="326"/>
      <c r="N18" s="335">
        <f>I17+I18+I19+I24</f>
        <v>158790000</v>
      </c>
      <c r="P18" s="200"/>
      <c r="S18">
        <f>123936800+121767590+45700000+6400000+25000000+90080000+10000000+146790000+242432250+10000000+2000000</f>
        <v>824106640</v>
      </c>
    </row>
    <row r="19" spans="1:20" ht="86.25" customHeight="1">
      <c r="A19" s="669"/>
      <c r="B19" s="672"/>
      <c r="C19" s="278">
        <v>3</v>
      </c>
      <c r="D19" s="276" t="s">
        <v>17</v>
      </c>
      <c r="E19" s="277" t="s">
        <v>18</v>
      </c>
      <c r="F19" s="276" t="s">
        <v>48</v>
      </c>
      <c r="G19" s="275" t="s">
        <v>53</v>
      </c>
      <c r="H19" s="350">
        <v>3000000</v>
      </c>
      <c r="I19" s="357">
        <f>H19-800000</f>
        <v>2200000</v>
      </c>
      <c r="J19" s="357">
        <f>I19</f>
        <v>2200000</v>
      </c>
      <c r="K19" s="321" t="s">
        <v>54</v>
      </c>
      <c r="L19" s="704"/>
      <c r="M19" s="717">
        <v>44105</v>
      </c>
      <c r="N19" s="718"/>
      <c r="P19" s="200"/>
      <c r="S19">
        <f>113936800+10000000+121767590+45700000+6400000+25000000+90080000+10000000+148790000+242432250+10000000</f>
        <v>824106640</v>
      </c>
      <c r="T19" s="112">
        <f>824106640-S19</f>
        <v>0</v>
      </c>
    </row>
    <row r="20" spans="1:20" ht="25.5" customHeight="1">
      <c r="A20" s="679" t="s">
        <v>55</v>
      </c>
      <c r="B20" s="682" t="s">
        <v>56</v>
      </c>
      <c r="C20" s="325">
        <v>3</v>
      </c>
      <c r="D20" s="323" t="s">
        <v>17</v>
      </c>
      <c r="E20" s="324" t="s">
        <v>18</v>
      </c>
      <c r="F20" s="323" t="s">
        <v>48</v>
      </c>
      <c r="G20" s="322" t="s">
        <v>57</v>
      </c>
      <c r="H20" s="351">
        <v>177000000</v>
      </c>
      <c r="I20" s="358">
        <v>63315000</v>
      </c>
      <c r="J20" s="358">
        <v>65530043</v>
      </c>
      <c r="K20" s="315" t="s">
        <v>58</v>
      </c>
      <c r="L20" s="704"/>
      <c r="M20" s="698">
        <v>125080000</v>
      </c>
      <c r="N20" s="699"/>
      <c r="O20" s="3" t="s">
        <v>11</v>
      </c>
      <c r="P20" s="4">
        <f>SUM(I9:I15,I25)</f>
        <v>115080000</v>
      </c>
    </row>
    <row r="21" spans="1:20" ht="36" customHeight="1">
      <c r="A21" s="680"/>
      <c r="B21" s="683"/>
      <c r="C21" s="325">
        <v>3</v>
      </c>
      <c r="D21" s="323" t="s">
        <v>17</v>
      </c>
      <c r="E21" s="324" t="s">
        <v>18</v>
      </c>
      <c r="F21" s="323" t="s">
        <v>48</v>
      </c>
      <c r="G21" s="322" t="s">
        <v>59</v>
      </c>
      <c r="H21" s="351">
        <v>44500000</v>
      </c>
      <c r="I21" s="358">
        <v>147896000</v>
      </c>
      <c r="J21" s="358">
        <v>147844205</v>
      </c>
      <c r="K21" s="321" t="s">
        <v>60</v>
      </c>
      <c r="L21" s="704"/>
      <c r="M21" s="698">
        <v>401222250</v>
      </c>
      <c r="N21" s="699"/>
      <c r="O21" s="3" t="s">
        <v>61</v>
      </c>
      <c r="P21" s="364">
        <f>SUM(I17:I24)</f>
        <v>401222250</v>
      </c>
      <c r="R21" s="200"/>
    </row>
    <row r="22" spans="1:20" ht="15" customHeight="1">
      <c r="A22" s="680"/>
      <c r="B22" s="683"/>
      <c r="C22" s="325">
        <v>3</v>
      </c>
      <c r="D22" s="323" t="s">
        <v>17</v>
      </c>
      <c r="E22" s="324" t="s">
        <v>18</v>
      </c>
      <c r="F22" s="323" t="s">
        <v>48</v>
      </c>
      <c r="G22" s="322" t="s">
        <v>62</v>
      </c>
      <c r="H22" s="351">
        <v>18500000</v>
      </c>
      <c r="I22" s="358">
        <v>26671250</v>
      </c>
      <c r="J22" s="358">
        <v>26661909</v>
      </c>
      <c r="K22" s="321" t="s">
        <v>63</v>
      </c>
      <c r="L22" s="704"/>
    </row>
    <row r="23" spans="1:20">
      <c r="A23" s="681"/>
      <c r="B23" s="684"/>
      <c r="C23" s="325">
        <v>3</v>
      </c>
      <c r="D23" s="323" t="s">
        <v>17</v>
      </c>
      <c r="E23" s="324" t="s">
        <v>18</v>
      </c>
      <c r="F23" s="323" t="s">
        <v>48</v>
      </c>
      <c r="G23" s="322" t="s">
        <v>64</v>
      </c>
      <c r="H23" s="351">
        <v>5000000</v>
      </c>
      <c r="I23" s="358">
        <v>4550000</v>
      </c>
      <c r="J23" s="358">
        <v>2311190</v>
      </c>
      <c r="K23" s="321" t="s">
        <v>65</v>
      </c>
      <c r="L23" s="704"/>
    </row>
    <row r="24" spans="1:20" ht="34.5" thickBot="1">
      <c r="A24" s="363" t="s">
        <v>66</v>
      </c>
      <c r="B24" s="362" t="s">
        <v>67</v>
      </c>
      <c r="C24" s="266">
        <v>3</v>
      </c>
      <c r="D24" s="264" t="s">
        <v>17</v>
      </c>
      <c r="E24" s="265" t="s">
        <v>18</v>
      </c>
      <c r="F24" s="264" t="s">
        <v>48</v>
      </c>
      <c r="G24" s="263" t="s">
        <v>68</v>
      </c>
      <c r="H24" s="352">
        <v>10000000</v>
      </c>
      <c r="I24" s="359">
        <f>H24</f>
        <v>10000000</v>
      </c>
      <c r="J24" s="359">
        <f>I24</f>
        <v>10000000</v>
      </c>
      <c r="K24" s="321" t="s">
        <v>69</v>
      </c>
      <c r="L24" s="704"/>
      <c r="P24" s="200"/>
    </row>
    <row r="25" spans="1:20" ht="135.75" customHeight="1">
      <c r="A25" s="320" t="s">
        <v>70</v>
      </c>
      <c r="B25" s="687" t="s">
        <v>71</v>
      </c>
      <c r="C25" s="319">
        <v>3</v>
      </c>
      <c r="D25" s="317" t="s">
        <v>11</v>
      </c>
      <c r="E25" s="318" t="s">
        <v>12</v>
      </c>
      <c r="F25" s="317" t="s">
        <v>72</v>
      </c>
      <c r="G25" s="316" t="s">
        <v>73</v>
      </c>
      <c r="H25" s="353">
        <v>82017360</v>
      </c>
      <c r="I25" s="360">
        <f>H25+8062640</f>
        <v>90080000</v>
      </c>
      <c r="J25" s="360">
        <v>87958750</v>
      </c>
      <c r="K25" s="315" t="s">
        <v>74</v>
      </c>
      <c r="L25" s="704"/>
      <c r="N25" s="200">
        <f>I20+I21+I22+I23</f>
        <v>242432250</v>
      </c>
    </row>
    <row r="26" spans="1:20" ht="135.75" customHeight="1">
      <c r="A26" s="320"/>
      <c r="B26" s="688"/>
      <c r="C26" s="319">
        <v>3</v>
      </c>
      <c r="D26" s="317" t="s">
        <v>11</v>
      </c>
      <c r="E26" s="318" t="s">
        <v>12</v>
      </c>
      <c r="F26" s="317" t="s">
        <v>72</v>
      </c>
      <c r="G26" s="316" t="s">
        <v>31</v>
      </c>
      <c r="H26" s="387"/>
      <c r="I26" s="360">
        <v>10000000</v>
      </c>
      <c r="J26" s="360">
        <v>10000000</v>
      </c>
      <c r="K26" s="321" t="s">
        <v>32</v>
      </c>
      <c r="L26" s="704"/>
      <c r="N26" s="200"/>
    </row>
    <row r="27" spans="1:20" ht="123.75" customHeight="1">
      <c r="A27" s="685" t="s">
        <v>75</v>
      </c>
      <c r="B27" s="689" t="s">
        <v>76</v>
      </c>
      <c r="C27" s="314">
        <v>3</v>
      </c>
      <c r="D27" s="312" t="s">
        <v>11</v>
      </c>
      <c r="E27" s="313" t="s">
        <v>12</v>
      </c>
      <c r="F27" s="312" t="s">
        <v>72</v>
      </c>
      <c r="G27" s="311" t="s">
        <v>31</v>
      </c>
      <c r="H27" s="310">
        <v>8000000</v>
      </c>
      <c r="I27" s="355">
        <v>0</v>
      </c>
      <c r="J27" s="355"/>
      <c r="K27" s="706" t="s">
        <v>32</v>
      </c>
      <c r="L27" s="704"/>
      <c r="N27">
        <f>123936800+121767590+45700000+6400000+25000000+90080000+10000000+146790000+242432250+10000000+2000000</f>
        <v>824106640</v>
      </c>
    </row>
    <row r="28" spans="1:20" ht="38.25" customHeight="1" thickBot="1">
      <c r="A28" s="686"/>
      <c r="B28" s="690"/>
      <c r="C28" s="309">
        <v>3</v>
      </c>
      <c r="D28" s="307" t="s">
        <v>11</v>
      </c>
      <c r="E28" s="308" t="s">
        <v>38</v>
      </c>
      <c r="F28" s="307" t="s">
        <v>72</v>
      </c>
      <c r="G28" s="306" t="s">
        <v>31</v>
      </c>
      <c r="H28" s="305">
        <v>2000000</v>
      </c>
      <c r="I28" s="304">
        <v>0</v>
      </c>
      <c r="J28" s="361"/>
      <c r="K28" s="707"/>
      <c r="L28" s="705"/>
    </row>
    <row r="29" spans="1:20" ht="15" customHeight="1" thickBot="1">
      <c r="A29" s="61"/>
      <c r="B29" s="302"/>
      <c r="H29" s="253"/>
      <c r="I29" s="253"/>
      <c r="J29" s="253"/>
      <c r="K29" s="303"/>
      <c r="L29" s="251"/>
    </row>
    <row r="30" spans="1:20" ht="18" customHeight="1">
      <c r="A30" s="61"/>
      <c r="B30" s="302"/>
      <c r="G30" s="259" t="s">
        <v>77</v>
      </c>
      <c r="H30" s="258">
        <f>H3</f>
        <v>103039200</v>
      </c>
      <c r="I30" s="258">
        <f>I3+I8</f>
        <v>123936800</v>
      </c>
      <c r="J30" s="258">
        <f>J3+J8</f>
        <v>134531822</v>
      </c>
      <c r="K30" s="714">
        <f>J30+J31</f>
        <v>308362616</v>
      </c>
      <c r="L30" s="251"/>
    </row>
    <row r="31" spans="1:20" ht="18.75" customHeight="1">
      <c r="A31" s="61"/>
      <c r="B31" s="302"/>
      <c r="G31" s="257" t="s">
        <v>78</v>
      </c>
      <c r="H31" s="256">
        <f>H4+H5+H6+H7</f>
        <v>175682600</v>
      </c>
      <c r="I31" s="256">
        <f>I4+I5+I6+I7</f>
        <v>173867590</v>
      </c>
      <c r="J31" s="256">
        <f>J4+J5+J6+J7</f>
        <v>173830794</v>
      </c>
      <c r="K31" s="714"/>
      <c r="L31" s="251"/>
    </row>
    <row r="32" spans="1:20" ht="18" customHeight="1">
      <c r="A32" s="61"/>
      <c r="B32" s="302"/>
      <c r="G32" s="257" t="s">
        <v>79</v>
      </c>
      <c r="H32" s="256">
        <f>H9+H11+H13+H15+H25+H27</f>
        <v>110017360</v>
      </c>
      <c r="I32" s="256">
        <f>I9+I11+I13+I15+I25+I26</f>
        <v>125080000</v>
      </c>
      <c r="J32" s="256">
        <f>SUM(J9:J16,J25:J26)</f>
        <v>122958750</v>
      </c>
      <c r="K32" s="714">
        <f>J32+J33</f>
        <v>524096097</v>
      </c>
      <c r="L32" s="251"/>
    </row>
    <row r="33" spans="1:12" ht="18.600000000000001" customHeight="1" thickBot="1">
      <c r="A33" s="61"/>
      <c r="B33" s="302"/>
      <c r="G33" s="255" t="s">
        <v>80</v>
      </c>
      <c r="H33" s="254">
        <f>H17+H18+H19+H20+H21+H22+H23+H24+H28</f>
        <v>406290000</v>
      </c>
      <c r="I33" s="254">
        <f>I17+I18+I19+I20+I21+I22+I23+I24</f>
        <v>401222250</v>
      </c>
      <c r="J33" s="254">
        <f>J17+J18+J19+J20+J21+J22+J23+J24</f>
        <v>401137347</v>
      </c>
      <c r="K33" s="714"/>
      <c r="L33" s="251"/>
    </row>
    <row r="34" spans="1:12" ht="18.75">
      <c r="A34" s="61"/>
      <c r="B34" s="302"/>
      <c r="H34" s="253"/>
      <c r="I34" s="253">
        <f>SUM(I30:I33)</f>
        <v>824106640</v>
      </c>
      <c r="J34" s="253">
        <f>SUM(J30:J33)</f>
        <v>832458713</v>
      </c>
      <c r="K34" s="413">
        <f>K30+K32</f>
        <v>832458713</v>
      </c>
      <c r="L34" s="251"/>
    </row>
    <row r="35" spans="1:12" ht="25.5" customHeight="1">
      <c r="L35" s="251"/>
    </row>
    <row r="36" spans="1:12" ht="18.75">
      <c r="C36" s="691" t="s">
        <v>81</v>
      </c>
      <c r="D36" s="692"/>
      <c r="E36" s="692"/>
      <c r="F36" s="692"/>
      <c r="G36" s="692"/>
      <c r="H36" s="693"/>
      <c r="I36" s="252"/>
      <c r="J36" s="252"/>
      <c r="L36" s="251"/>
    </row>
    <row r="37" spans="1:12" ht="26.25" thickBot="1">
      <c r="C37" s="300" t="s">
        <v>1</v>
      </c>
      <c r="D37" s="300" t="s">
        <v>2</v>
      </c>
      <c r="E37" s="300" t="s">
        <v>3</v>
      </c>
      <c r="F37" s="300" t="s">
        <v>4</v>
      </c>
      <c r="G37" s="301" t="s">
        <v>5</v>
      </c>
      <c r="H37" s="300" t="s">
        <v>6</v>
      </c>
      <c r="I37" s="248"/>
      <c r="J37" s="248"/>
      <c r="L37" s="251"/>
    </row>
    <row r="38" spans="1:12" ht="19.5" customHeight="1">
      <c r="C38" s="299">
        <v>2</v>
      </c>
      <c r="D38" s="297" t="s">
        <v>11</v>
      </c>
      <c r="E38" s="298" t="s">
        <v>12</v>
      </c>
      <c r="F38" s="297" t="s">
        <v>13</v>
      </c>
      <c r="G38" s="296" t="s">
        <v>82</v>
      </c>
      <c r="H38" s="295">
        <f>H3</f>
        <v>103039200</v>
      </c>
      <c r="I38" s="294"/>
      <c r="J38" s="294"/>
      <c r="K38" s="708" t="s">
        <v>83</v>
      </c>
      <c r="L38" s="251"/>
    </row>
    <row r="39" spans="1:12" ht="38.25" customHeight="1">
      <c r="C39" s="293">
        <v>2</v>
      </c>
      <c r="D39" s="291" t="s">
        <v>17</v>
      </c>
      <c r="E39" s="292" t="s">
        <v>18</v>
      </c>
      <c r="F39" s="291" t="s">
        <v>13</v>
      </c>
      <c r="G39" s="290" t="s">
        <v>82</v>
      </c>
      <c r="H39" s="289">
        <f>H4</f>
        <v>7000000</v>
      </c>
      <c r="I39" s="288"/>
      <c r="J39" s="288"/>
      <c r="K39" s="708"/>
      <c r="L39" s="251"/>
    </row>
    <row r="40" spans="1:12" ht="47.25" customHeight="1">
      <c r="C40" s="709">
        <v>2</v>
      </c>
      <c r="D40" s="673" t="s">
        <v>17</v>
      </c>
      <c r="E40" s="711" t="s">
        <v>18</v>
      </c>
      <c r="F40" s="673" t="s">
        <v>21</v>
      </c>
      <c r="G40" s="675" t="s">
        <v>84</v>
      </c>
      <c r="H40" s="677">
        <f>SUM(H5:H7)</f>
        <v>168682600</v>
      </c>
      <c r="I40" s="287"/>
      <c r="J40" s="287"/>
      <c r="K40" s="713" t="s">
        <v>85</v>
      </c>
      <c r="L40" s="251"/>
    </row>
    <row r="41" spans="1:12" ht="19.5" thickBot="1">
      <c r="C41" s="710"/>
      <c r="D41" s="674"/>
      <c r="E41" s="712"/>
      <c r="F41" s="674"/>
      <c r="G41" s="676"/>
      <c r="H41" s="678"/>
      <c r="I41" s="286"/>
      <c r="J41" s="286"/>
      <c r="K41" s="713"/>
      <c r="L41" s="251"/>
    </row>
    <row r="42" spans="1:12" ht="25.5">
      <c r="C42" s="285">
        <v>3</v>
      </c>
      <c r="D42" s="283" t="s">
        <v>11</v>
      </c>
      <c r="E42" s="284" t="s">
        <v>12</v>
      </c>
      <c r="F42" s="283" t="s">
        <v>39</v>
      </c>
      <c r="G42" s="282" t="s">
        <v>84</v>
      </c>
      <c r="H42" s="281">
        <f>SUM(H9:H15)</f>
        <v>20000000</v>
      </c>
      <c r="I42" s="280"/>
      <c r="J42" s="280"/>
      <c r="K42" s="713"/>
      <c r="L42" s="279"/>
    </row>
    <row r="43" spans="1:12" ht="25.5" customHeight="1">
      <c r="C43" s="278">
        <v>3</v>
      </c>
      <c r="D43" s="276" t="s">
        <v>17</v>
      </c>
      <c r="E43" s="277" t="s">
        <v>18</v>
      </c>
      <c r="F43" s="276" t="s">
        <v>48</v>
      </c>
      <c r="G43" s="275" t="s">
        <v>84</v>
      </c>
      <c r="H43" s="274">
        <f>SUM(H17:H24)</f>
        <v>404290000</v>
      </c>
      <c r="I43" s="273"/>
      <c r="J43" s="273"/>
      <c r="K43" s="713"/>
      <c r="L43" s="260"/>
    </row>
    <row r="44" spans="1:12" ht="25.5">
      <c r="C44" s="272"/>
      <c r="D44" s="270" t="s">
        <v>11</v>
      </c>
      <c r="E44" s="271" t="s">
        <v>12</v>
      </c>
      <c r="F44" s="270" t="s">
        <v>72</v>
      </c>
      <c r="G44" s="269" t="s">
        <v>84</v>
      </c>
      <c r="H44" s="268">
        <f>SUM(H25:H27)</f>
        <v>90017360</v>
      </c>
      <c r="I44" s="267"/>
      <c r="J44" s="267"/>
      <c r="K44" s="713"/>
      <c r="L44" s="260"/>
    </row>
    <row r="45" spans="1:12" ht="19.5" thickBot="1">
      <c r="C45" s="266">
        <v>3</v>
      </c>
      <c r="D45" s="264" t="s">
        <v>17</v>
      </c>
      <c r="E45" s="265" t="s">
        <v>18</v>
      </c>
      <c r="F45" s="264" t="s">
        <v>72</v>
      </c>
      <c r="G45" s="263" t="s">
        <v>84</v>
      </c>
      <c r="H45" s="262">
        <f>H28</f>
        <v>2000000</v>
      </c>
      <c r="I45" s="261"/>
      <c r="J45" s="261"/>
      <c r="K45" s="713"/>
      <c r="L45" s="260"/>
    </row>
    <row r="46" spans="1:12" ht="19.5" thickBot="1">
      <c r="L46" s="251"/>
    </row>
    <row r="47" spans="1:12" ht="18.75">
      <c r="G47" s="259" t="s">
        <v>77</v>
      </c>
      <c r="H47" s="258">
        <f>H38</f>
        <v>103039200</v>
      </c>
      <c r="I47" s="253"/>
      <c r="J47" s="253"/>
      <c r="L47" s="251"/>
    </row>
    <row r="48" spans="1:12" ht="18.75">
      <c r="G48" s="257" t="s">
        <v>78</v>
      </c>
      <c r="H48" s="256">
        <f>H39+H40</f>
        <v>175682600</v>
      </c>
      <c r="I48" s="253"/>
      <c r="J48" s="253"/>
      <c r="L48" s="251"/>
    </row>
    <row r="49" spans="3:12" ht="18.75">
      <c r="G49" s="257" t="s">
        <v>79</v>
      </c>
      <c r="H49" s="256">
        <f>H42+H44</f>
        <v>110017360</v>
      </c>
      <c r="I49" s="253"/>
      <c r="J49" s="253"/>
      <c r="L49" s="251"/>
    </row>
    <row r="50" spans="3:12" ht="19.5" thickBot="1">
      <c r="G50" s="255" t="s">
        <v>80</v>
      </c>
      <c r="H50" s="254">
        <f>H43+H45</f>
        <v>406290000</v>
      </c>
      <c r="I50" s="253"/>
      <c r="J50" s="253"/>
      <c r="L50" s="251"/>
    </row>
    <row r="51" spans="3:12" ht="18.75">
      <c r="L51" s="251"/>
    </row>
    <row r="52" spans="3:12" ht="18.75">
      <c r="C52" s="691" t="s">
        <v>86</v>
      </c>
      <c r="D52" s="692"/>
      <c r="E52" s="692"/>
      <c r="F52" s="692"/>
      <c r="G52" s="692"/>
      <c r="H52" s="693"/>
      <c r="I52" s="252"/>
      <c r="J52" s="252"/>
      <c r="L52" s="251"/>
    </row>
    <row r="53" spans="3:12" ht="25.5">
      <c r="C53" s="249" t="s">
        <v>1</v>
      </c>
      <c r="D53" s="249" t="s">
        <v>2</v>
      </c>
      <c r="E53" s="249" t="s">
        <v>3</v>
      </c>
      <c r="F53" s="249" t="s">
        <v>4</v>
      </c>
      <c r="G53" s="250" t="s">
        <v>5</v>
      </c>
      <c r="H53" s="249" t="s">
        <v>6</v>
      </c>
      <c r="I53" s="248"/>
      <c r="J53" s="248"/>
      <c r="L53" s="251"/>
    </row>
    <row r="54" spans="3:12" ht="18.75">
      <c r="C54" s="245"/>
      <c r="D54" s="245"/>
      <c r="E54" s="247"/>
      <c r="F54" s="245"/>
      <c r="G54" s="246"/>
      <c r="H54" s="245"/>
      <c r="L54" s="251"/>
    </row>
    <row r="55" spans="3:12" ht="18.75">
      <c r="C55" s="245"/>
      <c r="D55" s="245"/>
      <c r="E55" s="247"/>
      <c r="F55" s="245"/>
      <c r="G55" s="246"/>
      <c r="H55" s="245"/>
      <c r="L55" s="251"/>
    </row>
    <row r="56" spans="3:12" ht="18.75">
      <c r="C56" s="245"/>
      <c r="D56" s="245"/>
      <c r="E56" s="247"/>
      <c r="F56" s="245"/>
      <c r="G56" s="246"/>
      <c r="H56" s="245"/>
      <c r="L56" s="251"/>
    </row>
    <row r="57" spans="3:12" ht="18.75">
      <c r="C57" s="245"/>
      <c r="D57" s="245"/>
      <c r="E57" s="247"/>
      <c r="F57" s="245"/>
      <c r="G57" s="246"/>
      <c r="H57" s="245"/>
      <c r="L57" s="251"/>
    </row>
    <row r="58" spans="3:12" ht="18.75">
      <c r="C58" s="245"/>
      <c r="D58" s="245"/>
      <c r="E58" s="247"/>
      <c r="F58" s="245"/>
      <c r="G58" s="246"/>
      <c r="H58" s="245"/>
      <c r="L58" s="251"/>
    </row>
    <row r="59" spans="3:12" ht="18.75">
      <c r="C59" s="245"/>
      <c r="D59" s="245"/>
      <c r="E59" s="247"/>
      <c r="F59" s="245"/>
      <c r="G59" s="246"/>
      <c r="H59" s="245"/>
      <c r="L59" s="251"/>
    </row>
    <row r="60" spans="3:12" ht="18.75">
      <c r="C60" s="245"/>
      <c r="D60" s="245"/>
      <c r="E60" s="247"/>
      <c r="F60" s="245"/>
      <c r="G60" s="246"/>
      <c r="H60" s="245"/>
      <c r="L60" s="251"/>
    </row>
    <row r="61" spans="3:12" ht="18.75">
      <c r="C61" s="245"/>
      <c r="D61" s="245"/>
      <c r="E61" s="247"/>
      <c r="F61" s="245"/>
      <c r="G61" s="246"/>
      <c r="H61" s="245"/>
      <c r="L61" s="251"/>
    </row>
    <row r="62" spans="3:12" ht="18.75">
      <c r="C62" s="245"/>
      <c r="D62" s="245"/>
      <c r="E62" s="247"/>
      <c r="F62" s="245"/>
      <c r="G62" s="246"/>
      <c r="H62" s="245"/>
      <c r="L62" s="251"/>
    </row>
    <row r="63" spans="3:12" ht="18.75">
      <c r="C63" s="245"/>
      <c r="D63" s="245"/>
      <c r="E63" s="247"/>
      <c r="F63" s="245"/>
      <c r="G63" s="246"/>
      <c r="H63" s="245"/>
      <c r="L63" s="251"/>
    </row>
    <row r="64" spans="3:12" ht="18.75">
      <c r="C64" s="245"/>
      <c r="D64" s="245"/>
      <c r="E64" s="247"/>
      <c r="F64" s="245"/>
      <c r="G64" s="246"/>
      <c r="H64" s="245"/>
      <c r="L64" s="251"/>
    </row>
    <row r="65" spans="3:12" ht="18.75">
      <c r="L65" s="251"/>
    </row>
    <row r="66" spans="3:12" ht="18.75">
      <c r="L66" s="251"/>
    </row>
    <row r="67" spans="3:12" ht="18.75">
      <c r="L67" s="251"/>
    </row>
    <row r="68" spans="3:12" ht="18.75">
      <c r="L68" s="251"/>
    </row>
    <row r="69" spans="3:12" ht="18.75">
      <c r="L69" s="251"/>
    </row>
    <row r="70" spans="3:12" ht="18.75">
      <c r="L70" s="251"/>
    </row>
    <row r="71" spans="3:12">
      <c r="C71" s="245"/>
      <c r="D71" s="245"/>
      <c r="E71" s="247"/>
      <c r="F71" s="245"/>
      <c r="G71" s="246"/>
      <c r="H71" s="245"/>
    </row>
    <row r="72" spans="3:12">
      <c r="C72" s="245"/>
      <c r="D72" s="245"/>
      <c r="E72" s="247"/>
      <c r="F72" s="245"/>
      <c r="G72" s="246"/>
      <c r="H72" s="245"/>
    </row>
    <row r="73" spans="3:12">
      <c r="C73" s="245"/>
      <c r="D73" s="245"/>
      <c r="E73" s="247"/>
      <c r="F73" s="245"/>
      <c r="G73" s="246"/>
      <c r="H73" s="245"/>
    </row>
    <row r="76" spans="3:12" ht="15.75" customHeight="1">
      <c r="C76" s="700" t="s">
        <v>87</v>
      </c>
      <c r="D76" s="701"/>
      <c r="E76" s="701"/>
      <c r="F76" s="701"/>
      <c r="G76" s="701"/>
      <c r="H76" s="702"/>
      <c r="I76" s="78"/>
      <c r="J76" s="78"/>
    </row>
    <row r="77" spans="3:12" ht="25.5">
      <c r="C77" s="249" t="s">
        <v>1</v>
      </c>
      <c r="D77" s="249" t="s">
        <v>2</v>
      </c>
      <c r="E77" s="249" t="s">
        <v>3</v>
      </c>
      <c r="F77" s="249" t="s">
        <v>4</v>
      </c>
      <c r="G77" s="250" t="s">
        <v>5</v>
      </c>
      <c r="H77" s="249" t="s">
        <v>6</v>
      </c>
      <c r="I77" s="248"/>
      <c r="J77" s="248"/>
    </row>
    <row r="78" spans="3:12" ht="25.5" customHeight="1">
      <c r="C78" s="245"/>
      <c r="D78" s="245"/>
      <c r="E78" s="247"/>
      <c r="F78" s="245"/>
      <c r="G78" s="246"/>
      <c r="H78" s="245"/>
    </row>
    <row r="79" spans="3:12">
      <c r="C79" s="245"/>
      <c r="D79" s="245"/>
      <c r="E79" s="247"/>
      <c r="F79" s="245"/>
      <c r="G79" s="246"/>
      <c r="H79" s="245"/>
    </row>
    <row r="80" spans="3:12">
      <c r="C80" s="245"/>
      <c r="D80" s="245"/>
      <c r="E80" s="247"/>
      <c r="F80" s="245"/>
      <c r="G80" s="246"/>
      <c r="H80" s="245"/>
    </row>
    <row r="81" spans="3:8">
      <c r="C81" s="245"/>
      <c r="D81" s="245"/>
      <c r="E81" s="247"/>
      <c r="F81" s="245"/>
      <c r="G81" s="246"/>
      <c r="H81" s="245"/>
    </row>
    <row r="82" spans="3:8">
      <c r="C82" s="245"/>
      <c r="D82" s="245"/>
      <c r="E82" s="247"/>
      <c r="F82" s="245"/>
      <c r="G82" s="246"/>
      <c r="H82" s="245"/>
    </row>
    <row r="83" spans="3:8">
      <c r="C83" s="245"/>
      <c r="D83" s="245"/>
      <c r="E83" s="247"/>
      <c r="F83" s="245"/>
      <c r="G83" s="246"/>
      <c r="H83" s="245"/>
    </row>
    <row r="84" spans="3:8">
      <c r="C84" s="245"/>
      <c r="D84" s="245"/>
      <c r="E84" s="247"/>
      <c r="F84" s="245"/>
      <c r="G84" s="246"/>
      <c r="H84" s="245"/>
    </row>
    <row r="85" spans="3:8">
      <c r="C85" s="245"/>
      <c r="D85" s="245"/>
      <c r="E85" s="247"/>
      <c r="F85" s="245"/>
      <c r="G85" s="246"/>
      <c r="H85" s="245"/>
    </row>
    <row r="86" spans="3:8">
      <c r="C86" s="245"/>
      <c r="D86" s="245"/>
      <c r="E86" s="247"/>
      <c r="F86" s="245"/>
      <c r="G86" s="246"/>
      <c r="H86" s="245"/>
    </row>
    <row r="87" spans="3:8">
      <c r="C87" s="245"/>
      <c r="D87" s="245"/>
      <c r="E87" s="247"/>
      <c r="F87" s="245"/>
      <c r="G87" s="246"/>
      <c r="H87" s="245"/>
    </row>
    <row r="88" spans="3:8">
      <c r="C88" s="245"/>
      <c r="D88" s="245"/>
      <c r="E88" s="247"/>
      <c r="F88" s="245"/>
      <c r="G88" s="246"/>
      <c r="H88" s="245"/>
    </row>
  </sheetData>
  <mergeCells count="45">
    <mergeCell ref="M3:N3"/>
    <mergeCell ref="M19:N19"/>
    <mergeCell ref="L3:L8"/>
    <mergeCell ref="M4:N4"/>
    <mergeCell ref="M5:N5"/>
    <mergeCell ref="M21:N21"/>
    <mergeCell ref="C76:H76"/>
    <mergeCell ref="C36:H36"/>
    <mergeCell ref="C52:H52"/>
    <mergeCell ref="L9:L28"/>
    <mergeCell ref="K27:K28"/>
    <mergeCell ref="K38:K39"/>
    <mergeCell ref="C40:C41"/>
    <mergeCell ref="D40:D41"/>
    <mergeCell ref="E40:E41"/>
    <mergeCell ref="M20:N20"/>
    <mergeCell ref="K40:K45"/>
    <mergeCell ref="K30:K31"/>
    <mergeCell ref="K32:K33"/>
    <mergeCell ref="C1:H1"/>
    <mergeCell ref="D9:D10"/>
    <mergeCell ref="F10:F16"/>
    <mergeCell ref="G11:G12"/>
    <mergeCell ref="G13:G14"/>
    <mergeCell ref="A17:A19"/>
    <mergeCell ref="B17:B19"/>
    <mergeCell ref="F40:F41"/>
    <mergeCell ref="G40:G41"/>
    <mergeCell ref="H40:H41"/>
    <mergeCell ref="A20:A23"/>
    <mergeCell ref="B20:B23"/>
    <mergeCell ref="A27:A28"/>
    <mergeCell ref="B25:B26"/>
    <mergeCell ref="B27:B28"/>
    <mergeCell ref="A9:A16"/>
    <mergeCell ref="A3:A4"/>
    <mergeCell ref="B3:B4"/>
    <mergeCell ref="K3:K4"/>
    <mergeCell ref="A6:A7"/>
    <mergeCell ref="B6:B7"/>
    <mergeCell ref="D15:D16"/>
    <mergeCell ref="D13:D14"/>
    <mergeCell ref="D11:D12"/>
    <mergeCell ref="C9:C16"/>
    <mergeCell ref="B9:B16"/>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1"/>
  <sheetViews>
    <sheetView workbookViewId="0">
      <selection activeCell="I20" sqref="I20"/>
    </sheetView>
  </sheetViews>
  <sheetFormatPr defaultColWidth="9.28515625" defaultRowHeight="15"/>
  <cols>
    <col min="1" max="1" width="9.28515625" style="438"/>
    <col min="2" max="2" width="24.7109375" style="438" customWidth="1"/>
    <col min="3" max="3" width="42.28515625" style="438" customWidth="1"/>
    <col min="4" max="16384" width="9.28515625" style="438"/>
  </cols>
  <sheetData>
    <row r="1" spans="1:3">
      <c r="A1" s="446" t="s">
        <v>440</v>
      </c>
      <c r="B1" s="446" t="s">
        <v>441</v>
      </c>
      <c r="C1" s="446" t="s">
        <v>442</v>
      </c>
    </row>
    <row r="2" spans="1:3">
      <c r="A2" s="447">
        <v>0</v>
      </c>
      <c r="B2" s="447" t="s">
        <v>443</v>
      </c>
      <c r="C2" s="447" t="s">
        <v>444</v>
      </c>
    </row>
    <row r="3" spans="1:3">
      <c r="A3" s="447">
        <v>1</v>
      </c>
      <c r="B3" s="446" t="s">
        <v>422</v>
      </c>
      <c r="C3" s="446" t="s">
        <v>445</v>
      </c>
    </row>
    <row r="4" spans="1:3" ht="50.25" customHeight="1">
      <c r="A4" s="447">
        <v>2</v>
      </c>
      <c r="B4" s="446" t="s">
        <v>423</v>
      </c>
      <c r="C4" s="459" t="s">
        <v>484</v>
      </c>
    </row>
    <row r="5" spans="1:3">
      <c r="A5" s="447">
        <v>3</v>
      </c>
      <c r="B5" s="447" t="s">
        <v>447</v>
      </c>
      <c r="C5" s="464" t="s">
        <v>174</v>
      </c>
    </row>
    <row r="6" spans="1:3">
      <c r="A6" s="447">
        <v>4</v>
      </c>
      <c r="B6" s="447" t="s">
        <v>448</v>
      </c>
      <c r="C6" s="464" t="s">
        <v>449</v>
      </c>
    </row>
    <row r="7" spans="1:3">
      <c r="A7" s="447">
        <v>5</v>
      </c>
      <c r="B7" s="447" t="s">
        <v>109</v>
      </c>
      <c r="C7" s="465">
        <v>0</v>
      </c>
    </row>
    <row r="8" spans="1:3">
      <c r="A8" s="447">
        <v>6</v>
      </c>
      <c r="B8" s="447" t="s">
        <v>110</v>
      </c>
      <c r="C8" s="464" t="s">
        <v>450</v>
      </c>
    </row>
    <row r="9" spans="1:3">
      <c r="A9" s="447">
        <v>7</v>
      </c>
      <c r="B9" s="447" t="s">
        <v>111</v>
      </c>
      <c r="C9" s="464" t="s">
        <v>451</v>
      </c>
    </row>
    <row r="10" spans="1:3">
      <c r="A10" s="447">
        <v>8</v>
      </c>
      <c r="B10" s="447" t="s">
        <v>452</v>
      </c>
      <c r="C10" s="464" t="s">
        <v>453</v>
      </c>
    </row>
    <row r="11" spans="1:3">
      <c r="A11" s="447">
        <v>9</v>
      </c>
      <c r="B11" s="447" t="s">
        <v>454</v>
      </c>
      <c r="C11" s="464" t="s">
        <v>455</v>
      </c>
    </row>
    <row r="12" spans="1:3" ht="121.9" customHeight="1">
      <c r="A12" s="447">
        <v>10</v>
      </c>
      <c r="B12" s="447" t="s">
        <v>456</v>
      </c>
      <c r="C12" s="459" t="s">
        <v>485</v>
      </c>
    </row>
    <row r="13" spans="1:3">
      <c r="A13" s="447">
        <v>11</v>
      </c>
      <c r="B13" s="447" t="s">
        <v>459</v>
      </c>
      <c r="C13" s="447" t="s">
        <v>157</v>
      </c>
    </row>
    <row r="14" spans="1:3">
      <c r="A14" s="447">
        <v>12</v>
      </c>
      <c r="B14" s="447" t="s">
        <v>460</v>
      </c>
      <c r="C14" s="447" t="s">
        <v>461</v>
      </c>
    </row>
    <row r="15" spans="1:3">
      <c r="A15" s="447">
        <v>13</v>
      </c>
      <c r="B15" s="447" t="s">
        <v>462</v>
      </c>
      <c r="C15" s="448"/>
    </row>
    <row r="16" spans="1:3" ht="33" customHeight="1">
      <c r="A16" s="1063">
        <v>14</v>
      </c>
      <c r="B16" s="1063" t="s">
        <v>463</v>
      </c>
      <c r="C16" s="448" t="s">
        <v>464</v>
      </c>
    </row>
    <row r="17" spans="1:3" ht="43.5" customHeight="1">
      <c r="A17" s="1063"/>
      <c r="B17" s="1063"/>
      <c r="C17" s="448" t="s">
        <v>465</v>
      </c>
    </row>
    <row r="18" spans="1:3">
      <c r="A18" s="447">
        <v>15</v>
      </c>
      <c r="B18" s="447" t="s">
        <v>466</v>
      </c>
      <c r="C18" s="448"/>
    </row>
    <row r="19" spans="1:3">
      <c r="A19" s="447">
        <v>16</v>
      </c>
      <c r="B19" s="447" t="s">
        <v>467</v>
      </c>
      <c r="C19" s="447"/>
    </row>
    <row r="20" spans="1:3">
      <c r="A20" s="447">
        <v>17</v>
      </c>
      <c r="B20" s="447" t="s">
        <v>468</v>
      </c>
      <c r="C20" s="448"/>
    </row>
    <row r="21" spans="1:3">
      <c r="A21" s="571"/>
      <c r="B21" s="572"/>
      <c r="C21" s="572"/>
    </row>
  </sheetData>
  <mergeCells count="2">
    <mergeCell ref="A16:A17"/>
    <mergeCell ref="B16:B17"/>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3"/>
  <sheetViews>
    <sheetView workbookViewId="0">
      <selection activeCell="I20" sqref="I20"/>
    </sheetView>
  </sheetViews>
  <sheetFormatPr defaultColWidth="9.28515625" defaultRowHeight="15"/>
  <cols>
    <col min="1" max="1" width="9.28515625" style="438"/>
    <col min="2" max="2" width="24.7109375" style="438" customWidth="1"/>
    <col min="3" max="3" width="55.28515625" style="438" customWidth="1"/>
    <col min="4" max="16384" width="9.28515625" style="438"/>
  </cols>
  <sheetData>
    <row r="1" spans="1:3">
      <c r="A1" s="446" t="s">
        <v>440</v>
      </c>
      <c r="B1" s="446" t="s">
        <v>441</v>
      </c>
      <c r="C1" s="446" t="s">
        <v>442</v>
      </c>
    </row>
    <row r="2" spans="1:3">
      <c r="A2" s="447">
        <v>0</v>
      </c>
      <c r="B2" s="447" t="s">
        <v>443</v>
      </c>
      <c r="C2" s="447" t="s">
        <v>444</v>
      </c>
    </row>
    <row r="3" spans="1:3">
      <c r="A3" s="447">
        <v>1</v>
      </c>
      <c r="B3" s="446" t="s">
        <v>422</v>
      </c>
      <c r="C3" s="446" t="s">
        <v>486</v>
      </c>
    </row>
    <row r="4" spans="1:3" ht="25.5">
      <c r="A4" s="447">
        <v>2</v>
      </c>
      <c r="B4" s="446" t="s">
        <v>423</v>
      </c>
      <c r="C4" s="448" t="s">
        <v>376</v>
      </c>
    </row>
    <row r="5" spans="1:3">
      <c r="A5" s="447">
        <v>3</v>
      </c>
      <c r="B5" s="447" t="s">
        <v>447</v>
      </c>
      <c r="C5" s="447" t="s">
        <v>487</v>
      </c>
    </row>
    <row r="6" spans="1:3">
      <c r="A6" s="447">
        <v>4</v>
      </c>
      <c r="B6" s="447" t="s">
        <v>448</v>
      </c>
      <c r="C6" s="447" t="s">
        <v>475</v>
      </c>
    </row>
    <row r="7" spans="1:3">
      <c r="A7" s="447">
        <v>5</v>
      </c>
      <c r="B7" s="447" t="s">
        <v>109</v>
      </c>
      <c r="C7" s="447" t="s">
        <v>451</v>
      </c>
    </row>
    <row r="8" spans="1:3">
      <c r="A8" s="447">
        <v>6</v>
      </c>
      <c r="B8" s="447" t="s">
        <v>110</v>
      </c>
      <c r="C8" s="447" t="s">
        <v>476</v>
      </c>
    </row>
    <row r="9" spans="1:3">
      <c r="A9" s="447">
        <v>7</v>
      </c>
      <c r="B9" s="447" t="s">
        <v>111</v>
      </c>
      <c r="C9" s="447" t="s">
        <v>451</v>
      </c>
    </row>
    <row r="10" spans="1:3">
      <c r="A10" s="447">
        <v>8</v>
      </c>
      <c r="B10" s="447" t="s">
        <v>452</v>
      </c>
      <c r="C10" s="447" t="s">
        <v>453</v>
      </c>
    </row>
    <row r="11" spans="1:3">
      <c r="A11" s="447">
        <v>9</v>
      </c>
      <c r="B11" s="447" t="s">
        <v>454</v>
      </c>
      <c r="C11" s="447" t="s">
        <v>455</v>
      </c>
    </row>
    <row r="12" spans="1:3" ht="81.75" customHeight="1">
      <c r="A12" s="1063">
        <v>10</v>
      </c>
      <c r="B12" s="1063" t="s">
        <v>456</v>
      </c>
      <c r="C12" s="448" t="s">
        <v>488</v>
      </c>
    </row>
    <row r="13" spans="1:3" ht="44.25" customHeight="1">
      <c r="A13" s="1063"/>
      <c r="B13" s="1063"/>
      <c r="C13" s="448" t="s">
        <v>489</v>
      </c>
    </row>
    <row r="14" spans="1:3" ht="57" customHeight="1">
      <c r="A14" s="1063"/>
      <c r="B14" s="1063"/>
      <c r="C14" s="448" t="s">
        <v>490</v>
      </c>
    </row>
    <row r="15" spans="1:3" ht="30" customHeight="1">
      <c r="A15" s="1063"/>
      <c r="B15" s="1063"/>
      <c r="C15" s="448" t="s">
        <v>491</v>
      </c>
    </row>
    <row r="16" spans="1:3">
      <c r="A16" s="447">
        <v>11</v>
      </c>
      <c r="B16" s="447" t="s">
        <v>459</v>
      </c>
      <c r="C16" s="447" t="s">
        <v>492</v>
      </c>
    </row>
    <row r="17" spans="1:3">
      <c r="A17" s="447">
        <v>12</v>
      </c>
      <c r="B17" s="447" t="s">
        <v>460</v>
      </c>
      <c r="C17" s="447" t="s">
        <v>482</v>
      </c>
    </row>
    <row r="18" spans="1:3">
      <c r="A18" s="447">
        <v>13</v>
      </c>
      <c r="B18" s="447" t="s">
        <v>462</v>
      </c>
      <c r="C18" s="448"/>
    </row>
    <row r="19" spans="1:3" ht="31.5" customHeight="1">
      <c r="A19" s="1063">
        <v>14</v>
      </c>
      <c r="B19" s="1063" t="s">
        <v>463</v>
      </c>
      <c r="C19" s="448" t="s">
        <v>464</v>
      </c>
    </row>
    <row r="20" spans="1:3" ht="40.5" customHeight="1">
      <c r="A20" s="1063"/>
      <c r="B20" s="1063"/>
      <c r="C20" s="448" t="s">
        <v>483</v>
      </c>
    </row>
    <row r="21" spans="1:3">
      <c r="A21" s="447">
        <v>15</v>
      </c>
      <c r="B21" s="447" t="s">
        <v>466</v>
      </c>
      <c r="C21" s="448"/>
    </row>
    <row r="22" spans="1:3">
      <c r="A22" s="447">
        <v>16</v>
      </c>
      <c r="B22" s="447" t="s">
        <v>467</v>
      </c>
      <c r="C22" s="447"/>
    </row>
    <row r="23" spans="1:3">
      <c r="A23" s="447">
        <v>17</v>
      </c>
      <c r="B23" s="447" t="s">
        <v>468</v>
      </c>
      <c r="C23" s="448"/>
    </row>
  </sheetData>
  <mergeCells count="4">
    <mergeCell ref="A12:A15"/>
    <mergeCell ref="B12:B15"/>
    <mergeCell ref="A19:A20"/>
    <mergeCell ref="B19:B2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C21"/>
  <sheetViews>
    <sheetView workbookViewId="0">
      <selection activeCell="C4" sqref="C4:C12"/>
    </sheetView>
  </sheetViews>
  <sheetFormatPr defaultColWidth="9.28515625" defaultRowHeight="15"/>
  <cols>
    <col min="1" max="1" width="9.28515625" style="438"/>
    <col min="2" max="2" width="24.7109375" style="438" customWidth="1"/>
    <col min="3" max="3" width="42.28515625" style="438" customWidth="1"/>
    <col min="4" max="16384" width="9.28515625" style="438"/>
  </cols>
  <sheetData>
    <row r="1" spans="1:3">
      <c r="A1" s="446" t="s">
        <v>440</v>
      </c>
      <c r="B1" s="446" t="s">
        <v>441</v>
      </c>
      <c r="C1" s="446" t="s">
        <v>442</v>
      </c>
    </row>
    <row r="2" spans="1:3">
      <c r="A2" s="447">
        <v>0</v>
      </c>
      <c r="B2" s="447" t="s">
        <v>443</v>
      </c>
      <c r="C2" s="447" t="s">
        <v>444</v>
      </c>
    </row>
    <row r="3" spans="1:3">
      <c r="A3" s="447">
        <v>1</v>
      </c>
      <c r="B3" s="446" t="s">
        <v>422</v>
      </c>
      <c r="C3" s="446" t="s">
        <v>445</v>
      </c>
    </row>
    <row r="4" spans="1:3" ht="61.15" customHeight="1">
      <c r="A4" s="447">
        <v>2</v>
      </c>
      <c r="B4" s="446" t="s">
        <v>423</v>
      </c>
      <c r="C4" s="459" t="s">
        <v>493</v>
      </c>
    </row>
    <row r="5" spans="1:3">
      <c r="A5" s="447">
        <v>3</v>
      </c>
      <c r="B5" s="447" t="s">
        <v>447</v>
      </c>
      <c r="C5" s="447" t="s">
        <v>174</v>
      </c>
    </row>
    <row r="6" spans="1:3">
      <c r="A6" s="447">
        <v>4</v>
      </c>
      <c r="B6" s="447" t="s">
        <v>448</v>
      </c>
      <c r="C6" s="447" t="s">
        <v>449</v>
      </c>
    </row>
    <row r="7" spans="1:3">
      <c r="A7" s="447">
        <v>5</v>
      </c>
      <c r="B7" s="447" t="s">
        <v>109</v>
      </c>
      <c r="C7" s="449">
        <v>0</v>
      </c>
    </row>
    <row r="8" spans="1:3">
      <c r="A8" s="447">
        <v>6</v>
      </c>
      <c r="B8" s="447" t="s">
        <v>110</v>
      </c>
      <c r="C8" s="447" t="s">
        <v>450</v>
      </c>
    </row>
    <row r="9" spans="1:3">
      <c r="A9" s="447">
        <v>7</v>
      </c>
      <c r="B9" s="447" t="s">
        <v>111</v>
      </c>
      <c r="C9" s="447" t="s">
        <v>451</v>
      </c>
    </row>
    <row r="10" spans="1:3">
      <c r="A10" s="447">
        <v>8</v>
      </c>
      <c r="B10" s="447" t="s">
        <v>452</v>
      </c>
      <c r="C10" s="447" t="s">
        <v>453</v>
      </c>
    </row>
    <row r="11" spans="1:3">
      <c r="A11" s="447">
        <v>9</v>
      </c>
      <c r="B11" s="447" t="s">
        <v>454</v>
      </c>
      <c r="C11" s="447" t="s">
        <v>455</v>
      </c>
    </row>
    <row r="12" spans="1:3" ht="250.15" customHeight="1">
      <c r="A12" s="447">
        <v>10</v>
      </c>
      <c r="B12" s="447" t="s">
        <v>456</v>
      </c>
      <c r="C12" s="476" t="s">
        <v>494</v>
      </c>
    </row>
    <row r="13" spans="1:3">
      <c r="A13" s="447">
        <v>11</v>
      </c>
      <c r="B13" s="447" t="s">
        <v>459</v>
      </c>
      <c r="C13" s="447" t="s">
        <v>157</v>
      </c>
    </row>
    <row r="14" spans="1:3">
      <c r="A14" s="447">
        <v>12</v>
      </c>
      <c r="B14" s="447" t="s">
        <v>460</v>
      </c>
      <c r="C14" s="447" t="s">
        <v>461</v>
      </c>
    </row>
    <row r="15" spans="1:3">
      <c r="A15" s="447">
        <v>13</v>
      </c>
      <c r="B15" s="447" t="s">
        <v>462</v>
      </c>
      <c r="C15" s="448"/>
    </row>
    <row r="16" spans="1:3" ht="33" customHeight="1">
      <c r="A16" s="1063">
        <v>14</v>
      </c>
      <c r="B16" s="1063" t="s">
        <v>463</v>
      </c>
      <c r="C16" s="448" t="s">
        <v>464</v>
      </c>
    </row>
    <row r="17" spans="1:3" ht="43.5" customHeight="1">
      <c r="A17" s="1063"/>
      <c r="B17" s="1063"/>
      <c r="C17" s="448" t="s">
        <v>465</v>
      </c>
    </row>
    <row r="18" spans="1:3">
      <c r="A18" s="447">
        <v>15</v>
      </c>
      <c r="B18" s="447" t="s">
        <v>466</v>
      </c>
      <c r="C18" s="448"/>
    </row>
    <row r="19" spans="1:3">
      <c r="A19" s="447">
        <v>16</v>
      </c>
      <c r="B19" s="447" t="s">
        <v>467</v>
      </c>
      <c r="C19" s="447"/>
    </row>
    <row r="20" spans="1:3">
      <c r="A20" s="447">
        <v>17</v>
      </c>
      <c r="B20" s="447" t="s">
        <v>468</v>
      </c>
      <c r="C20" s="448"/>
    </row>
    <row r="21" spans="1:3">
      <c r="A21" s="571"/>
      <c r="B21" s="572"/>
      <c r="C21" s="572"/>
    </row>
  </sheetData>
  <mergeCells count="2">
    <mergeCell ref="A16:A17"/>
    <mergeCell ref="B16:B17"/>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1:C23"/>
  <sheetViews>
    <sheetView workbookViewId="0">
      <selection activeCell="H14" sqref="H14"/>
    </sheetView>
  </sheetViews>
  <sheetFormatPr defaultColWidth="9.28515625" defaultRowHeight="15"/>
  <cols>
    <col min="1" max="1" width="9.28515625" style="438"/>
    <col min="2" max="2" width="24.7109375" style="438" customWidth="1"/>
    <col min="3" max="3" width="55.28515625" style="438" customWidth="1"/>
    <col min="4" max="16384" width="9.28515625" style="438"/>
  </cols>
  <sheetData>
    <row r="1" spans="1:3">
      <c r="A1" s="446" t="s">
        <v>440</v>
      </c>
      <c r="B1" s="446" t="s">
        <v>441</v>
      </c>
      <c r="C1" s="446" t="s">
        <v>442</v>
      </c>
    </row>
    <row r="2" spans="1:3">
      <c r="A2" s="447">
        <v>0</v>
      </c>
      <c r="B2" s="447" t="s">
        <v>443</v>
      </c>
      <c r="C2" s="447" t="s">
        <v>444</v>
      </c>
    </row>
    <row r="3" spans="1:3">
      <c r="A3" s="447">
        <v>1</v>
      </c>
      <c r="B3" s="446" t="s">
        <v>422</v>
      </c>
      <c r="C3" s="446" t="s">
        <v>486</v>
      </c>
    </row>
    <row r="4" spans="1:3" ht="25.5">
      <c r="A4" s="447">
        <v>2</v>
      </c>
      <c r="B4" s="446" t="s">
        <v>423</v>
      </c>
      <c r="C4" s="459" t="s">
        <v>495</v>
      </c>
    </row>
    <row r="5" spans="1:3">
      <c r="A5" s="447">
        <v>3</v>
      </c>
      <c r="B5" s="447" t="s">
        <v>447</v>
      </c>
      <c r="C5" s="464" t="s">
        <v>496</v>
      </c>
    </row>
    <row r="6" spans="1:3">
      <c r="A6" s="447">
        <v>4</v>
      </c>
      <c r="B6" s="447" t="s">
        <v>448</v>
      </c>
      <c r="C6" s="447" t="s">
        <v>475</v>
      </c>
    </row>
    <row r="7" spans="1:3">
      <c r="A7" s="447">
        <v>5</v>
      </c>
      <c r="B7" s="447" t="s">
        <v>109</v>
      </c>
      <c r="C7" s="465">
        <v>0</v>
      </c>
    </row>
    <row r="8" spans="1:3">
      <c r="A8" s="447">
        <v>6</v>
      </c>
      <c r="B8" s="447" t="s">
        <v>110</v>
      </c>
      <c r="C8" s="447" t="s">
        <v>476</v>
      </c>
    </row>
    <row r="9" spans="1:3">
      <c r="A9" s="447">
        <v>7</v>
      </c>
      <c r="B9" s="447" t="s">
        <v>111</v>
      </c>
      <c r="C9" s="447" t="s">
        <v>451</v>
      </c>
    </row>
    <row r="10" spans="1:3">
      <c r="A10" s="447">
        <v>8</v>
      </c>
      <c r="B10" s="447" t="s">
        <v>452</v>
      </c>
      <c r="C10" s="447" t="s">
        <v>453</v>
      </c>
    </row>
    <row r="11" spans="1:3">
      <c r="A11" s="447">
        <v>9</v>
      </c>
      <c r="B11" s="447" t="s">
        <v>454</v>
      </c>
      <c r="C11" s="447" t="s">
        <v>455</v>
      </c>
    </row>
    <row r="12" spans="1:3" ht="81.75" customHeight="1">
      <c r="A12" s="447">
        <v>10</v>
      </c>
      <c r="B12" s="447" t="s">
        <v>456</v>
      </c>
      <c r="C12" s="459" t="s">
        <v>497</v>
      </c>
    </row>
    <row r="13" spans="1:3" ht="44.25" customHeight="1">
      <c r="A13" s="447"/>
      <c r="B13" s="447"/>
      <c r="C13" s="459" t="s">
        <v>498</v>
      </c>
    </row>
    <row r="14" spans="1:3" ht="82.9" customHeight="1">
      <c r="A14" s="447"/>
      <c r="B14" s="447"/>
      <c r="C14" s="459" t="s">
        <v>499</v>
      </c>
    </row>
    <row r="15" spans="1:3" ht="30" customHeight="1">
      <c r="A15" s="447"/>
      <c r="B15" s="447"/>
      <c r="C15" s="448"/>
    </row>
    <row r="16" spans="1:3">
      <c r="A16" s="447">
        <v>11</v>
      </c>
      <c r="B16" s="447" t="s">
        <v>459</v>
      </c>
      <c r="C16" s="464" t="s">
        <v>500</v>
      </c>
    </row>
    <row r="17" spans="1:3">
      <c r="A17" s="447">
        <v>12</v>
      </c>
      <c r="B17" s="447" t="s">
        <v>460</v>
      </c>
      <c r="C17" s="447" t="s">
        <v>461</v>
      </c>
    </row>
    <row r="18" spans="1:3">
      <c r="A18" s="447">
        <v>13</v>
      </c>
      <c r="B18" s="447" t="s">
        <v>462</v>
      </c>
      <c r="C18" s="448"/>
    </row>
    <row r="19" spans="1:3" ht="31.5" customHeight="1">
      <c r="A19" s="447">
        <v>14</v>
      </c>
      <c r="B19" s="447" t="s">
        <v>463</v>
      </c>
      <c r="C19" s="448" t="s">
        <v>464</v>
      </c>
    </row>
    <row r="20" spans="1:3" ht="40.5" customHeight="1">
      <c r="A20" s="447"/>
      <c r="B20" s="447"/>
      <c r="C20" s="448" t="s">
        <v>483</v>
      </c>
    </row>
    <row r="21" spans="1:3">
      <c r="A21" s="447">
        <v>15</v>
      </c>
      <c r="B21" s="447" t="s">
        <v>466</v>
      </c>
      <c r="C21" s="448"/>
    </row>
    <row r="22" spans="1:3">
      <c r="A22" s="447">
        <v>16</v>
      </c>
      <c r="B22" s="447" t="s">
        <v>467</v>
      </c>
      <c r="C22" s="447"/>
    </row>
    <row r="23" spans="1:3">
      <c r="A23" s="447">
        <v>17</v>
      </c>
      <c r="B23" s="447" t="s">
        <v>468</v>
      </c>
      <c r="C23" s="448"/>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1"/>
  <sheetViews>
    <sheetView workbookViewId="0">
      <selection activeCell="C29" sqref="C29"/>
    </sheetView>
  </sheetViews>
  <sheetFormatPr defaultColWidth="9.28515625" defaultRowHeight="12.75"/>
  <cols>
    <col min="1" max="1" width="9.28515625" style="445"/>
    <col min="2" max="2" width="24.7109375" style="445" customWidth="1"/>
    <col min="3" max="3" width="62.28515625" style="445" customWidth="1"/>
    <col min="4" max="16384" width="9.28515625" style="445"/>
  </cols>
  <sheetData>
    <row r="1" spans="1:3">
      <c r="A1" s="446" t="s">
        <v>440</v>
      </c>
      <c r="B1" s="446" t="s">
        <v>441</v>
      </c>
      <c r="C1" s="477" t="s">
        <v>442</v>
      </c>
    </row>
    <row r="2" spans="1:3">
      <c r="A2" s="447">
        <v>0</v>
      </c>
      <c r="B2" s="447" t="s">
        <v>443</v>
      </c>
      <c r="C2" s="478" t="s">
        <v>444</v>
      </c>
    </row>
    <row r="3" spans="1:3">
      <c r="A3" s="447">
        <v>1</v>
      </c>
      <c r="B3" s="446" t="s">
        <v>422</v>
      </c>
      <c r="C3" s="477" t="s">
        <v>445</v>
      </c>
    </row>
    <row r="4" spans="1:3" ht="25.5">
      <c r="A4" s="447">
        <v>2</v>
      </c>
      <c r="B4" s="447" t="s">
        <v>423</v>
      </c>
      <c r="C4" s="479" t="s">
        <v>419</v>
      </c>
    </row>
    <row r="5" spans="1:3">
      <c r="A5" s="447">
        <v>3</v>
      </c>
      <c r="B5" s="447" t="s">
        <v>447</v>
      </c>
      <c r="C5" s="478" t="s">
        <v>174</v>
      </c>
    </row>
    <row r="6" spans="1:3">
      <c r="A6" s="447">
        <v>4</v>
      </c>
      <c r="B6" s="447" t="s">
        <v>448</v>
      </c>
      <c r="C6" s="478" t="s">
        <v>449</v>
      </c>
    </row>
    <row r="7" spans="1:3">
      <c r="A7" s="447">
        <v>5</v>
      </c>
      <c r="B7" s="447" t="s">
        <v>109</v>
      </c>
      <c r="C7" s="480">
        <v>0</v>
      </c>
    </row>
    <row r="8" spans="1:3">
      <c r="A8" s="447">
        <v>6</v>
      </c>
      <c r="B8" s="447" t="s">
        <v>110</v>
      </c>
      <c r="C8" s="478" t="s">
        <v>450</v>
      </c>
    </row>
    <row r="9" spans="1:3">
      <c r="A9" s="447">
        <v>7</v>
      </c>
      <c r="B9" s="447" t="s">
        <v>111</v>
      </c>
      <c r="C9" s="478" t="s">
        <v>451</v>
      </c>
    </row>
    <row r="10" spans="1:3">
      <c r="A10" s="447">
        <v>8</v>
      </c>
      <c r="B10" s="447" t="s">
        <v>452</v>
      </c>
      <c r="C10" s="478" t="s">
        <v>453</v>
      </c>
    </row>
    <row r="11" spans="1:3">
      <c r="A11" s="447">
        <v>9</v>
      </c>
      <c r="B11" s="447" t="s">
        <v>454</v>
      </c>
      <c r="C11" s="478" t="s">
        <v>455</v>
      </c>
    </row>
    <row r="12" spans="1:3" ht="34.5" customHeight="1">
      <c r="A12" s="1063">
        <v>10</v>
      </c>
      <c r="B12" s="1063" t="s">
        <v>456</v>
      </c>
      <c r="C12" s="479" t="s">
        <v>501</v>
      </c>
    </row>
    <row r="13" spans="1:3" ht="57.75" customHeight="1">
      <c r="A13" s="1063"/>
      <c r="B13" s="1063"/>
      <c r="C13" s="479" t="s">
        <v>502</v>
      </c>
    </row>
    <row r="14" spans="1:3">
      <c r="A14" s="447">
        <v>11</v>
      </c>
      <c r="B14" s="447" t="s">
        <v>459</v>
      </c>
      <c r="C14" s="478" t="s">
        <v>157</v>
      </c>
    </row>
    <row r="15" spans="1:3">
      <c r="A15" s="447">
        <v>12</v>
      </c>
      <c r="B15" s="447" t="s">
        <v>460</v>
      </c>
      <c r="C15" s="478" t="s">
        <v>461</v>
      </c>
    </row>
    <row r="16" spans="1:3">
      <c r="A16" s="447">
        <v>13</v>
      </c>
      <c r="B16" s="447" t="s">
        <v>462</v>
      </c>
      <c r="C16" s="479"/>
    </row>
    <row r="17" spans="1:3" ht="24" customHeight="1">
      <c r="A17" s="1063">
        <v>14</v>
      </c>
      <c r="B17" s="1063" t="s">
        <v>463</v>
      </c>
      <c r="C17" s="479" t="s">
        <v>464</v>
      </c>
    </row>
    <row r="18" spans="1:3" ht="43.5" customHeight="1">
      <c r="A18" s="1063"/>
      <c r="B18" s="1063"/>
      <c r="C18" s="479" t="s">
        <v>465</v>
      </c>
    </row>
    <row r="19" spans="1:3">
      <c r="A19" s="447">
        <v>15</v>
      </c>
      <c r="B19" s="447" t="s">
        <v>466</v>
      </c>
      <c r="C19" s="448"/>
    </row>
    <row r="20" spans="1:3">
      <c r="A20" s="447">
        <v>16</v>
      </c>
      <c r="B20" s="447" t="s">
        <v>467</v>
      </c>
      <c r="C20" s="447"/>
    </row>
    <row r="21" spans="1:3">
      <c r="A21" s="447">
        <v>17</v>
      </c>
      <c r="B21" s="447" t="s">
        <v>468</v>
      </c>
      <c r="C21" s="448"/>
    </row>
  </sheetData>
  <mergeCells count="4">
    <mergeCell ref="A12:A13"/>
    <mergeCell ref="B12:B13"/>
    <mergeCell ref="A17:A18"/>
    <mergeCell ref="B17:B1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3"/>
  <sheetViews>
    <sheetView workbookViewId="0">
      <selection activeCell="G14" sqref="G14"/>
    </sheetView>
  </sheetViews>
  <sheetFormatPr defaultColWidth="9.28515625" defaultRowHeight="15"/>
  <cols>
    <col min="1" max="1" width="9.28515625" style="438"/>
    <col min="2" max="2" width="26.28515625" style="438" customWidth="1"/>
    <col min="3" max="3" width="45.28515625" style="438" customWidth="1"/>
    <col min="4" max="16384" width="9.28515625" style="438"/>
  </cols>
  <sheetData>
    <row r="1" spans="1:3">
      <c r="A1" s="446" t="s">
        <v>440</v>
      </c>
      <c r="B1" s="446" t="s">
        <v>441</v>
      </c>
      <c r="C1" s="446" t="s">
        <v>442</v>
      </c>
    </row>
    <row r="2" spans="1:3">
      <c r="A2" s="447">
        <v>0</v>
      </c>
      <c r="B2" s="447" t="s">
        <v>443</v>
      </c>
      <c r="C2" s="447" t="s">
        <v>444</v>
      </c>
    </row>
    <row r="3" spans="1:3">
      <c r="A3" s="447">
        <v>1</v>
      </c>
      <c r="B3" s="446" t="s">
        <v>422</v>
      </c>
      <c r="C3" s="446" t="s">
        <v>486</v>
      </c>
    </row>
    <row r="4" spans="1:3" ht="63.75">
      <c r="A4" s="447">
        <v>2</v>
      </c>
      <c r="B4" s="446" t="s">
        <v>423</v>
      </c>
      <c r="C4" s="459" t="s">
        <v>357</v>
      </c>
    </row>
    <row r="5" spans="1:3">
      <c r="A5" s="447">
        <v>3</v>
      </c>
      <c r="B5" s="447" t="s">
        <v>447</v>
      </c>
      <c r="C5" s="447" t="s">
        <v>496</v>
      </c>
    </row>
    <row r="6" spans="1:3">
      <c r="A6" s="447">
        <v>4</v>
      </c>
      <c r="B6" s="447" t="s">
        <v>448</v>
      </c>
      <c r="C6" s="447" t="s">
        <v>475</v>
      </c>
    </row>
    <row r="7" spans="1:3">
      <c r="A7" s="447">
        <v>5</v>
      </c>
      <c r="B7" s="447" t="s">
        <v>109</v>
      </c>
      <c r="C7" s="447" t="s">
        <v>451</v>
      </c>
    </row>
    <row r="8" spans="1:3">
      <c r="A8" s="447">
        <v>6</v>
      </c>
      <c r="B8" s="447" t="s">
        <v>110</v>
      </c>
      <c r="C8" s="447" t="s">
        <v>476</v>
      </c>
    </row>
    <row r="9" spans="1:3">
      <c r="A9" s="447">
        <v>7</v>
      </c>
      <c r="B9" s="447" t="s">
        <v>111</v>
      </c>
      <c r="C9" s="447" t="s">
        <v>451</v>
      </c>
    </row>
    <row r="10" spans="1:3">
      <c r="A10" s="447">
        <v>8</v>
      </c>
      <c r="B10" s="447" t="s">
        <v>452</v>
      </c>
      <c r="C10" s="447" t="s">
        <v>453</v>
      </c>
    </row>
    <row r="11" spans="1:3">
      <c r="A11" s="447">
        <v>9</v>
      </c>
      <c r="B11" s="447" t="s">
        <v>454</v>
      </c>
      <c r="C11" s="447" t="s">
        <v>455</v>
      </c>
    </row>
    <row r="12" spans="1:3" ht="87.75" customHeight="1">
      <c r="A12" s="1063">
        <v>10</v>
      </c>
      <c r="B12" s="1063" t="s">
        <v>456</v>
      </c>
      <c r="C12" s="448" t="s">
        <v>503</v>
      </c>
    </row>
    <row r="13" spans="1:3" ht="67.5" customHeight="1">
      <c r="A13" s="1063"/>
      <c r="B13" s="1063"/>
      <c r="C13" s="448" t="s">
        <v>504</v>
      </c>
    </row>
    <row r="14" spans="1:3" ht="114" customHeight="1">
      <c r="A14" s="1063"/>
      <c r="B14" s="1063"/>
      <c r="C14" s="448" t="s">
        <v>505</v>
      </c>
    </row>
    <row r="15" spans="1:3" ht="115.5" customHeight="1">
      <c r="A15" s="1063"/>
      <c r="B15" s="1063"/>
      <c r="C15" s="448" t="s">
        <v>506</v>
      </c>
    </row>
    <row r="16" spans="1:3">
      <c r="A16" s="447">
        <v>11</v>
      </c>
      <c r="B16" s="447" t="s">
        <v>459</v>
      </c>
      <c r="C16" s="447" t="s">
        <v>157</v>
      </c>
    </row>
    <row r="17" spans="1:3">
      <c r="A17" s="447">
        <v>12</v>
      </c>
      <c r="B17" s="447" t="s">
        <v>460</v>
      </c>
      <c r="C17" s="447" t="s">
        <v>461</v>
      </c>
    </row>
    <row r="18" spans="1:3">
      <c r="A18" s="447">
        <v>13</v>
      </c>
      <c r="B18" s="447" t="s">
        <v>462</v>
      </c>
      <c r="C18" s="448"/>
    </row>
    <row r="19" spans="1:3" ht="28.5" customHeight="1">
      <c r="A19" s="1063">
        <v>14</v>
      </c>
      <c r="B19" s="1063" t="s">
        <v>463</v>
      </c>
      <c r="C19" s="448" t="s">
        <v>464</v>
      </c>
    </row>
    <row r="20" spans="1:3" ht="33" customHeight="1">
      <c r="A20" s="1063"/>
      <c r="B20" s="1063"/>
      <c r="C20" s="448" t="s">
        <v>483</v>
      </c>
    </row>
    <row r="21" spans="1:3">
      <c r="A21" s="447">
        <v>15</v>
      </c>
      <c r="B21" s="447" t="s">
        <v>466</v>
      </c>
      <c r="C21" s="448"/>
    </row>
    <row r="22" spans="1:3">
      <c r="A22" s="447">
        <v>16</v>
      </c>
      <c r="B22" s="447" t="s">
        <v>467</v>
      </c>
      <c r="C22" s="447"/>
    </row>
    <row r="23" spans="1:3">
      <c r="A23" s="447">
        <v>17</v>
      </c>
      <c r="B23" s="447" t="s">
        <v>468</v>
      </c>
      <c r="C23" s="448"/>
    </row>
  </sheetData>
  <mergeCells count="4">
    <mergeCell ref="A12:A15"/>
    <mergeCell ref="B12:B15"/>
    <mergeCell ref="A19:A20"/>
    <mergeCell ref="B19:B2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4"/>
  <sheetViews>
    <sheetView topLeftCell="A14" workbookViewId="0">
      <selection activeCell="C16" sqref="C16"/>
    </sheetView>
  </sheetViews>
  <sheetFormatPr defaultColWidth="9.28515625" defaultRowHeight="15"/>
  <cols>
    <col min="1" max="1" width="9.28515625" style="438"/>
    <col min="2" max="2" width="27.7109375" style="438" customWidth="1"/>
    <col min="3" max="3" width="47.42578125" style="438" customWidth="1"/>
    <col min="4" max="16384" width="9.28515625" style="438"/>
  </cols>
  <sheetData>
    <row r="1" spans="1:3">
      <c r="A1" s="446" t="s">
        <v>440</v>
      </c>
      <c r="B1" s="446" t="s">
        <v>441</v>
      </c>
      <c r="C1" s="446" t="s">
        <v>442</v>
      </c>
    </row>
    <row r="2" spans="1:3">
      <c r="A2" s="447">
        <v>0</v>
      </c>
      <c r="B2" s="447" t="s">
        <v>443</v>
      </c>
      <c r="C2" s="447" t="s">
        <v>444</v>
      </c>
    </row>
    <row r="3" spans="1:3">
      <c r="A3" s="447">
        <v>1</v>
      </c>
      <c r="B3" s="446" t="s">
        <v>422</v>
      </c>
      <c r="C3" s="446" t="s">
        <v>486</v>
      </c>
    </row>
    <row r="4" spans="1:3" ht="25.5">
      <c r="A4" s="447">
        <v>2</v>
      </c>
      <c r="B4" s="446" t="s">
        <v>423</v>
      </c>
      <c r="C4" s="448" t="s">
        <v>414</v>
      </c>
    </row>
    <row r="5" spans="1:3">
      <c r="A5" s="447">
        <v>3</v>
      </c>
      <c r="B5" s="447" t="s">
        <v>447</v>
      </c>
      <c r="C5" s="447" t="s">
        <v>353</v>
      </c>
    </row>
    <row r="6" spans="1:3">
      <c r="A6" s="447">
        <v>4</v>
      </c>
      <c r="B6" s="447" t="s">
        <v>448</v>
      </c>
      <c r="C6" s="447" t="s">
        <v>475</v>
      </c>
    </row>
    <row r="7" spans="1:3">
      <c r="A7" s="447">
        <v>5</v>
      </c>
      <c r="B7" s="447" t="s">
        <v>109</v>
      </c>
      <c r="C7" s="447" t="s">
        <v>451</v>
      </c>
    </row>
    <row r="8" spans="1:3">
      <c r="A8" s="447">
        <v>6</v>
      </c>
      <c r="B8" s="447" t="s">
        <v>110</v>
      </c>
      <c r="C8" s="447" t="s">
        <v>476</v>
      </c>
    </row>
    <row r="9" spans="1:3">
      <c r="A9" s="447">
        <v>7</v>
      </c>
      <c r="B9" s="447" t="s">
        <v>111</v>
      </c>
      <c r="C9" s="447" t="s">
        <v>451</v>
      </c>
    </row>
    <row r="10" spans="1:3">
      <c r="A10" s="447">
        <v>8</v>
      </c>
      <c r="B10" s="447" t="s">
        <v>452</v>
      </c>
      <c r="C10" s="447" t="s">
        <v>453</v>
      </c>
    </row>
    <row r="11" spans="1:3">
      <c r="A11" s="447">
        <v>9</v>
      </c>
      <c r="B11" s="447" t="s">
        <v>454</v>
      </c>
      <c r="C11" s="447" t="s">
        <v>455</v>
      </c>
    </row>
    <row r="12" spans="1:3" ht="33" customHeight="1">
      <c r="A12" s="1063">
        <v>10</v>
      </c>
      <c r="B12" s="1063" t="s">
        <v>456</v>
      </c>
      <c r="C12" s="448" t="s">
        <v>507</v>
      </c>
    </row>
    <row r="13" spans="1:3" ht="79.5" customHeight="1">
      <c r="A13" s="1063"/>
      <c r="B13" s="1063"/>
      <c r="C13" s="448" t="s">
        <v>508</v>
      </c>
    </row>
    <row r="14" spans="1:3" ht="126" customHeight="1">
      <c r="A14" s="1063"/>
      <c r="B14" s="1063"/>
      <c r="C14" s="448" t="s">
        <v>509</v>
      </c>
    </row>
    <row r="15" spans="1:3" ht="93" customHeight="1">
      <c r="A15" s="1063"/>
      <c r="B15" s="1063"/>
      <c r="C15" s="448" t="s">
        <v>510</v>
      </c>
    </row>
    <row r="16" spans="1:3" ht="42.75" customHeight="1">
      <c r="A16" s="1063"/>
      <c r="B16" s="1063"/>
      <c r="C16" s="448" t="s">
        <v>511</v>
      </c>
    </row>
    <row r="17" spans="1:3">
      <c r="A17" s="447">
        <v>11</v>
      </c>
      <c r="B17" s="447" t="s">
        <v>459</v>
      </c>
      <c r="C17" s="447" t="s">
        <v>157</v>
      </c>
    </row>
    <row r="18" spans="1:3">
      <c r="A18" s="447">
        <v>12</v>
      </c>
      <c r="B18" s="447" t="s">
        <v>460</v>
      </c>
      <c r="C18" s="447" t="s">
        <v>482</v>
      </c>
    </row>
    <row r="19" spans="1:3" ht="48.75" customHeight="1">
      <c r="A19" s="447">
        <v>13</v>
      </c>
      <c r="B19" s="447" t="s">
        <v>462</v>
      </c>
      <c r="C19" s="448" t="s">
        <v>512</v>
      </c>
    </row>
    <row r="20" spans="1:3" ht="32.25" customHeight="1">
      <c r="A20" s="1063">
        <v>14</v>
      </c>
      <c r="B20" s="1063" t="s">
        <v>463</v>
      </c>
      <c r="C20" s="448" t="s">
        <v>464</v>
      </c>
    </row>
    <row r="21" spans="1:3" ht="42" customHeight="1">
      <c r="A21" s="1063"/>
      <c r="B21" s="1063"/>
      <c r="C21" s="448" t="s">
        <v>483</v>
      </c>
    </row>
    <row r="22" spans="1:3">
      <c r="A22" s="447">
        <v>15</v>
      </c>
      <c r="B22" s="447" t="s">
        <v>466</v>
      </c>
      <c r="C22" s="448"/>
    </row>
    <row r="23" spans="1:3">
      <c r="A23" s="447">
        <v>16</v>
      </c>
      <c r="B23" s="447" t="s">
        <v>467</v>
      </c>
      <c r="C23" s="447"/>
    </row>
    <row r="24" spans="1:3">
      <c r="A24" s="447">
        <v>17</v>
      </c>
      <c r="B24" s="447" t="s">
        <v>468</v>
      </c>
      <c r="C24" s="448"/>
    </row>
  </sheetData>
  <mergeCells count="4">
    <mergeCell ref="A12:A16"/>
    <mergeCell ref="B12:B16"/>
    <mergeCell ref="A20:A21"/>
    <mergeCell ref="B20: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11"/>
  <sheetViews>
    <sheetView topLeftCell="H39" zoomScale="55" zoomScaleNormal="55" workbookViewId="0">
      <selection activeCell="P42" sqref="P42"/>
    </sheetView>
  </sheetViews>
  <sheetFormatPr defaultColWidth="9.28515625" defaultRowHeight="15"/>
  <cols>
    <col min="1" max="1" width="19.28515625" customWidth="1"/>
    <col min="2" max="2" width="18.28515625" style="62" customWidth="1"/>
    <col min="3" max="3" width="17.5703125" bestFit="1" customWidth="1"/>
    <col min="4" max="4" width="16" customWidth="1"/>
    <col min="5" max="5" width="20.28515625" customWidth="1"/>
    <col min="6" max="6" width="16.42578125" customWidth="1"/>
    <col min="7" max="7" width="19.28515625" customWidth="1"/>
    <col min="8" max="8" width="17.28515625" bestFit="1" customWidth="1"/>
    <col min="9" max="9" width="17.28515625" customWidth="1"/>
    <col min="10" max="10" width="16.42578125" customWidth="1"/>
    <col min="11" max="11" width="15.5703125" bestFit="1" customWidth="1"/>
    <col min="12" max="12" width="13.7109375" customWidth="1"/>
    <col min="13" max="13" width="14.7109375" customWidth="1"/>
    <col min="14" max="14" width="10.28515625" style="61" customWidth="1"/>
    <col min="15" max="15" width="11.7109375" style="61" customWidth="1"/>
    <col min="16" max="16" width="12.28515625" customWidth="1"/>
    <col min="17" max="17" width="26.7109375" customWidth="1"/>
    <col min="18" max="18" width="77.7109375" customWidth="1"/>
    <col min="19" max="19" width="75" style="191" customWidth="1"/>
    <col min="20" max="20" width="9.28515625" style="112"/>
    <col min="21" max="21" width="59.7109375" style="112" customWidth="1"/>
    <col min="22" max="22" width="15.28515625" style="112" bestFit="1" customWidth="1"/>
  </cols>
  <sheetData>
    <row r="1" spans="1:22" s="106" customFormat="1">
      <c r="A1" s="855" t="s">
        <v>88</v>
      </c>
      <c r="B1" s="855"/>
      <c r="C1" s="855"/>
      <c r="D1" s="855"/>
      <c r="E1" s="855"/>
      <c r="I1" s="125" t="s">
        <v>89</v>
      </c>
      <c r="J1" s="125"/>
      <c r="K1" s="125"/>
      <c r="L1" s="125"/>
      <c r="M1" s="125"/>
      <c r="N1" s="125"/>
      <c r="O1" s="125"/>
      <c r="P1" s="125"/>
      <c r="S1" s="406"/>
      <c r="T1" s="122"/>
      <c r="U1" s="122"/>
      <c r="V1" s="122"/>
    </row>
    <row r="2" spans="1:22" s="106" customFormat="1" ht="16.5" customHeight="1">
      <c r="A2" s="106" t="s">
        <v>90</v>
      </c>
      <c r="S2" s="406"/>
      <c r="T2" s="122"/>
      <c r="U2" s="122"/>
      <c r="V2" s="122"/>
    </row>
    <row r="3" spans="1:22" s="106" customFormat="1" ht="16.5" customHeight="1">
      <c r="A3" s="861" t="s">
        <v>91</v>
      </c>
      <c r="B3" s="861"/>
      <c r="C3" s="861"/>
      <c r="D3" s="861"/>
      <c r="E3" s="861"/>
      <c r="F3" s="861"/>
      <c r="G3" s="861"/>
      <c r="J3" s="106" t="s">
        <v>92</v>
      </c>
      <c r="N3" s="107"/>
      <c r="O3" s="107"/>
      <c r="S3" s="406"/>
      <c r="T3" s="122"/>
      <c r="U3" s="122"/>
      <c r="V3" s="122"/>
    </row>
    <row r="4" spans="1:22" s="106" customFormat="1" ht="16.5" customHeight="1">
      <c r="A4" s="865" t="s">
        <v>93</v>
      </c>
      <c r="B4" s="865"/>
      <c r="C4" s="865"/>
      <c r="D4" s="865"/>
      <c r="E4" s="865"/>
      <c r="F4" s="865"/>
      <c r="G4" s="865"/>
      <c r="N4" s="107"/>
      <c r="O4" s="107"/>
      <c r="S4" s="406"/>
      <c r="T4" s="122"/>
      <c r="U4" s="122"/>
      <c r="V4" s="122"/>
    </row>
    <row r="5" spans="1:22" s="106" customFormat="1" ht="16.5" customHeight="1">
      <c r="A5" s="861" t="s">
        <v>94</v>
      </c>
      <c r="B5" s="861"/>
      <c r="C5" s="861"/>
      <c r="D5" s="861"/>
      <c r="E5" s="861"/>
      <c r="F5" s="861"/>
      <c r="G5" s="861"/>
      <c r="N5" s="107"/>
      <c r="O5" s="107"/>
      <c r="S5" s="406"/>
      <c r="T5" s="122"/>
      <c r="U5" s="122"/>
      <c r="V5" s="122"/>
    </row>
    <row r="6" spans="1:22" s="106" customFormat="1" ht="16.5" customHeight="1">
      <c r="A6" s="861" t="s">
        <v>95</v>
      </c>
      <c r="B6" s="861"/>
      <c r="C6" s="861"/>
      <c r="D6" s="861"/>
      <c r="E6" s="861"/>
      <c r="F6" s="861"/>
      <c r="G6" s="861"/>
      <c r="H6" s="861"/>
      <c r="N6" s="107"/>
      <c r="O6" s="107"/>
      <c r="S6" s="406"/>
      <c r="T6" s="122"/>
      <c r="U6" s="122"/>
      <c r="V6" s="122"/>
    </row>
    <row r="7" spans="1:22" s="106" customFormat="1" ht="16.5" customHeight="1">
      <c r="A7" s="861" t="s">
        <v>96</v>
      </c>
      <c r="B7" s="861"/>
      <c r="C7" s="861"/>
      <c r="D7" s="861"/>
      <c r="E7" s="861"/>
      <c r="F7" s="861"/>
      <c r="G7" s="861"/>
      <c r="N7" s="107"/>
      <c r="O7" s="107"/>
      <c r="S7" s="406"/>
      <c r="T7" s="122"/>
      <c r="U7" s="122"/>
      <c r="V7" s="122"/>
    </row>
    <row r="8" spans="1:22" s="106" customFormat="1" ht="16.5" customHeight="1">
      <c r="A8" s="861" t="s">
        <v>97</v>
      </c>
      <c r="B8" s="861"/>
      <c r="C8" s="861"/>
      <c r="D8" s="861"/>
      <c r="E8" s="861"/>
      <c r="F8" s="861"/>
      <c r="G8" s="861"/>
      <c r="N8" s="107"/>
      <c r="O8" s="107"/>
      <c r="S8" s="406"/>
      <c r="T8" s="122"/>
      <c r="U8" s="122"/>
      <c r="V8" s="122"/>
    </row>
    <row r="9" spans="1:22" s="106" customFormat="1" ht="16.5" customHeight="1">
      <c r="A9" s="861" t="s">
        <v>98</v>
      </c>
      <c r="B9" s="861"/>
      <c r="C9" s="861"/>
      <c r="D9" s="861"/>
      <c r="E9" s="861"/>
      <c r="F9" s="861"/>
      <c r="G9" s="861"/>
      <c r="N9" s="107"/>
      <c r="O9" s="107"/>
      <c r="S9" s="406"/>
      <c r="T9" s="122"/>
      <c r="U9" s="122"/>
      <c r="V9" s="122"/>
    </row>
    <row r="10" spans="1:22" ht="15.75" thickBot="1">
      <c r="A10" t="s">
        <v>99</v>
      </c>
    </row>
    <row r="11" spans="1:22" ht="15" customHeight="1">
      <c r="A11" s="870" t="s">
        <v>100</v>
      </c>
      <c r="B11" s="866" t="s">
        <v>101</v>
      </c>
      <c r="C11" s="872" t="s">
        <v>102</v>
      </c>
      <c r="D11" s="880" t="s">
        <v>103</v>
      </c>
      <c r="E11" s="881"/>
      <c r="F11" s="881"/>
      <c r="G11" s="870" t="s">
        <v>104</v>
      </c>
      <c r="H11" s="882" t="s">
        <v>105</v>
      </c>
      <c r="I11" s="882"/>
      <c r="J11" s="876" t="s">
        <v>106</v>
      </c>
      <c r="K11" s="868" t="s">
        <v>107</v>
      </c>
      <c r="L11" s="876" t="s">
        <v>108</v>
      </c>
      <c r="M11" s="881" t="s">
        <v>109</v>
      </c>
      <c r="N11" s="883"/>
      <c r="O11" s="876" t="s">
        <v>110</v>
      </c>
      <c r="P11" s="876" t="s">
        <v>111</v>
      </c>
      <c r="Q11" s="876" t="s">
        <v>112</v>
      </c>
      <c r="R11" s="878" t="s">
        <v>113</v>
      </c>
    </row>
    <row r="12" spans="1:22" ht="65.650000000000006" customHeight="1" thickBot="1">
      <c r="A12" s="871"/>
      <c r="B12" s="867"/>
      <c r="C12" s="873"/>
      <c r="D12" s="1" t="s">
        <v>114</v>
      </c>
      <c r="E12" s="6" t="s">
        <v>115</v>
      </c>
      <c r="F12" s="5" t="s">
        <v>116</v>
      </c>
      <c r="G12" s="871"/>
      <c r="H12" s="1" t="s">
        <v>117</v>
      </c>
      <c r="I12" s="2" t="s">
        <v>118</v>
      </c>
      <c r="J12" s="877"/>
      <c r="K12" s="869"/>
      <c r="L12" s="877"/>
      <c r="M12" s="2" t="s">
        <v>119</v>
      </c>
      <c r="N12" s="2" t="s">
        <v>120</v>
      </c>
      <c r="O12" s="877"/>
      <c r="P12" s="877"/>
      <c r="Q12" s="877"/>
      <c r="R12" s="879"/>
    </row>
    <row r="13" spans="1:22" ht="69.75" customHeight="1">
      <c r="A13" s="820" t="s">
        <v>121</v>
      </c>
      <c r="B13" s="551"/>
      <c r="C13" s="841">
        <v>81711019.799999997</v>
      </c>
      <c r="D13" s="856" t="s">
        <v>122</v>
      </c>
      <c r="E13" s="830">
        <v>49026611.899999999</v>
      </c>
      <c r="F13" s="731">
        <f>E13+(E13*0.3/0.7)</f>
        <v>70038017</v>
      </c>
      <c r="G13" s="896"/>
      <c r="H13" s="87" t="s">
        <v>123</v>
      </c>
      <c r="I13" s="26" t="s">
        <v>124</v>
      </c>
      <c r="J13" s="758" t="s">
        <v>125</v>
      </c>
      <c r="K13" s="753" t="s">
        <v>17</v>
      </c>
      <c r="L13" s="27" t="s">
        <v>126</v>
      </c>
      <c r="M13" s="66">
        <v>0</v>
      </c>
      <c r="N13" s="66">
        <v>2021</v>
      </c>
      <c r="O13" s="85" t="s">
        <v>127</v>
      </c>
      <c r="P13" s="85" t="s">
        <v>128</v>
      </c>
      <c r="Q13" s="67" t="s">
        <v>129</v>
      </c>
      <c r="R13" s="63"/>
    </row>
    <row r="14" spans="1:22" ht="75">
      <c r="A14" s="797"/>
      <c r="B14" s="552"/>
      <c r="C14" s="782"/>
      <c r="D14" s="857"/>
      <c r="E14" s="831"/>
      <c r="F14" s="793"/>
      <c r="G14" s="897"/>
      <c r="H14" s="20" t="s">
        <v>130</v>
      </c>
      <c r="I14" s="28" t="s">
        <v>131</v>
      </c>
      <c r="J14" s="759"/>
      <c r="K14" s="754"/>
      <c r="L14" s="29" t="s">
        <v>132</v>
      </c>
      <c r="M14" s="23" t="s">
        <v>133</v>
      </c>
      <c r="N14" s="13">
        <v>2021</v>
      </c>
      <c r="O14" s="24" t="s">
        <v>127</v>
      </c>
      <c r="P14" s="24" t="s">
        <v>128</v>
      </c>
      <c r="Q14" s="68" t="s">
        <v>129</v>
      </c>
      <c r="R14" s="64"/>
    </row>
    <row r="15" spans="1:22" ht="75" customHeight="1">
      <c r="A15" s="797"/>
      <c r="B15" s="552"/>
      <c r="C15" s="782"/>
      <c r="D15" s="857"/>
      <c r="E15" s="831"/>
      <c r="F15" s="793"/>
      <c r="G15" s="897"/>
      <c r="H15" s="20" t="s">
        <v>134</v>
      </c>
      <c r="I15" s="28" t="s">
        <v>135</v>
      </c>
      <c r="J15" s="759"/>
      <c r="K15" s="754"/>
      <c r="L15" s="29" t="s">
        <v>126</v>
      </c>
      <c r="M15" s="13">
        <v>0</v>
      </c>
      <c r="N15" s="7" t="s">
        <v>127</v>
      </c>
      <c r="O15" s="24" t="s">
        <v>128</v>
      </c>
      <c r="P15" s="22" t="s">
        <v>128</v>
      </c>
      <c r="Q15" s="68" t="s">
        <v>129</v>
      </c>
      <c r="R15" s="64"/>
    </row>
    <row r="16" spans="1:22" ht="60.75" thickBot="1">
      <c r="A16" s="797"/>
      <c r="B16" s="552"/>
      <c r="C16" s="782"/>
      <c r="D16" s="857"/>
      <c r="E16" s="831"/>
      <c r="F16" s="793"/>
      <c r="G16" s="897"/>
      <c r="H16" s="20" t="s">
        <v>136</v>
      </c>
      <c r="I16" s="28" t="s">
        <v>137</v>
      </c>
      <c r="J16" s="759"/>
      <c r="K16" s="754"/>
      <c r="L16" s="28" t="s">
        <v>138</v>
      </c>
      <c r="M16" s="13">
        <v>0</v>
      </c>
      <c r="N16" s="7" t="s">
        <v>127</v>
      </c>
      <c r="O16" s="7" t="s">
        <v>139</v>
      </c>
      <c r="P16" s="22" t="s">
        <v>128</v>
      </c>
      <c r="Q16" s="68" t="s">
        <v>129</v>
      </c>
      <c r="R16" s="64"/>
    </row>
    <row r="17" spans="1:18" ht="45.75" thickBot="1">
      <c r="A17" s="797"/>
      <c r="B17" s="552"/>
      <c r="C17" s="782"/>
      <c r="D17" s="858"/>
      <c r="E17" s="832"/>
      <c r="F17" s="768"/>
      <c r="G17" s="898"/>
      <c r="H17" s="553" t="s">
        <v>140</v>
      </c>
      <c r="I17" s="32" t="s">
        <v>141</v>
      </c>
      <c r="J17" s="760"/>
      <c r="K17" s="755"/>
      <c r="L17" s="34" t="s">
        <v>142</v>
      </c>
      <c r="M17" s="109" t="s">
        <v>128</v>
      </c>
      <c r="N17" s="15">
        <v>2021</v>
      </c>
      <c r="O17" s="16" t="s">
        <v>127</v>
      </c>
      <c r="P17" s="16" t="s">
        <v>128</v>
      </c>
      <c r="Q17" s="65" t="s">
        <v>129</v>
      </c>
      <c r="R17" s="73"/>
    </row>
    <row r="18" spans="1:18" ht="81.75" customHeight="1">
      <c r="A18" s="797"/>
      <c r="B18" s="552"/>
      <c r="C18" s="831"/>
      <c r="D18" s="859" t="s">
        <v>143</v>
      </c>
      <c r="E18" s="860">
        <v>32684407.899999999</v>
      </c>
      <c r="F18" s="737">
        <f>E18+(E18*0.3/0.7)</f>
        <v>46692011.285714284</v>
      </c>
      <c r="G18" s="899"/>
      <c r="H18" s="87" t="s">
        <v>123</v>
      </c>
      <c r="I18" s="26" t="s">
        <v>124</v>
      </c>
      <c r="J18" s="758" t="s">
        <v>125</v>
      </c>
      <c r="K18" s="753" t="s">
        <v>17</v>
      </c>
      <c r="L18" s="27" t="s">
        <v>126</v>
      </c>
      <c r="M18" s="66">
        <v>0</v>
      </c>
      <c r="N18" s="66">
        <v>2021</v>
      </c>
      <c r="O18" s="85" t="s">
        <v>127</v>
      </c>
      <c r="P18" s="85" t="s">
        <v>128</v>
      </c>
      <c r="Q18" s="67" t="s">
        <v>129</v>
      </c>
      <c r="R18" s="63"/>
    </row>
    <row r="19" spans="1:18" ht="75">
      <c r="A19" s="797"/>
      <c r="B19" s="552"/>
      <c r="C19" s="831"/>
      <c r="D19" s="816"/>
      <c r="E19" s="816"/>
      <c r="F19" s="816"/>
      <c r="G19" s="900"/>
      <c r="H19" s="20" t="s">
        <v>130</v>
      </c>
      <c r="I19" s="28" t="s">
        <v>131</v>
      </c>
      <c r="J19" s="759"/>
      <c r="K19" s="754"/>
      <c r="L19" s="29" t="s">
        <v>132</v>
      </c>
      <c r="M19" s="23" t="s">
        <v>133</v>
      </c>
      <c r="N19" s="13">
        <v>2021</v>
      </c>
      <c r="O19" s="24" t="s">
        <v>127</v>
      </c>
      <c r="P19" s="24" t="s">
        <v>128</v>
      </c>
      <c r="Q19" s="68" t="s">
        <v>129</v>
      </c>
      <c r="R19" s="64"/>
    </row>
    <row r="20" spans="1:18" ht="82.15" customHeight="1">
      <c r="A20" s="797"/>
      <c r="B20" s="552"/>
      <c r="C20" s="831"/>
      <c r="D20" s="816"/>
      <c r="E20" s="816"/>
      <c r="F20" s="816"/>
      <c r="G20" s="900"/>
      <c r="H20" s="20" t="s">
        <v>134</v>
      </c>
      <c r="I20" s="28" t="s">
        <v>135</v>
      </c>
      <c r="J20" s="759"/>
      <c r="K20" s="754"/>
      <c r="L20" s="29" t="s">
        <v>126</v>
      </c>
      <c r="M20" s="13">
        <v>0</v>
      </c>
      <c r="N20" s="7" t="s">
        <v>127</v>
      </c>
      <c r="O20" s="24" t="s">
        <v>128</v>
      </c>
      <c r="P20" s="22" t="s">
        <v>128</v>
      </c>
      <c r="Q20" s="68" t="s">
        <v>129</v>
      </c>
      <c r="R20" s="64"/>
    </row>
    <row r="21" spans="1:18" ht="60">
      <c r="A21" s="797"/>
      <c r="B21" s="552"/>
      <c r="C21" s="831"/>
      <c r="D21" s="816"/>
      <c r="E21" s="816"/>
      <c r="F21" s="816"/>
      <c r="G21" s="900"/>
      <c r="H21" s="20" t="s">
        <v>136</v>
      </c>
      <c r="I21" s="28" t="s">
        <v>137</v>
      </c>
      <c r="J21" s="759"/>
      <c r="K21" s="754"/>
      <c r="L21" s="28" t="s">
        <v>138</v>
      </c>
      <c r="M21" s="13">
        <v>0</v>
      </c>
      <c r="N21" s="7" t="s">
        <v>127</v>
      </c>
      <c r="O21" s="7" t="s">
        <v>139</v>
      </c>
      <c r="P21" s="22" t="s">
        <v>128</v>
      </c>
      <c r="Q21" s="68" t="s">
        <v>129</v>
      </c>
      <c r="R21" s="64"/>
    </row>
    <row r="22" spans="1:18" ht="45.75" thickBot="1">
      <c r="A22" s="823"/>
      <c r="B22" s="552"/>
      <c r="C22" s="831"/>
      <c r="D22" s="816"/>
      <c r="E22" s="816"/>
      <c r="F22" s="816"/>
      <c r="G22" s="900"/>
      <c r="H22" s="554" t="s">
        <v>140</v>
      </c>
      <c r="I22" s="30" t="s">
        <v>141</v>
      </c>
      <c r="J22" s="760"/>
      <c r="K22" s="755"/>
      <c r="L22" s="31" t="s">
        <v>142</v>
      </c>
      <c r="M22" s="110" t="s">
        <v>128</v>
      </c>
      <c r="N22" s="69">
        <v>2021</v>
      </c>
      <c r="O22" s="86" t="s">
        <v>127</v>
      </c>
      <c r="P22" s="86" t="s">
        <v>128</v>
      </c>
      <c r="Q22" s="72" t="s">
        <v>129</v>
      </c>
      <c r="R22" s="70"/>
    </row>
    <row r="23" spans="1:18" ht="113.25" customHeight="1" thickBot="1">
      <c r="A23" s="884" t="s">
        <v>144</v>
      </c>
      <c r="B23" s="555"/>
      <c r="C23" s="862">
        <v>15014039</v>
      </c>
      <c r="D23" s="887" t="s">
        <v>145</v>
      </c>
      <c r="E23" s="841">
        <v>3002807.8</v>
      </c>
      <c r="F23" s="721">
        <f>E23+(E23*0.3/0.7)</f>
        <v>4289725.4285714282</v>
      </c>
      <c r="G23" s="843"/>
      <c r="H23" s="798" t="s">
        <v>134</v>
      </c>
      <c r="I23" s="890" t="s">
        <v>135</v>
      </c>
      <c r="J23" s="758" t="s">
        <v>125</v>
      </c>
      <c r="K23" s="753" t="s">
        <v>17</v>
      </c>
      <c r="L23" s="890" t="s">
        <v>126</v>
      </c>
      <c r="M23" s="18">
        <v>0</v>
      </c>
      <c r="N23" s="17" t="s">
        <v>127</v>
      </c>
      <c r="O23" s="33" t="s">
        <v>128</v>
      </c>
      <c r="P23" s="83" t="s">
        <v>128</v>
      </c>
      <c r="Q23" s="19" t="s">
        <v>129</v>
      </c>
      <c r="R23" s="71"/>
    </row>
    <row r="24" spans="1:18" ht="12.6" hidden="1" customHeight="1">
      <c r="A24" s="885"/>
      <c r="B24" s="556"/>
      <c r="C24" s="863"/>
      <c r="D24" s="888"/>
      <c r="E24" s="782"/>
      <c r="F24" s="722"/>
      <c r="G24" s="844"/>
      <c r="H24" s="821"/>
      <c r="I24" s="744"/>
      <c r="J24" s="759"/>
      <c r="K24" s="754"/>
      <c r="L24" s="744"/>
      <c r="M24" s="13">
        <v>0</v>
      </c>
      <c r="N24" s="7" t="s">
        <v>127</v>
      </c>
      <c r="O24" s="24" t="s">
        <v>128</v>
      </c>
      <c r="P24" s="22" t="s">
        <v>128</v>
      </c>
      <c r="Q24" s="68" t="s">
        <v>146</v>
      </c>
      <c r="R24" s="64"/>
    </row>
    <row r="25" spans="1:18" ht="1.1499999999999999" hidden="1" customHeight="1">
      <c r="A25" s="885"/>
      <c r="B25" s="556"/>
      <c r="C25" s="863"/>
      <c r="D25" s="888"/>
      <c r="E25" s="782"/>
      <c r="F25" s="722"/>
      <c r="G25" s="844"/>
      <c r="H25" s="821"/>
      <c r="I25" s="744"/>
      <c r="J25" s="759"/>
      <c r="K25" s="754"/>
      <c r="L25" s="744"/>
      <c r="M25" s="13">
        <v>0</v>
      </c>
      <c r="N25" s="7" t="s">
        <v>127</v>
      </c>
      <c r="O25" s="24" t="s">
        <v>128</v>
      </c>
      <c r="P25" s="22" t="s">
        <v>128</v>
      </c>
      <c r="Q25" s="68" t="s">
        <v>146</v>
      </c>
      <c r="R25" s="64"/>
    </row>
    <row r="26" spans="1:18" ht="78" customHeight="1" thickBot="1">
      <c r="A26" s="885"/>
      <c r="B26" s="556"/>
      <c r="C26" s="864"/>
      <c r="D26" s="889"/>
      <c r="E26" s="842"/>
      <c r="F26" s="746"/>
      <c r="G26" s="845"/>
      <c r="H26" s="553" t="s">
        <v>140</v>
      </c>
      <c r="I26" s="32" t="s">
        <v>141</v>
      </c>
      <c r="J26" s="760"/>
      <c r="K26" s="755"/>
      <c r="L26" s="34" t="s">
        <v>142</v>
      </c>
      <c r="M26" s="111" t="s">
        <v>128</v>
      </c>
      <c r="N26" s="15">
        <v>2021</v>
      </c>
      <c r="O26" s="16" t="s">
        <v>127</v>
      </c>
      <c r="P26" s="16" t="s">
        <v>128</v>
      </c>
      <c r="Q26" s="65" t="s">
        <v>129</v>
      </c>
      <c r="R26" s="73"/>
    </row>
    <row r="27" spans="1:18" ht="58.15" customHeight="1">
      <c r="A27" s="885"/>
      <c r="B27" s="556"/>
      <c r="C27" s="862"/>
      <c r="D27" s="838" t="s">
        <v>147</v>
      </c>
      <c r="E27" s="841">
        <v>6005615.5999999996</v>
      </c>
      <c r="F27" s="721">
        <f>E27+(E27*0.3/0.7)</f>
        <v>8579450.8571428563</v>
      </c>
      <c r="G27" s="843"/>
      <c r="H27" s="820" t="s">
        <v>134</v>
      </c>
      <c r="I27" s="849" t="s">
        <v>135</v>
      </c>
      <c r="J27" s="758" t="s">
        <v>125</v>
      </c>
      <c r="K27" s="753" t="s">
        <v>17</v>
      </c>
      <c r="L27" s="849" t="s">
        <v>126</v>
      </c>
      <c r="M27" s="743">
        <v>0</v>
      </c>
      <c r="N27" s="850" t="s">
        <v>127</v>
      </c>
      <c r="O27" s="850" t="s">
        <v>128</v>
      </c>
      <c r="P27" s="743" t="s">
        <v>128</v>
      </c>
      <c r="Q27" s="721" t="s">
        <v>129</v>
      </c>
      <c r="R27" s="846"/>
    </row>
    <row r="28" spans="1:18" ht="15.6" customHeight="1">
      <c r="A28" s="885"/>
      <c r="B28" s="556"/>
      <c r="C28" s="863"/>
      <c r="D28" s="839"/>
      <c r="E28" s="782"/>
      <c r="F28" s="722"/>
      <c r="G28" s="844"/>
      <c r="H28" s="797"/>
      <c r="I28" s="848"/>
      <c r="J28" s="759"/>
      <c r="K28" s="754"/>
      <c r="L28" s="848"/>
      <c r="M28" s="744"/>
      <c r="N28" s="811"/>
      <c r="O28" s="811"/>
      <c r="P28" s="744"/>
      <c r="Q28" s="722"/>
      <c r="R28" s="847"/>
    </row>
    <row r="29" spans="1:18" ht="15" customHeight="1" thickBot="1">
      <c r="A29" s="885"/>
      <c r="B29" s="556"/>
      <c r="C29" s="863"/>
      <c r="D29" s="839"/>
      <c r="E29" s="782"/>
      <c r="F29" s="722"/>
      <c r="G29" s="844"/>
      <c r="H29" s="798"/>
      <c r="I29" s="848"/>
      <c r="J29" s="759"/>
      <c r="K29" s="754"/>
      <c r="L29" s="848"/>
      <c r="M29" s="744"/>
      <c r="N29" s="811"/>
      <c r="O29" s="811"/>
      <c r="P29" s="744"/>
      <c r="Q29" s="722"/>
      <c r="R29" s="847"/>
    </row>
    <row r="30" spans="1:18" ht="75" customHeight="1" thickBot="1">
      <c r="A30" s="885"/>
      <c r="B30" s="556"/>
      <c r="C30" s="864"/>
      <c r="D30" s="840"/>
      <c r="E30" s="842"/>
      <c r="F30" s="746"/>
      <c r="G30" s="845"/>
      <c r="H30" s="553" t="s">
        <v>140</v>
      </c>
      <c r="I30" s="32" t="s">
        <v>141</v>
      </c>
      <c r="J30" s="760"/>
      <c r="K30" s="755"/>
      <c r="L30" s="34" t="s">
        <v>142</v>
      </c>
      <c r="M30" s="111" t="s">
        <v>128</v>
      </c>
      <c r="N30" s="15">
        <v>2021</v>
      </c>
      <c r="O30" s="16" t="s">
        <v>128</v>
      </c>
      <c r="P30" s="16" t="s">
        <v>128</v>
      </c>
      <c r="Q30" s="65" t="s">
        <v>129</v>
      </c>
      <c r="R30" s="73"/>
    </row>
    <row r="31" spans="1:18" ht="65.650000000000006" customHeight="1">
      <c r="A31" s="885"/>
      <c r="B31" s="556"/>
      <c r="C31" s="862"/>
      <c r="D31" s="838" t="s">
        <v>148</v>
      </c>
      <c r="E31" s="841">
        <v>6005615.5999999996</v>
      </c>
      <c r="F31" s="721">
        <f>E31+(E31*0.3/0.7)</f>
        <v>8579450.8571428563</v>
      </c>
      <c r="G31" s="843"/>
      <c r="H31" s="851" t="s">
        <v>140</v>
      </c>
      <c r="I31" s="849" t="s">
        <v>141</v>
      </c>
      <c r="J31" s="758" t="s">
        <v>125</v>
      </c>
      <c r="K31" s="753" t="s">
        <v>17</v>
      </c>
      <c r="L31" s="852" t="s">
        <v>142</v>
      </c>
      <c r="M31" s="853" t="s">
        <v>128</v>
      </c>
      <c r="N31" s="743">
        <v>2021</v>
      </c>
      <c r="O31" s="850" t="s">
        <v>127</v>
      </c>
      <c r="P31" s="743" t="s">
        <v>128</v>
      </c>
      <c r="Q31" s="67" t="s">
        <v>129</v>
      </c>
      <c r="R31" s="846"/>
    </row>
    <row r="32" spans="1:18" ht="52.5" hidden="1" customHeight="1">
      <c r="A32" s="885"/>
      <c r="B32" s="556"/>
      <c r="C32" s="863"/>
      <c r="D32" s="839"/>
      <c r="E32" s="782"/>
      <c r="F32" s="722"/>
      <c r="G32" s="844"/>
      <c r="H32" s="821"/>
      <c r="I32" s="744"/>
      <c r="J32" s="759"/>
      <c r="K32" s="754"/>
      <c r="L32" s="744"/>
      <c r="M32" s="854"/>
      <c r="N32" s="744"/>
      <c r="O32" s="811"/>
      <c r="P32" s="744"/>
      <c r="Q32" s="68" t="s">
        <v>146</v>
      </c>
      <c r="R32" s="847"/>
    </row>
    <row r="33" spans="1:37" ht="59.1" customHeight="1">
      <c r="A33" s="885"/>
      <c r="B33" s="556"/>
      <c r="C33" s="863"/>
      <c r="D33" s="839"/>
      <c r="E33" s="782"/>
      <c r="F33" s="722"/>
      <c r="G33" s="844"/>
      <c r="H33" s="821" t="s">
        <v>134</v>
      </c>
      <c r="I33" s="848" t="s">
        <v>135</v>
      </c>
      <c r="J33" s="759"/>
      <c r="K33" s="754"/>
      <c r="L33" s="848" t="s">
        <v>126</v>
      </c>
      <c r="M33" s="744">
        <v>0</v>
      </c>
      <c r="N33" s="744" t="s">
        <v>127</v>
      </c>
      <c r="O33" s="811" t="s">
        <v>128</v>
      </c>
      <c r="P33" s="744" t="s">
        <v>128</v>
      </c>
      <c r="Q33" s="722" t="s">
        <v>129</v>
      </c>
      <c r="R33" s="847"/>
    </row>
    <row r="34" spans="1:37" ht="15.75" thickBot="1">
      <c r="A34" s="886"/>
      <c r="B34" s="557"/>
      <c r="C34" s="864"/>
      <c r="D34" s="840"/>
      <c r="E34" s="842"/>
      <c r="F34" s="746"/>
      <c r="G34" s="845"/>
      <c r="H34" s="822"/>
      <c r="I34" s="810"/>
      <c r="J34" s="760"/>
      <c r="K34" s="755"/>
      <c r="L34" s="810"/>
      <c r="M34" s="810"/>
      <c r="N34" s="810"/>
      <c r="O34" s="812"/>
      <c r="P34" s="810"/>
      <c r="Q34" s="810"/>
      <c r="R34" s="794"/>
    </row>
    <row r="35" spans="1:37" ht="75" customHeight="1">
      <c r="A35" s="820" t="s">
        <v>149</v>
      </c>
      <c r="B35" s="558"/>
      <c r="C35" s="824">
        <v>32049198.600000001</v>
      </c>
      <c r="D35" s="827" t="s">
        <v>147</v>
      </c>
      <c r="E35" s="830">
        <v>32049198.600000001</v>
      </c>
      <c r="F35" s="731">
        <f>E35+(E35*0.3/0.7)</f>
        <v>45784569.428571433</v>
      </c>
      <c r="G35" s="833"/>
      <c r="H35" s="87" t="s">
        <v>130</v>
      </c>
      <c r="I35" s="26" t="s">
        <v>131</v>
      </c>
      <c r="J35" s="758" t="s">
        <v>125</v>
      </c>
      <c r="K35" s="753" t="s">
        <v>17</v>
      </c>
      <c r="L35" s="35" t="s">
        <v>132</v>
      </c>
      <c r="M35" s="82" t="s">
        <v>133</v>
      </c>
      <c r="N35" s="66">
        <v>2021</v>
      </c>
      <c r="O35" s="85" t="s">
        <v>127</v>
      </c>
      <c r="P35" s="85" t="s">
        <v>128</v>
      </c>
      <c r="Q35" s="67" t="s">
        <v>129</v>
      </c>
      <c r="R35" s="63"/>
    </row>
    <row r="36" spans="1:37" ht="75">
      <c r="A36" s="797"/>
      <c r="B36" s="559"/>
      <c r="C36" s="825"/>
      <c r="D36" s="828"/>
      <c r="E36" s="831"/>
      <c r="F36" s="793"/>
      <c r="G36" s="834"/>
      <c r="H36" s="20" t="s">
        <v>123</v>
      </c>
      <c r="I36" s="28" t="s">
        <v>124</v>
      </c>
      <c r="J36" s="759"/>
      <c r="K36" s="754"/>
      <c r="L36" s="29" t="s">
        <v>126</v>
      </c>
      <c r="M36" s="13">
        <v>0</v>
      </c>
      <c r="N36" s="13">
        <v>2021</v>
      </c>
      <c r="O36" s="24" t="s">
        <v>127</v>
      </c>
      <c r="P36" s="24" t="s">
        <v>128</v>
      </c>
      <c r="Q36" s="68" t="s">
        <v>129</v>
      </c>
      <c r="R36" s="64"/>
    </row>
    <row r="37" spans="1:37" ht="14.65" customHeight="1">
      <c r="A37" s="821"/>
      <c r="B37" s="559"/>
      <c r="C37" s="825"/>
      <c r="D37" s="828"/>
      <c r="E37" s="831"/>
      <c r="F37" s="793"/>
      <c r="G37" s="834"/>
      <c r="H37" s="784" t="s">
        <v>134</v>
      </c>
      <c r="I37" s="837" t="s">
        <v>135</v>
      </c>
      <c r="J37" s="759"/>
      <c r="K37" s="754"/>
      <c r="L37" s="813" t="s">
        <v>126</v>
      </c>
      <c r="M37" s="810">
        <v>0</v>
      </c>
      <c r="N37" s="812" t="s">
        <v>127</v>
      </c>
      <c r="O37" s="812" t="s">
        <v>128</v>
      </c>
      <c r="P37" s="810" t="s">
        <v>128</v>
      </c>
      <c r="Q37" s="737" t="s">
        <v>129</v>
      </c>
      <c r="R37" s="794"/>
    </row>
    <row r="38" spans="1:37" ht="22.5" customHeight="1">
      <c r="A38" s="822"/>
      <c r="B38" s="559"/>
      <c r="C38" s="825"/>
      <c r="D38" s="828"/>
      <c r="E38" s="831"/>
      <c r="F38" s="793"/>
      <c r="G38" s="834"/>
      <c r="H38" s="836"/>
      <c r="I38" s="754"/>
      <c r="J38" s="759"/>
      <c r="K38" s="754"/>
      <c r="L38" s="814"/>
      <c r="M38" s="816"/>
      <c r="N38" s="818"/>
      <c r="O38" s="818"/>
      <c r="P38" s="816"/>
      <c r="Q38" s="793"/>
      <c r="R38" s="795"/>
    </row>
    <row r="39" spans="1:37" ht="27.75" customHeight="1">
      <c r="A39" s="797"/>
      <c r="B39" s="559"/>
      <c r="C39" s="825"/>
      <c r="D39" s="828"/>
      <c r="E39" s="831"/>
      <c r="F39" s="793"/>
      <c r="G39" s="834"/>
      <c r="H39" s="836"/>
      <c r="I39" s="754"/>
      <c r="J39" s="759"/>
      <c r="K39" s="754"/>
      <c r="L39" s="814"/>
      <c r="M39" s="816"/>
      <c r="N39" s="818"/>
      <c r="O39" s="818"/>
      <c r="P39" s="816"/>
      <c r="Q39" s="793"/>
      <c r="R39" s="795"/>
    </row>
    <row r="40" spans="1:37" ht="66.75" customHeight="1" thickBot="1">
      <c r="A40" s="823"/>
      <c r="B40" s="559"/>
      <c r="C40" s="826"/>
      <c r="D40" s="829"/>
      <c r="E40" s="832"/>
      <c r="F40" s="732"/>
      <c r="G40" s="835"/>
      <c r="H40" s="785"/>
      <c r="I40" s="755"/>
      <c r="J40" s="760"/>
      <c r="K40" s="755"/>
      <c r="L40" s="815"/>
      <c r="M40" s="817"/>
      <c r="N40" s="819"/>
      <c r="O40" s="819"/>
      <c r="P40" s="817"/>
      <c r="Q40" s="738"/>
      <c r="R40" s="796"/>
    </row>
    <row r="41" spans="1:37" ht="112.15" customHeight="1">
      <c r="A41" s="723" t="s">
        <v>95</v>
      </c>
      <c r="B41" s="719">
        <f>F41</f>
        <v>126618185.41176471</v>
      </c>
      <c r="C41" s="726">
        <f>0.8*'Intervencijų lėšos (2)'!J3</f>
        <v>107625457.60000001</v>
      </c>
      <c r="D41" s="728" t="s">
        <v>150</v>
      </c>
      <c r="E41" s="731">
        <f>C41/0.85*0.15</f>
        <v>18992727.81176471</v>
      </c>
      <c r="F41" s="726">
        <f>C41+E41</f>
        <v>126618185.41176471</v>
      </c>
      <c r="G41" s="733">
        <f>F41</f>
        <v>126618185.41176471</v>
      </c>
      <c r="H41" s="118" t="s">
        <v>151</v>
      </c>
      <c r="I41" s="132" t="s">
        <v>152</v>
      </c>
      <c r="J41" s="728" t="s">
        <v>153</v>
      </c>
      <c r="K41" s="728" t="s">
        <v>154</v>
      </c>
      <c r="L41" s="132" t="s">
        <v>155</v>
      </c>
      <c r="M41" s="132" t="s">
        <v>127</v>
      </c>
      <c r="N41" s="132" t="s">
        <v>156</v>
      </c>
      <c r="O41" s="156">
        <f>P41*0.1</f>
        <v>158.2727317647059</v>
      </c>
      <c r="P41" s="156">
        <f>G41/80000</f>
        <v>1582.727317647059</v>
      </c>
      <c r="Q41" s="132" t="s">
        <v>157</v>
      </c>
      <c r="R41" s="403" t="s">
        <v>158</v>
      </c>
      <c r="S41" s="434" t="s">
        <v>159</v>
      </c>
      <c r="T41" s="176"/>
      <c r="U41" s="176"/>
      <c r="V41" s="176"/>
      <c r="W41" s="135"/>
      <c r="X41" s="135"/>
      <c r="Y41" s="135"/>
      <c r="Z41" s="135"/>
      <c r="AA41" s="135"/>
      <c r="AB41" s="10"/>
      <c r="AC41" s="10"/>
      <c r="AD41" s="10"/>
      <c r="AE41" s="10"/>
      <c r="AF41" s="10"/>
      <c r="AG41" s="10"/>
      <c r="AH41" s="10"/>
      <c r="AI41" s="10"/>
      <c r="AJ41" s="10"/>
      <c r="AK41" s="10"/>
    </row>
    <row r="42" spans="1:37" ht="202.15" customHeight="1">
      <c r="A42" s="724"/>
      <c r="B42" s="720"/>
      <c r="C42" s="727"/>
      <c r="D42" s="729"/>
      <c r="E42" s="732"/>
      <c r="F42" s="727"/>
      <c r="G42" s="734"/>
      <c r="H42" s="116" t="s">
        <v>140</v>
      </c>
      <c r="I42" s="117" t="s">
        <v>141</v>
      </c>
      <c r="J42" s="768"/>
      <c r="K42" s="761"/>
      <c r="L42" s="34" t="s">
        <v>142</v>
      </c>
      <c r="M42" s="414">
        <f>6.21/1000*0.955</f>
        <v>5.9305499999999997E-3</v>
      </c>
      <c r="N42" s="133" t="s">
        <v>156</v>
      </c>
      <c r="O42" s="137" t="s">
        <v>127</v>
      </c>
      <c r="P42" s="414">
        <f>131.51/1000*0.955</f>
        <v>0.12559204999999998</v>
      </c>
      <c r="Q42" s="133" t="s">
        <v>157</v>
      </c>
      <c r="R42" s="429" t="s">
        <v>160</v>
      </c>
      <c r="S42" s="435" t="s">
        <v>161</v>
      </c>
      <c r="T42" s="176"/>
      <c r="U42" s="176"/>
      <c r="V42" s="176"/>
      <c r="W42" s="135"/>
      <c r="X42" s="135"/>
      <c r="Y42" s="135"/>
      <c r="Z42" s="135"/>
      <c r="AA42" s="135"/>
      <c r="AB42" s="10"/>
      <c r="AC42" s="10"/>
      <c r="AD42" s="10"/>
      <c r="AE42" s="10"/>
      <c r="AF42" s="10"/>
      <c r="AG42" s="10"/>
      <c r="AH42" s="10"/>
      <c r="AI42" s="10"/>
      <c r="AJ42" s="10"/>
      <c r="AK42" s="10"/>
    </row>
    <row r="43" spans="1:37" ht="97.9" customHeight="1">
      <c r="A43" s="724"/>
      <c r="B43" s="741">
        <f>F43</f>
        <v>6023529.4117647056</v>
      </c>
      <c r="C43" s="735">
        <f>0.8*'Intervencijų lėšos (2)'!J4</f>
        <v>5120000</v>
      </c>
      <c r="D43" s="729"/>
      <c r="E43" s="737">
        <f>(C43*100/85)-C43</f>
        <v>903529.41176470555</v>
      </c>
      <c r="F43" s="739">
        <f>C43+E43</f>
        <v>6023529.4117647056</v>
      </c>
      <c r="G43" s="739">
        <f>F43</f>
        <v>6023529.4117647056</v>
      </c>
      <c r="H43" s="116" t="s">
        <v>162</v>
      </c>
      <c r="I43" s="133" t="s">
        <v>152</v>
      </c>
      <c r="J43" s="769" t="s">
        <v>125</v>
      </c>
      <c r="K43" s="762" t="s">
        <v>163</v>
      </c>
      <c r="L43" s="133" t="s">
        <v>155</v>
      </c>
      <c r="M43" s="133" t="s">
        <v>127</v>
      </c>
      <c r="N43" s="133" t="s">
        <v>156</v>
      </c>
      <c r="O43" s="108">
        <f>P43*0.1</f>
        <v>7.5294117647058831</v>
      </c>
      <c r="P43" s="108">
        <f>G43/80000</f>
        <v>75.294117647058826</v>
      </c>
      <c r="Q43" s="133" t="s">
        <v>157</v>
      </c>
      <c r="R43" s="430" t="s">
        <v>164</v>
      </c>
      <c r="S43" s="434" t="s">
        <v>165</v>
      </c>
      <c r="T43" s="176"/>
      <c r="U43" s="176"/>
      <c r="V43" s="176"/>
      <c r="W43" s="135"/>
      <c r="X43" s="135"/>
      <c r="Y43" s="135"/>
      <c r="Z43" s="135"/>
      <c r="AA43" s="135"/>
      <c r="AB43" s="10"/>
      <c r="AC43" s="10"/>
      <c r="AD43" s="10"/>
      <c r="AE43" s="10"/>
      <c r="AF43" s="10"/>
      <c r="AG43" s="10"/>
      <c r="AH43" s="10"/>
      <c r="AI43" s="10"/>
      <c r="AJ43" s="10"/>
      <c r="AK43" s="10"/>
    </row>
    <row r="44" spans="1:37" ht="168.6" customHeight="1" thickBot="1">
      <c r="A44" s="725"/>
      <c r="B44" s="742"/>
      <c r="C44" s="736"/>
      <c r="D44" s="730"/>
      <c r="E44" s="738"/>
      <c r="F44" s="740"/>
      <c r="G44" s="740"/>
      <c r="H44" s="138" t="s">
        <v>166</v>
      </c>
      <c r="I44" s="134" t="s">
        <v>141</v>
      </c>
      <c r="J44" s="770"/>
      <c r="K44" s="730"/>
      <c r="L44" s="31" t="s">
        <v>142</v>
      </c>
      <c r="M44" s="415">
        <f>6.21/1000*0.045</f>
        <v>2.7944999999999999E-4</v>
      </c>
      <c r="N44" s="134" t="s">
        <v>156</v>
      </c>
      <c r="O44" s="235" t="s">
        <v>127</v>
      </c>
      <c r="P44" s="415">
        <f>131.51/1000*0.045</f>
        <v>5.9179499999999991E-3</v>
      </c>
      <c r="Q44" s="134" t="s">
        <v>157</v>
      </c>
      <c r="R44" s="431" t="s">
        <v>167</v>
      </c>
      <c r="S44" s="436" t="s">
        <v>168</v>
      </c>
      <c r="T44" s="176"/>
      <c r="U44" s="424"/>
      <c r="V44" s="236"/>
      <c r="W44" s="135"/>
      <c r="X44" s="135"/>
      <c r="Y44" s="135"/>
      <c r="Z44" s="135"/>
      <c r="AA44" s="135"/>
      <c r="AB44" s="10"/>
      <c r="AC44" s="10"/>
      <c r="AD44" s="10"/>
      <c r="AE44" s="10"/>
      <c r="AF44" s="10"/>
      <c r="AG44" s="10"/>
      <c r="AH44" s="10"/>
      <c r="AI44" s="10"/>
      <c r="AJ44" s="10"/>
      <c r="AK44" s="10"/>
    </row>
    <row r="45" spans="1:37" ht="78" customHeight="1" thickBot="1">
      <c r="A45" s="750" t="s">
        <v>96</v>
      </c>
      <c r="B45" s="721">
        <f>F45</f>
        <v>31654546.352941178</v>
      </c>
      <c r="C45" s="763">
        <f>0.2*'Intervencijų lėšos (2)'!J3</f>
        <v>26906364.400000002</v>
      </c>
      <c r="D45" s="743" t="s">
        <v>150</v>
      </c>
      <c r="E45" s="721">
        <f>C45/0.85*0.15</f>
        <v>4748181.9529411774</v>
      </c>
      <c r="F45" s="763">
        <f>C45+E45</f>
        <v>31654546.352941178</v>
      </c>
      <c r="G45" s="763">
        <f>F45</f>
        <v>31654546.352941178</v>
      </c>
      <c r="H45" s="118" t="s">
        <v>140</v>
      </c>
      <c r="I45" s="132" t="s">
        <v>141</v>
      </c>
      <c r="J45" s="765" t="s">
        <v>153</v>
      </c>
      <c r="K45" s="766" t="s">
        <v>154</v>
      </c>
      <c r="L45" s="234" t="s">
        <v>142</v>
      </c>
      <c r="M45" s="132"/>
      <c r="N45" s="132" t="s">
        <v>156</v>
      </c>
      <c r="O45" s="67" t="s">
        <v>127</v>
      </c>
      <c r="P45" s="132"/>
      <c r="Q45" s="132" t="s">
        <v>157</v>
      </c>
      <c r="R45" s="432" t="s">
        <v>169</v>
      </c>
      <c r="S45" s="891" t="s">
        <v>170</v>
      </c>
      <c r="T45" s="176"/>
      <c r="U45" s="176"/>
      <c r="V45" s="176"/>
      <c r="W45" s="135"/>
      <c r="X45" s="135"/>
      <c r="Y45" s="135"/>
      <c r="Z45" s="135"/>
      <c r="AA45" s="135"/>
      <c r="AB45" s="10"/>
      <c r="AC45" s="10"/>
      <c r="AD45" s="10"/>
      <c r="AE45" s="10"/>
      <c r="AF45" s="10"/>
      <c r="AG45" s="10"/>
      <c r="AH45" s="10"/>
      <c r="AI45" s="10"/>
      <c r="AJ45" s="10"/>
      <c r="AK45" s="10"/>
    </row>
    <row r="46" spans="1:37" ht="109.5" customHeight="1" thickBot="1">
      <c r="A46" s="751"/>
      <c r="B46" s="722"/>
      <c r="C46" s="764"/>
      <c r="D46" s="744"/>
      <c r="E46" s="722"/>
      <c r="F46" s="747"/>
      <c r="G46" s="764"/>
      <c r="H46" s="116" t="s">
        <v>171</v>
      </c>
      <c r="I46" s="133" t="s">
        <v>172</v>
      </c>
      <c r="J46" s="744"/>
      <c r="K46" s="767"/>
      <c r="L46" s="133" t="s">
        <v>173</v>
      </c>
      <c r="M46" s="133"/>
      <c r="N46" s="133"/>
      <c r="O46" s="68"/>
      <c r="P46" s="133"/>
      <c r="Q46" s="133" t="s">
        <v>157</v>
      </c>
      <c r="R46" s="432" t="s">
        <v>169</v>
      </c>
      <c r="S46" s="891"/>
      <c r="T46" s="176"/>
      <c r="U46" s="176"/>
      <c r="V46" s="176"/>
      <c r="W46" s="135"/>
      <c r="X46" s="135"/>
      <c r="Y46" s="135"/>
      <c r="Z46" s="135"/>
      <c r="AA46" s="135"/>
      <c r="AB46" s="10"/>
      <c r="AC46" s="10"/>
      <c r="AD46" s="10"/>
      <c r="AE46" s="10"/>
      <c r="AF46" s="10"/>
      <c r="AG46" s="10"/>
      <c r="AH46" s="10"/>
      <c r="AI46" s="10"/>
      <c r="AJ46" s="10"/>
      <c r="AK46" s="10"/>
    </row>
    <row r="47" spans="1:37" ht="109.5" customHeight="1" thickBot="1">
      <c r="A47" s="751"/>
      <c r="B47" s="722">
        <f>F47</f>
        <v>1505882.3529411764</v>
      </c>
      <c r="C47" s="747">
        <f>0.2*'Intervencijų lėšos (2)'!J4</f>
        <v>1280000</v>
      </c>
      <c r="D47" s="744"/>
      <c r="E47" s="722">
        <f>C47/0.85*0.15</f>
        <v>225882.35294117648</v>
      </c>
      <c r="F47" s="747">
        <f>C47+E47</f>
        <v>1505882.3529411764</v>
      </c>
      <c r="G47" s="747">
        <f>F47</f>
        <v>1505882.3529411764</v>
      </c>
      <c r="H47" s="116" t="s">
        <v>140</v>
      </c>
      <c r="I47" s="133" t="s">
        <v>141</v>
      </c>
      <c r="J47" s="773" t="s">
        <v>125</v>
      </c>
      <c r="K47" s="771" t="s">
        <v>163</v>
      </c>
      <c r="L47" s="126" t="s">
        <v>142</v>
      </c>
      <c r="M47" s="133"/>
      <c r="N47" s="133"/>
      <c r="O47" s="68"/>
      <c r="P47" s="133"/>
      <c r="Q47" s="133" t="s">
        <v>157</v>
      </c>
      <c r="R47" s="432" t="s">
        <v>169</v>
      </c>
      <c r="S47" s="891"/>
      <c r="T47" s="176"/>
      <c r="U47" s="176"/>
      <c r="V47" s="176"/>
      <c r="W47" s="135"/>
      <c r="X47" s="135"/>
      <c r="Y47" s="135"/>
      <c r="Z47" s="135"/>
      <c r="AA47" s="135"/>
      <c r="AB47" s="10"/>
      <c r="AC47" s="10"/>
      <c r="AD47" s="10"/>
      <c r="AE47" s="10"/>
      <c r="AF47" s="10"/>
      <c r="AG47" s="10"/>
      <c r="AH47" s="10"/>
      <c r="AI47" s="10"/>
      <c r="AJ47" s="10"/>
      <c r="AK47" s="10"/>
    </row>
    <row r="48" spans="1:37" ht="109.5" customHeight="1" thickBot="1">
      <c r="A48" s="752"/>
      <c r="B48" s="746"/>
      <c r="C48" s="749"/>
      <c r="D48" s="745"/>
      <c r="E48" s="746"/>
      <c r="F48" s="749"/>
      <c r="G48" s="748"/>
      <c r="H48" s="138" t="s">
        <v>171</v>
      </c>
      <c r="I48" s="134" t="s">
        <v>172</v>
      </c>
      <c r="J48" s="774"/>
      <c r="K48" s="772"/>
      <c r="L48" s="134" t="s">
        <v>174</v>
      </c>
      <c r="M48" s="134"/>
      <c r="N48" s="134"/>
      <c r="O48" s="72"/>
      <c r="P48" s="134"/>
      <c r="Q48" s="134" t="s">
        <v>157</v>
      </c>
      <c r="R48" s="433" t="s">
        <v>169</v>
      </c>
      <c r="S48" s="891"/>
      <c r="T48" s="176"/>
      <c r="U48" s="176"/>
      <c r="V48" s="176"/>
      <c r="W48" s="135"/>
      <c r="X48" s="135"/>
      <c r="Y48" s="135"/>
      <c r="Z48" s="135"/>
      <c r="AA48" s="135"/>
      <c r="AB48" s="10"/>
      <c r="AC48" s="10"/>
      <c r="AD48" s="10"/>
      <c r="AE48" s="10"/>
      <c r="AF48" s="10"/>
      <c r="AG48" s="10"/>
      <c r="AH48" s="10"/>
      <c r="AI48" s="10"/>
      <c r="AJ48" s="10"/>
      <c r="AK48" s="10"/>
    </row>
    <row r="49" spans="1:18" ht="75">
      <c r="A49" s="797" t="s">
        <v>175</v>
      </c>
      <c r="B49" s="552"/>
      <c r="C49" s="775">
        <v>46197043</v>
      </c>
      <c r="D49" s="799" t="s">
        <v>176</v>
      </c>
      <c r="E49" s="775">
        <v>11549260.699999999</v>
      </c>
      <c r="F49" s="732">
        <f>E49+(E49*0.3/0.7)</f>
        <v>16498943.857142856</v>
      </c>
      <c r="G49" s="801"/>
      <c r="H49" s="184" t="s">
        <v>130</v>
      </c>
      <c r="I49" s="183" t="s">
        <v>131</v>
      </c>
      <c r="J49" s="759" t="s">
        <v>125</v>
      </c>
      <c r="K49" s="754" t="s">
        <v>17</v>
      </c>
      <c r="L49" s="185" t="s">
        <v>132</v>
      </c>
      <c r="M49" s="21" t="s">
        <v>133</v>
      </c>
      <c r="N49" s="18">
        <v>2021</v>
      </c>
      <c r="O49" s="33" t="s">
        <v>127</v>
      </c>
      <c r="P49" s="33" t="s">
        <v>128</v>
      </c>
      <c r="Q49" s="19" t="s">
        <v>129</v>
      </c>
      <c r="R49" s="71"/>
    </row>
    <row r="50" spans="1:18" ht="75">
      <c r="A50" s="797"/>
      <c r="B50" s="552"/>
      <c r="C50" s="776"/>
      <c r="D50" s="800"/>
      <c r="E50" s="776"/>
      <c r="F50" s="722"/>
      <c r="G50" s="802"/>
      <c r="H50" s="101" t="s">
        <v>123</v>
      </c>
      <c r="I50" s="28" t="s">
        <v>124</v>
      </c>
      <c r="J50" s="759"/>
      <c r="K50" s="754"/>
      <c r="L50" s="29" t="s">
        <v>126</v>
      </c>
      <c r="M50" s="13">
        <v>0</v>
      </c>
      <c r="N50" s="13">
        <v>2021</v>
      </c>
      <c r="O50" s="24" t="s">
        <v>127</v>
      </c>
      <c r="P50" s="24" t="s">
        <v>128</v>
      </c>
      <c r="Q50" s="68" t="s">
        <v>129</v>
      </c>
      <c r="R50" s="64"/>
    </row>
    <row r="51" spans="1:18" ht="74.650000000000006" customHeight="1">
      <c r="A51" s="797"/>
      <c r="B51" s="552"/>
      <c r="C51" s="776"/>
      <c r="D51" s="800"/>
      <c r="E51" s="776"/>
      <c r="F51" s="722"/>
      <c r="G51" s="802"/>
      <c r="H51" s="874" t="s">
        <v>134</v>
      </c>
      <c r="I51" s="848" t="s">
        <v>135</v>
      </c>
      <c r="J51" s="759"/>
      <c r="K51" s="754"/>
      <c r="L51" s="808" t="s">
        <v>126</v>
      </c>
      <c r="M51" s="744">
        <v>0</v>
      </c>
      <c r="N51" s="811" t="s">
        <v>127</v>
      </c>
      <c r="O51" s="811" t="s">
        <v>128</v>
      </c>
      <c r="P51" s="744" t="s">
        <v>128</v>
      </c>
      <c r="Q51" s="722" t="s">
        <v>129</v>
      </c>
      <c r="R51" s="894"/>
    </row>
    <row r="52" spans="1:18" ht="15.75" thickBot="1">
      <c r="A52" s="797"/>
      <c r="B52" s="552"/>
      <c r="C52" s="776"/>
      <c r="D52" s="800"/>
      <c r="E52" s="776"/>
      <c r="F52" s="722"/>
      <c r="G52" s="802"/>
      <c r="H52" s="875"/>
      <c r="I52" s="810"/>
      <c r="J52" s="760"/>
      <c r="K52" s="755"/>
      <c r="L52" s="809"/>
      <c r="M52" s="810"/>
      <c r="N52" s="812"/>
      <c r="O52" s="812"/>
      <c r="P52" s="810"/>
      <c r="Q52" s="810"/>
      <c r="R52" s="895"/>
    </row>
    <row r="53" spans="1:18" ht="75">
      <c r="A53" s="797"/>
      <c r="B53" s="552"/>
      <c r="C53" s="777"/>
      <c r="D53" s="800" t="s">
        <v>177</v>
      </c>
      <c r="E53" s="776">
        <v>9239408.5999999996</v>
      </c>
      <c r="F53" s="722">
        <f>E53+(E53*0.3/0.7)</f>
        <v>13199155.142857142</v>
      </c>
      <c r="G53" s="802"/>
      <c r="H53" s="100" t="s">
        <v>123</v>
      </c>
      <c r="I53" s="26" t="s">
        <v>124</v>
      </c>
      <c r="J53" s="758" t="s">
        <v>125</v>
      </c>
      <c r="K53" s="753" t="s">
        <v>17</v>
      </c>
      <c r="L53" s="27" t="s">
        <v>126</v>
      </c>
      <c r="M53" s="66">
        <v>0</v>
      </c>
      <c r="N53" s="66">
        <v>2021</v>
      </c>
      <c r="O53" s="85" t="s">
        <v>127</v>
      </c>
      <c r="P53" s="85" t="s">
        <v>128</v>
      </c>
      <c r="Q53" s="67" t="s">
        <v>129</v>
      </c>
      <c r="R53" s="63"/>
    </row>
    <row r="54" spans="1:18" ht="75">
      <c r="A54" s="797"/>
      <c r="B54" s="552"/>
      <c r="C54" s="777"/>
      <c r="D54" s="800"/>
      <c r="E54" s="776"/>
      <c r="F54" s="722"/>
      <c r="G54" s="802"/>
      <c r="H54" s="101" t="s">
        <v>130</v>
      </c>
      <c r="I54" s="28" t="s">
        <v>131</v>
      </c>
      <c r="J54" s="759"/>
      <c r="K54" s="754"/>
      <c r="L54" s="84" t="s">
        <v>132</v>
      </c>
      <c r="M54" s="23" t="s">
        <v>133</v>
      </c>
      <c r="N54" s="13">
        <v>2021</v>
      </c>
      <c r="O54" s="24" t="s">
        <v>127</v>
      </c>
      <c r="P54" s="24" t="s">
        <v>128</v>
      </c>
      <c r="Q54" s="68" t="s">
        <v>129</v>
      </c>
      <c r="R54" s="64"/>
    </row>
    <row r="55" spans="1:18" ht="52.15" customHeight="1" thickBot="1">
      <c r="A55" s="797"/>
      <c r="B55" s="552"/>
      <c r="C55" s="777"/>
      <c r="D55" s="800"/>
      <c r="E55" s="776"/>
      <c r="F55" s="722"/>
      <c r="G55" s="802"/>
      <c r="H55" s="102" t="s">
        <v>134</v>
      </c>
      <c r="I55" s="38" t="s">
        <v>135</v>
      </c>
      <c r="J55" s="759"/>
      <c r="K55" s="754"/>
      <c r="L55" s="36" t="s">
        <v>126</v>
      </c>
      <c r="M55" s="13">
        <v>0</v>
      </c>
      <c r="N55" s="13">
        <v>2021</v>
      </c>
      <c r="O55" s="24" t="s">
        <v>128</v>
      </c>
      <c r="P55" s="22" t="s">
        <v>128</v>
      </c>
      <c r="Q55" s="68" t="s">
        <v>129</v>
      </c>
      <c r="R55" s="64"/>
    </row>
    <row r="56" spans="1:18" ht="45.75" thickBot="1">
      <c r="A56" s="797"/>
      <c r="B56" s="552"/>
      <c r="C56" s="777"/>
      <c r="D56" s="800"/>
      <c r="E56" s="776"/>
      <c r="F56" s="722"/>
      <c r="G56" s="802"/>
      <c r="H56" s="103" t="s">
        <v>140</v>
      </c>
      <c r="I56" s="39" t="s">
        <v>141</v>
      </c>
      <c r="J56" s="760"/>
      <c r="K56" s="755"/>
      <c r="L56" s="39" t="s">
        <v>142</v>
      </c>
      <c r="M56" s="111" t="s">
        <v>128</v>
      </c>
      <c r="N56" s="15">
        <v>2021</v>
      </c>
      <c r="O56" s="16" t="s">
        <v>127</v>
      </c>
      <c r="P56" s="16" t="s">
        <v>128</v>
      </c>
      <c r="Q56" s="65" t="s">
        <v>129</v>
      </c>
      <c r="R56" s="73"/>
    </row>
    <row r="57" spans="1:18" ht="75">
      <c r="A57" s="797"/>
      <c r="B57" s="552"/>
      <c r="C57" s="778"/>
      <c r="D57" s="800" t="s">
        <v>178</v>
      </c>
      <c r="E57" s="776">
        <v>11549260.699999999</v>
      </c>
      <c r="F57" s="722">
        <f>E57+(E57*0.3/0.7)</f>
        <v>16498943.857142856</v>
      </c>
      <c r="G57" s="805"/>
      <c r="H57" s="90" t="s">
        <v>130</v>
      </c>
      <c r="I57" s="91" t="s">
        <v>131</v>
      </c>
      <c r="J57" s="758" t="s">
        <v>125</v>
      </c>
      <c r="K57" s="753" t="s">
        <v>17</v>
      </c>
      <c r="L57" s="40" t="s">
        <v>132</v>
      </c>
      <c r="M57" s="82" t="s">
        <v>133</v>
      </c>
      <c r="N57" s="66">
        <v>2021</v>
      </c>
      <c r="O57" s="85" t="s">
        <v>127</v>
      </c>
      <c r="P57" s="85" t="s">
        <v>128</v>
      </c>
      <c r="Q57" s="67" t="s">
        <v>129</v>
      </c>
      <c r="R57" s="63"/>
    </row>
    <row r="58" spans="1:18" ht="75">
      <c r="A58" s="797"/>
      <c r="B58" s="552"/>
      <c r="C58" s="779"/>
      <c r="D58" s="800"/>
      <c r="E58" s="776"/>
      <c r="F58" s="722"/>
      <c r="G58" s="806"/>
      <c r="H58" s="88" t="s">
        <v>123</v>
      </c>
      <c r="I58" s="38" t="s">
        <v>124</v>
      </c>
      <c r="J58" s="759"/>
      <c r="K58" s="754"/>
      <c r="L58" s="36" t="s">
        <v>126</v>
      </c>
      <c r="M58" s="13">
        <v>0</v>
      </c>
      <c r="N58" s="13">
        <v>2021</v>
      </c>
      <c r="O58" s="24" t="s">
        <v>127</v>
      </c>
      <c r="P58" s="24" t="s">
        <v>128</v>
      </c>
      <c r="Q58" s="68" t="s">
        <v>129</v>
      </c>
      <c r="R58" s="64"/>
    </row>
    <row r="59" spans="1:18" ht="105.75" thickBot="1">
      <c r="A59" s="797"/>
      <c r="B59" s="552"/>
      <c r="C59" s="779"/>
      <c r="D59" s="800"/>
      <c r="E59" s="776"/>
      <c r="F59" s="722"/>
      <c r="G59" s="806"/>
      <c r="H59" s="88" t="s">
        <v>134</v>
      </c>
      <c r="I59" s="38" t="s">
        <v>135</v>
      </c>
      <c r="J59" s="759"/>
      <c r="K59" s="754"/>
      <c r="L59" s="36" t="s">
        <v>126</v>
      </c>
      <c r="M59" s="37">
        <v>0</v>
      </c>
      <c r="N59" s="13">
        <v>2021</v>
      </c>
      <c r="O59" s="24" t="s">
        <v>128</v>
      </c>
      <c r="P59" s="22" t="s">
        <v>128</v>
      </c>
      <c r="Q59" s="68" t="s">
        <v>129</v>
      </c>
      <c r="R59" s="64"/>
    </row>
    <row r="60" spans="1:18" ht="45.75" thickBot="1">
      <c r="A60" s="797"/>
      <c r="B60" s="552"/>
      <c r="C60" s="779"/>
      <c r="D60" s="803"/>
      <c r="E60" s="804"/>
      <c r="F60" s="737"/>
      <c r="G60" s="807"/>
      <c r="H60" s="89" t="s">
        <v>140</v>
      </c>
      <c r="I60" s="39" t="s">
        <v>141</v>
      </c>
      <c r="J60" s="760"/>
      <c r="K60" s="755"/>
      <c r="L60" s="39" t="s">
        <v>142</v>
      </c>
      <c r="M60" s="111" t="s">
        <v>128</v>
      </c>
      <c r="N60" s="15">
        <v>2021</v>
      </c>
      <c r="O60" s="16" t="s">
        <v>127</v>
      </c>
      <c r="P60" s="16" t="s">
        <v>128</v>
      </c>
      <c r="Q60" s="65" t="s">
        <v>129</v>
      </c>
      <c r="R60" s="73"/>
    </row>
    <row r="61" spans="1:18" ht="83.25" customHeight="1">
      <c r="A61" s="797"/>
      <c r="B61" s="552"/>
      <c r="C61" s="778"/>
      <c r="D61" s="781" t="s">
        <v>145</v>
      </c>
      <c r="E61" s="782">
        <v>13859112.9</v>
      </c>
      <c r="F61" s="722">
        <f>E61+(E61*0.3/0.7)</f>
        <v>19798732.714285716</v>
      </c>
      <c r="G61" s="783"/>
      <c r="H61" s="104" t="s">
        <v>130</v>
      </c>
      <c r="I61" s="91" t="s">
        <v>131</v>
      </c>
      <c r="J61" s="758" t="s">
        <v>125</v>
      </c>
      <c r="K61" s="753" t="s">
        <v>17</v>
      </c>
      <c r="L61" s="40" t="s">
        <v>132</v>
      </c>
      <c r="M61" s="82" t="s">
        <v>133</v>
      </c>
      <c r="N61" s="66">
        <v>2021</v>
      </c>
      <c r="O61" s="85" t="s">
        <v>127</v>
      </c>
      <c r="P61" s="85" t="s">
        <v>128</v>
      </c>
      <c r="Q61" s="67" t="s">
        <v>129</v>
      </c>
      <c r="R61" s="63"/>
    </row>
    <row r="62" spans="1:18" ht="71.650000000000006" customHeight="1">
      <c r="A62" s="797"/>
      <c r="B62" s="552"/>
      <c r="C62" s="779"/>
      <c r="D62" s="781"/>
      <c r="E62" s="782"/>
      <c r="F62" s="722"/>
      <c r="G62" s="783"/>
      <c r="H62" s="102" t="s">
        <v>123</v>
      </c>
      <c r="I62" s="38" t="s">
        <v>124</v>
      </c>
      <c r="J62" s="759"/>
      <c r="K62" s="754"/>
      <c r="L62" s="36" t="s">
        <v>126</v>
      </c>
      <c r="M62" s="13">
        <v>0</v>
      </c>
      <c r="N62" s="13">
        <v>2021</v>
      </c>
      <c r="O62" s="24" t="s">
        <v>127</v>
      </c>
      <c r="P62" s="24" t="s">
        <v>128</v>
      </c>
      <c r="Q62" s="68" t="s">
        <v>129</v>
      </c>
      <c r="R62" s="92"/>
    </row>
    <row r="63" spans="1:18" ht="71.650000000000006" customHeight="1" thickBot="1">
      <c r="A63" s="797"/>
      <c r="B63" s="552"/>
      <c r="C63" s="779"/>
      <c r="D63" s="744"/>
      <c r="E63" s="744"/>
      <c r="F63" s="744"/>
      <c r="G63" s="744"/>
      <c r="H63" s="102" t="s">
        <v>134</v>
      </c>
      <c r="I63" s="38" t="s">
        <v>135</v>
      </c>
      <c r="J63" s="759"/>
      <c r="K63" s="754"/>
      <c r="L63" s="36" t="s">
        <v>126</v>
      </c>
      <c r="M63" s="37">
        <v>0</v>
      </c>
      <c r="N63" s="13">
        <v>2021</v>
      </c>
      <c r="O63" s="24" t="s">
        <v>128</v>
      </c>
      <c r="P63" s="22" t="s">
        <v>128</v>
      </c>
      <c r="Q63" s="68" t="s">
        <v>129</v>
      </c>
      <c r="R63" s="42"/>
    </row>
    <row r="64" spans="1:18" ht="71.650000000000006" customHeight="1" thickBot="1">
      <c r="A64" s="798"/>
      <c r="B64" s="560"/>
      <c r="C64" s="792"/>
      <c r="D64" s="744"/>
      <c r="E64" s="744"/>
      <c r="F64" s="744"/>
      <c r="G64" s="744"/>
      <c r="H64" s="103" t="s">
        <v>140</v>
      </c>
      <c r="I64" s="39" t="s">
        <v>141</v>
      </c>
      <c r="J64" s="760"/>
      <c r="K64" s="755"/>
      <c r="L64" s="39" t="s">
        <v>142</v>
      </c>
      <c r="M64" s="111" t="s">
        <v>128</v>
      </c>
      <c r="N64" s="41">
        <v>2021</v>
      </c>
      <c r="O64" s="16" t="s">
        <v>127</v>
      </c>
      <c r="P64" s="16" t="s">
        <v>128</v>
      </c>
      <c r="Q64" s="65" t="s">
        <v>129</v>
      </c>
      <c r="R64" s="93"/>
    </row>
    <row r="65" spans="1:18" ht="60" customHeight="1">
      <c r="A65" s="784" t="s">
        <v>179</v>
      </c>
      <c r="B65" s="130"/>
      <c r="C65" s="786">
        <v>51971673.399999999</v>
      </c>
      <c r="D65" s="788" t="s">
        <v>180</v>
      </c>
      <c r="E65" s="786">
        <v>51971673.399999999</v>
      </c>
      <c r="F65" s="739">
        <f>E65+(E65*0.3/0.7)</f>
        <v>74245247.714285716</v>
      </c>
      <c r="G65" s="790"/>
      <c r="H65" s="94" t="s">
        <v>181</v>
      </c>
      <c r="I65" s="95" t="s">
        <v>182</v>
      </c>
      <c r="J65" s="892" t="s">
        <v>183</v>
      </c>
      <c r="K65" s="756" t="s">
        <v>11</v>
      </c>
      <c r="L65" s="96" t="s">
        <v>184</v>
      </c>
      <c r="M65" s="97">
        <v>0</v>
      </c>
      <c r="N65" s="97">
        <v>2021</v>
      </c>
      <c r="O65" s="97"/>
      <c r="P65" s="97"/>
      <c r="Q65" s="67" t="s">
        <v>129</v>
      </c>
      <c r="R65" s="98"/>
    </row>
    <row r="66" spans="1:18" ht="79.5" customHeight="1" thickBot="1">
      <c r="A66" s="785"/>
      <c r="B66" s="136"/>
      <c r="C66" s="787"/>
      <c r="D66" s="789"/>
      <c r="E66" s="787"/>
      <c r="F66" s="740"/>
      <c r="G66" s="791"/>
      <c r="H66" s="99" t="s">
        <v>181</v>
      </c>
      <c r="I66" s="46" t="s">
        <v>185</v>
      </c>
      <c r="J66" s="893"/>
      <c r="K66" s="757"/>
      <c r="L66" s="47" t="s">
        <v>186</v>
      </c>
      <c r="M66" s="45">
        <v>0</v>
      </c>
      <c r="N66" s="45">
        <v>2021</v>
      </c>
      <c r="O66" s="45"/>
      <c r="P66" s="45"/>
      <c r="Q66" s="72" t="s">
        <v>129</v>
      </c>
      <c r="R66" s="48"/>
    </row>
    <row r="67" spans="1:18">
      <c r="C67" s="160">
        <f>C41+C45</f>
        <v>134531822</v>
      </c>
      <c r="D67" s="75"/>
      <c r="E67" s="76"/>
      <c r="F67" s="61"/>
      <c r="G67" s="61"/>
      <c r="H67" s="49"/>
      <c r="I67" s="50"/>
      <c r="J67" s="50"/>
      <c r="K67" s="49"/>
      <c r="L67" s="77"/>
    </row>
    <row r="68" spans="1:18">
      <c r="C68" s="160">
        <f>C41+C45</f>
        <v>134531822</v>
      </c>
      <c r="D68" s="75"/>
      <c r="E68" s="76"/>
      <c r="F68" s="61"/>
      <c r="G68" s="61"/>
      <c r="H68" s="49"/>
      <c r="I68" s="50"/>
      <c r="J68" s="50"/>
      <c r="K68" s="49"/>
    </row>
    <row r="69" spans="1:18">
      <c r="C69" s="160"/>
      <c r="D69" s="75"/>
      <c r="E69" s="76"/>
      <c r="F69" s="61"/>
      <c r="G69" s="61"/>
      <c r="H69" s="49"/>
      <c r="I69" s="50"/>
      <c r="J69" s="50"/>
      <c r="K69" s="49"/>
    </row>
    <row r="70" spans="1:18">
      <c r="A70" s="780"/>
      <c r="C70" s="74"/>
      <c r="D70" s="75"/>
      <c r="E70" s="76"/>
      <c r="F70" s="61"/>
      <c r="G70" s="61"/>
      <c r="H70" s="49"/>
      <c r="I70" s="50"/>
      <c r="J70" s="50"/>
      <c r="K70" s="49"/>
    </row>
    <row r="71" spans="1:18">
      <c r="A71" s="780"/>
      <c r="C71" s="74"/>
      <c r="D71" s="75"/>
      <c r="E71" s="76"/>
      <c r="F71" s="61"/>
      <c r="G71" s="61"/>
      <c r="H71" s="49"/>
      <c r="I71" s="50"/>
      <c r="J71" s="50"/>
      <c r="K71" s="49"/>
    </row>
    <row r="72" spans="1:18">
      <c r="A72" s="780"/>
      <c r="C72" s="74"/>
      <c r="D72" s="75"/>
      <c r="E72" s="76"/>
      <c r="F72" s="61"/>
      <c r="G72" s="61"/>
      <c r="H72" s="49"/>
      <c r="I72" s="50"/>
      <c r="J72" s="50"/>
      <c r="K72" s="49"/>
    </row>
    <row r="73" spans="1:18">
      <c r="A73" s="78"/>
      <c r="C73" s="74"/>
      <c r="D73" s="75"/>
      <c r="E73" s="76"/>
      <c r="F73" s="61"/>
      <c r="G73" s="61"/>
      <c r="H73" s="49"/>
      <c r="I73" s="50"/>
      <c r="J73" s="50"/>
      <c r="K73" s="49"/>
    </row>
    <row r="74" spans="1:18">
      <c r="A74" s="78"/>
      <c r="C74" s="74"/>
      <c r="D74" s="75"/>
      <c r="E74" s="76"/>
      <c r="F74" s="61"/>
      <c r="G74" s="61"/>
      <c r="H74" s="49"/>
      <c r="I74" s="50"/>
      <c r="J74" s="50"/>
      <c r="K74" s="49"/>
    </row>
    <row r="75" spans="1:18">
      <c r="C75" s="74"/>
      <c r="D75" s="75"/>
      <c r="E75" s="76"/>
      <c r="F75" s="61"/>
      <c r="G75" s="61"/>
      <c r="H75" s="49"/>
      <c r="I75" s="50"/>
      <c r="J75" s="50"/>
      <c r="K75" s="49"/>
    </row>
    <row r="76" spans="1:18">
      <c r="C76" s="74"/>
      <c r="D76" s="75"/>
      <c r="E76" s="76"/>
      <c r="F76" s="61"/>
      <c r="G76" s="61"/>
      <c r="H76" s="49"/>
      <c r="I76" s="50"/>
      <c r="J76" s="50"/>
      <c r="K76" s="49"/>
    </row>
    <row r="77" spans="1:18">
      <c r="A77" s="79"/>
      <c r="B77" s="80"/>
      <c r="C77" s="74"/>
      <c r="D77" s="75"/>
      <c r="E77" s="76"/>
      <c r="F77" s="61"/>
      <c r="G77" s="61"/>
      <c r="H77" s="49"/>
      <c r="I77" s="50"/>
      <c r="J77" s="50"/>
      <c r="K77" s="49"/>
    </row>
    <row r="78" spans="1:18" ht="45">
      <c r="A78" s="14" t="s">
        <v>187</v>
      </c>
      <c r="B78" s="25" t="s">
        <v>188</v>
      </c>
      <c r="C78" s="14" t="s">
        <v>189</v>
      </c>
      <c r="D78" s="14" t="s">
        <v>190</v>
      </c>
      <c r="E78" s="14" t="s">
        <v>3</v>
      </c>
      <c r="F78" s="14" t="s">
        <v>2</v>
      </c>
      <c r="G78" s="14" t="s">
        <v>191</v>
      </c>
      <c r="H78" s="14" t="s">
        <v>192</v>
      </c>
      <c r="I78" s="14" t="s">
        <v>193</v>
      </c>
      <c r="J78" s="50"/>
      <c r="K78" s="49"/>
    </row>
    <row r="79" spans="1:18" ht="60">
      <c r="A79" s="14" t="s">
        <v>166</v>
      </c>
      <c r="B79" s="25" t="s">
        <v>194</v>
      </c>
      <c r="C79" s="14" t="s">
        <v>195</v>
      </c>
      <c r="D79" s="51">
        <v>0</v>
      </c>
      <c r="E79" s="52" t="s">
        <v>196</v>
      </c>
      <c r="F79" s="14" t="s">
        <v>17</v>
      </c>
      <c r="G79" s="52">
        <v>2021</v>
      </c>
      <c r="H79" s="14"/>
      <c r="I79" s="14"/>
      <c r="J79" s="50"/>
      <c r="K79" s="49"/>
    </row>
    <row r="80" spans="1:18" ht="60">
      <c r="A80" s="13" t="s">
        <v>197</v>
      </c>
      <c r="B80" s="561" t="s">
        <v>198</v>
      </c>
      <c r="C80" s="562" t="s">
        <v>126</v>
      </c>
      <c r="D80" s="51">
        <v>0</v>
      </c>
      <c r="E80" s="52" t="s">
        <v>196</v>
      </c>
      <c r="F80" s="53" t="s">
        <v>17</v>
      </c>
      <c r="G80" s="52">
        <v>2021</v>
      </c>
      <c r="H80" s="53"/>
      <c r="I80" s="53"/>
    </row>
    <row r="81" spans="1:15" ht="75">
      <c r="A81" s="13" t="s">
        <v>199</v>
      </c>
      <c r="B81" s="561" t="s">
        <v>200</v>
      </c>
      <c r="C81" s="562" t="s">
        <v>201</v>
      </c>
      <c r="D81" s="52">
        <v>0</v>
      </c>
      <c r="E81" s="52" t="s">
        <v>196</v>
      </c>
      <c r="F81" s="52" t="s">
        <v>17</v>
      </c>
      <c r="G81" s="53">
        <v>2021</v>
      </c>
      <c r="H81" s="53"/>
      <c r="I81" s="53"/>
      <c r="J81" s="81"/>
    </row>
    <row r="82" spans="1:15" ht="30">
      <c r="A82" s="13" t="s">
        <v>202</v>
      </c>
      <c r="B82" s="561" t="s">
        <v>203</v>
      </c>
      <c r="C82" s="562" t="s">
        <v>126</v>
      </c>
      <c r="D82" s="52">
        <v>0</v>
      </c>
      <c r="E82" s="52" t="s">
        <v>196</v>
      </c>
      <c r="F82" s="52" t="s">
        <v>17</v>
      </c>
      <c r="G82" s="53">
        <v>2021</v>
      </c>
      <c r="H82" s="53"/>
      <c r="I82" s="53"/>
      <c r="J82" s="81"/>
      <c r="K82" s="81"/>
    </row>
    <row r="83" spans="1:15" ht="45">
      <c r="A83" s="15" t="s">
        <v>204</v>
      </c>
      <c r="B83" s="563" t="s">
        <v>205</v>
      </c>
      <c r="C83" s="564" t="s">
        <v>205</v>
      </c>
      <c r="D83" s="54">
        <v>0</v>
      </c>
      <c r="E83" s="54" t="s">
        <v>196</v>
      </c>
      <c r="F83" s="54" t="s">
        <v>17</v>
      </c>
      <c r="G83" s="55">
        <v>2021</v>
      </c>
      <c r="H83" s="23" t="s">
        <v>133</v>
      </c>
      <c r="I83" s="55"/>
      <c r="J83" s="81"/>
      <c r="N83"/>
      <c r="O83"/>
    </row>
    <row r="84" spans="1:15" ht="45">
      <c r="A84" s="43" t="s">
        <v>181</v>
      </c>
      <c r="B84" s="56" t="s">
        <v>182</v>
      </c>
      <c r="C84" s="57" t="s">
        <v>184</v>
      </c>
      <c r="D84" s="58">
        <v>0</v>
      </c>
      <c r="E84" s="44" t="s">
        <v>206</v>
      </c>
      <c r="F84" s="59" t="s">
        <v>11</v>
      </c>
      <c r="G84" s="8">
        <v>2021</v>
      </c>
      <c r="H84" s="43"/>
      <c r="I84" s="43"/>
      <c r="J84" s="81"/>
      <c r="N84"/>
      <c r="O84"/>
    </row>
    <row r="85" spans="1:15" ht="45">
      <c r="A85" s="43" t="s">
        <v>181</v>
      </c>
      <c r="B85" s="56" t="s">
        <v>185</v>
      </c>
      <c r="C85" s="57" t="s">
        <v>186</v>
      </c>
      <c r="D85" s="8">
        <v>0</v>
      </c>
      <c r="E85" s="8" t="s">
        <v>206</v>
      </c>
      <c r="F85" s="43" t="s">
        <v>11</v>
      </c>
      <c r="G85" s="43">
        <v>2021</v>
      </c>
      <c r="H85" s="44"/>
      <c r="I85" s="60"/>
      <c r="J85" s="81"/>
      <c r="N85"/>
      <c r="O85"/>
    </row>
    <row r="86" spans="1:15" ht="60">
      <c r="A86" s="13" t="s">
        <v>140</v>
      </c>
      <c r="B86" s="563" t="s">
        <v>194</v>
      </c>
      <c r="C86" s="564" t="s">
        <v>195</v>
      </c>
      <c r="D86" s="237">
        <f>M42+M45</f>
        <v>5.9305499999999997E-3</v>
      </c>
      <c r="E86" s="186" t="s">
        <v>206</v>
      </c>
      <c r="F86" s="171" t="s">
        <v>154</v>
      </c>
      <c r="G86" s="128">
        <v>2021</v>
      </c>
      <c r="H86" s="171" t="s">
        <v>127</v>
      </c>
      <c r="I86" s="190">
        <f>P42+P45</f>
        <v>0.12559204999999998</v>
      </c>
      <c r="J86" s="744" t="s">
        <v>207</v>
      </c>
      <c r="N86"/>
      <c r="O86"/>
    </row>
    <row r="87" spans="1:15" ht="60">
      <c r="A87" s="13" t="s">
        <v>140</v>
      </c>
      <c r="B87" s="561" t="s">
        <v>194</v>
      </c>
      <c r="C87" s="565" t="s">
        <v>195</v>
      </c>
      <c r="D87" s="237">
        <f>M44+M47</f>
        <v>2.7944999999999999E-4</v>
      </c>
      <c r="E87" s="186" t="s">
        <v>196</v>
      </c>
      <c r="F87" s="171" t="s">
        <v>17</v>
      </c>
      <c r="G87" s="128">
        <v>2021</v>
      </c>
      <c r="H87" s="171" t="s">
        <v>127</v>
      </c>
      <c r="I87" s="190">
        <f>P44+P47</f>
        <v>5.9179499999999991E-3</v>
      </c>
      <c r="J87" s="744"/>
      <c r="N87"/>
      <c r="O87"/>
    </row>
    <row r="88" spans="1:15" ht="60">
      <c r="A88" s="13" t="s">
        <v>162</v>
      </c>
      <c r="B88" s="133" t="s">
        <v>152</v>
      </c>
      <c r="C88" s="133" t="s">
        <v>155</v>
      </c>
      <c r="D88" s="68" t="s">
        <v>127</v>
      </c>
      <c r="E88" s="171" t="s">
        <v>196</v>
      </c>
      <c r="F88" s="171" t="s">
        <v>154</v>
      </c>
      <c r="G88" s="128">
        <v>2021</v>
      </c>
      <c r="H88" s="181">
        <f>O41</f>
        <v>158.2727317647059</v>
      </c>
      <c r="I88" s="181">
        <f>P41</f>
        <v>1582.727317647059</v>
      </c>
      <c r="J88" s="744"/>
      <c r="N88"/>
      <c r="O88"/>
    </row>
    <row r="89" spans="1:15" ht="60">
      <c r="A89" s="13" t="s">
        <v>162</v>
      </c>
      <c r="B89" s="145" t="s">
        <v>152</v>
      </c>
      <c r="C89" s="145" t="s">
        <v>155</v>
      </c>
      <c r="D89" s="68" t="s">
        <v>127</v>
      </c>
      <c r="E89" s="171" t="s">
        <v>196</v>
      </c>
      <c r="F89" s="171" t="s">
        <v>17</v>
      </c>
      <c r="G89" s="128">
        <v>2021</v>
      </c>
      <c r="H89" s="181">
        <f>O43</f>
        <v>7.5294117647058831</v>
      </c>
      <c r="I89" s="181">
        <f>P43</f>
        <v>75.294117647058826</v>
      </c>
      <c r="J89" s="744"/>
      <c r="N89"/>
      <c r="O89"/>
    </row>
    <row r="90" spans="1:15" ht="90">
      <c r="A90" s="13" t="s">
        <v>171</v>
      </c>
      <c r="B90" s="173" t="s">
        <v>172</v>
      </c>
      <c r="C90" s="174" t="s">
        <v>208</v>
      </c>
      <c r="D90" s="68" t="s">
        <v>127</v>
      </c>
      <c r="E90" s="171" t="s">
        <v>196</v>
      </c>
      <c r="F90" s="171" t="s">
        <v>17</v>
      </c>
      <c r="G90" s="128">
        <v>2021</v>
      </c>
      <c r="H90" s="68" t="str">
        <f>O45</f>
        <v>n/a</v>
      </c>
      <c r="I90" s="181">
        <f>P46</f>
        <v>0</v>
      </c>
      <c r="J90" s="744"/>
      <c r="N90"/>
      <c r="O90"/>
    </row>
    <row r="91" spans="1:15" ht="90">
      <c r="A91" s="13" t="s">
        <v>171</v>
      </c>
      <c r="B91" s="173" t="s">
        <v>172</v>
      </c>
      <c r="C91" s="174" t="s">
        <v>208</v>
      </c>
      <c r="D91" s="68" t="s">
        <v>127</v>
      </c>
      <c r="E91" s="171" t="s">
        <v>196</v>
      </c>
      <c r="F91" s="171" t="s">
        <v>17</v>
      </c>
      <c r="G91" s="128">
        <v>2021</v>
      </c>
      <c r="H91" s="68">
        <f>O46</f>
        <v>0</v>
      </c>
      <c r="I91" s="181">
        <f>P48</f>
        <v>0</v>
      </c>
      <c r="J91" s="744"/>
      <c r="N91"/>
      <c r="O91"/>
    </row>
    <row r="92" spans="1:15">
      <c r="B92" s="179"/>
      <c r="C92" s="178"/>
      <c r="D92" s="187"/>
      <c r="E92" s="188"/>
      <c r="F92" s="188"/>
      <c r="G92" s="4"/>
      <c r="H92" s="189"/>
      <c r="I92" s="189"/>
      <c r="N92"/>
      <c r="O92"/>
    </row>
    <row r="93" spans="1:15">
      <c r="B93" s="179"/>
      <c r="C93" s="178"/>
      <c r="D93" s="187"/>
      <c r="E93" s="188"/>
      <c r="F93" s="188"/>
      <c r="G93" s="4"/>
      <c r="H93" s="189"/>
      <c r="I93" s="189"/>
      <c r="N93"/>
      <c r="O93"/>
    </row>
    <row r="94" spans="1:15">
      <c r="B94" s="179"/>
      <c r="C94" s="177"/>
      <c r="D94" s="11"/>
      <c r="E94" s="180"/>
      <c r="F94" s="13"/>
      <c r="G94" s="3"/>
      <c r="H94" s="12"/>
      <c r="I94" s="12"/>
      <c r="N94"/>
      <c r="O94"/>
    </row>
    <row r="95" spans="1:15">
      <c r="B95" s="179"/>
      <c r="C95" s="177"/>
      <c r="D95" s="11"/>
      <c r="E95" s="180"/>
      <c r="F95" s="13"/>
      <c r="G95" s="3"/>
      <c r="H95" s="12"/>
      <c r="I95" s="12"/>
      <c r="N95"/>
      <c r="O95"/>
    </row>
    <row r="96" spans="1:15">
      <c r="B96" s="179"/>
      <c r="C96" s="177"/>
      <c r="D96" s="11"/>
      <c r="E96" s="180"/>
      <c r="F96" s="13"/>
      <c r="G96" s="3"/>
      <c r="H96" s="12"/>
      <c r="I96" s="12"/>
      <c r="N96"/>
      <c r="O96"/>
    </row>
    <row r="97" spans="2:15">
      <c r="B97" s="179"/>
      <c r="C97" s="105"/>
      <c r="D97" s="11"/>
      <c r="E97" s="180"/>
      <c r="F97" s="13"/>
      <c r="G97" s="3"/>
      <c r="H97" s="12"/>
      <c r="I97" s="12"/>
      <c r="N97"/>
      <c r="O97"/>
    </row>
    <row r="98" spans="2:15">
      <c r="B98" s="179"/>
      <c r="C98" s="3"/>
      <c r="D98" s="3"/>
      <c r="E98" s="3"/>
      <c r="F98" s="3"/>
      <c r="G98" s="3"/>
      <c r="H98" s="3"/>
      <c r="I98" s="3"/>
      <c r="N98"/>
      <c r="O98"/>
    </row>
    <row r="99" spans="2:15">
      <c r="B99" s="179"/>
      <c r="C99" s="3"/>
      <c r="D99" s="3"/>
      <c r="E99" s="3"/>
      <c r="F99" s="3"/>
      <c r="G99" s="3"/>
      <c r="H99" s="3"/>
      <c r="I99" s="3"/>
      <c r="N99"/>
      <c r="O99"/>
    </row>
    <row r="100" spans="2:15">
      <c r="C100" s="79"/>
      <c r="D100" s="79"/>
      <c r="E100" s="79"/>
      <c r="F100" s="79"/>
      <c r="G100" s="79"/>
      <c r="H100" s="79"/>
      <c r="I100" s="79"/>
      <c r="N100"/>
      <c r="O100"/>
    </row>
    <row r="101" spans="2:15">
      <c r="N101"/>
      <c r="O101"/>
    </row>
    <row r="102" spans="2:15">
      <c r="N102"/>
      <c r="O102"/>
    </row>
    <row r="103" spans="2:15">
      <c r="C103" s="81"/>
      <c r="N103"/>
      <c r="O103"/>
    </row>
    <row r="104" spans="2:15">
      <c r="N104"/>
      <c r="O104"/>
    </row>
    <row r="105" spans="2:15">
      <c r="C105" s="81"/>
      <c r="N105"/>
      <c r="O105"/>
    </row>
    <row r="106" spans="2:15">
      <c r="N106"/>
      <c r="O106"/>
    </row>
    <row r="107" spans="2:15">
      <c r="N107"/>
      <c r="O107"/>
    </row>
    <row r="108" spans="2:15">
      <c r="N108"/>
      <c r="O108"/>
    </row>
    <row r="109" spans="2:15">
      <c r="N109"/>
      <c r="O109"/>
    </row>
    <row r="110" spans="2:15">
      <c r="N110"/>
      <c r="O110"/>
    </row>
    <row r="111" spans="2:15">
      <c r="N111"/>
      <c r="O111"/>
    </row>
  </sheetData>
  <mergeCells count="186">
    <mergeCell ref="S45:S48"/>
    <mergeCell ref="I27:I29"/>
    <mergeCell ref="G23:G26"/>
    <mergeCell ref="H23:H25"/>
    <mergeCell ref="I23:I25"/>
    <mergeCell ref="J65:J66"/>
    <mergeCell ref="J86:J91"/>
    <mergeCell ref="J13:J17"/>
    <mergeCell ref="J18:J22"/>
    <mergeCell ref="J23:J26"/>
    <mergeCell ref="J27:J30"/>
    <mergeCell ref="J31:J34"/>
    <mergeCell ref="J35:J40"/>
    <mergeCell ref="J49:J52"/>
    <mergeCell ref="J53:J56"/>
    <mergeCell ref="J57:J60"/>
    <mergeCell ref="R51:R52"/>
    <mergeCell ref="G13:G17"/>
    <mergeCell ref="G18:G22"/>
    <mergeCell ref="O27:O29"/>
    <mergeCell ref="P27:P29"/>
    <mergeCell ref="Q27:Q29"/>
    <mergeCell ref="R27:R29"/>
    <mergeCell ref="O31:O32"/>
    <mergeCell ref="K11:K12"/>
    <mergeCell ref="A11:A12"/>
    <mergeCell ref="C11:C12"/>
    <mergeCell ref="G11:G12"/>
    <mergeCell ref="H51:H52"/>
    <mergeCell ref="I51:I52"/>
    <mergeCell ref="Q11:Q12"/>
    <mergeCell ref="R11:R12"/>
    <mergeCell ref="D11:F11"/>
    <mergeCell ref="H11:I11"/>
    <mergeCell ref="J11:J12"/>
    <mergeCell ref="M11:N11"/>
    <mergeCell ref="O11:O12"/>
    <mergeCell ref="L11:L12"/>
    <mergeCell ref="P11:P12"/>
    <mergeCell ref="A23:A34"/>
    <mergeCell ref="D23:D26"/>
    <mergeCell ref="E23:E26"/>
    <mergeCell ref="F23:F26"/>
    <mergeCell ref="G27:G30"/>
    <mergeCell ref="C13:C17"/>
    <mergeCell ref="L23:L25"/>
    <mergeCell ref="L33:L34"/>
    <mergeCell ref="C31:C34"/>
    <mergeCell ref="A1:E1"/>
    <mergeCell ref="A13:A22"/>
    <mergeCell ref="D13:D17"/>
    <mergeCell ref="E13:E17"/>
    <mergeCell ref="F13:F17"/>
    <mergeCell ref="D18:D22"/>
    <mergeCell ref="E18:E22"/>
    <mergeCell ref="F18:F22"/>
    <mergeCell ref="D27:D30"/>
    <mergeCell ref="E27:E30"/>
    <mergeCell ref="F27:F30"/>
    <mergeCell ref="A3:G3"/>
    <mergeCell ref="A5:G5"/>
    <mergeCell ref="A6:H6"/>
    <mergeCell ref="A7:G7"/>
    <mergeCell ref="A8:G8"/>
    <mergeCell ref="A9:G9"/>
    <mergeCell ref="C18:C22"/>
    <mergeCell ref="C23:C26"/>
    <mergeCell ref="C27:C30"/>
    <mergeCell ref="A4:G4"/>
    <mergeCell ref="B11:B12"/>
    <mergeCell ref="R31:R32"/>
    <mergeCell ref="R33:R34"/>
    <mergeCell ref="Q33:Q34"/>
    <mergeCell ref="H33:H34"/>
    <mergeCell ref="I33:I34"/>
    <mergeCell ref="L27:L29"/>
    <mergeCell ref="M27:M29"/>
    <mergeCell ref="N27:N29"/>
    <mergeCell ref="H27:H29"/>
    <mergeCell ref="H31:H32"/>
    <mergeCell ref="I31:I32"/>
    <mergeCell ref="L31:L32"/>
    <mergeCell ref="M31:M32"/>
    <mergeCell ref="N31:N32"/>
    <mergeCell ref="O37:O40"/>
    <mergeCell ref="P37:P40"/>
    <mergeCell ref="M33:M34"/>
    <mergeCell ref="N33:N34"/>
    <mergeCell ref="O33:O34"/>
    <mergeCell ref="P33:P34"/>
    <mergeCell ref="A35:A40"/>
    <mergeCell ref="C35:C40"/>
    <mergeCell ref="D35:D40"/>
    <mergeCell ref="E35:E40"/>
    <mergeCell ref="F35:F40"/>
    <mergeCell ref="G35:G40"/>
    <mergeCell ref="H37:H40"/>
    <mergeCell ref="I37:I40"/>
    <mergeCell ref="D31:D34"/>
    <mergeCell ref="E31:E34"/>
    <mergeCell ref="F31:F34"/>
    <mergeCell ref="G31:G34"/>
    <mergeCell ref="P31:P32"/>
    <mergeCell ref="Q37:Q40"/>
    <mergeCell ref="R37:R40"/>
    <mergeCell ref="A49:A64"/>
    <mergeCell ref="D49:D52"/>
    <mergeCell ref="E49:E52"/>
    <mergeCell ref="F49:F52"/>
    <mergeCell ref="G49:G52"/>
    <mergeCell ref="D53:D56"/>
    <mergeCell ref="E53:E56"/>
    <mergeCell ref="F53:F56"/>
    <mergeCell ref="G53:G56"/>
    <mergeCell ref="D57:D60"/>
    <mergeCell ref="E57:E60"/>
    <mergeCell ref="F57:F60"/>
    <mergeCell ref="G57:G60"/>
    <mergeCell ref="L51:L52"/>
    <mergeCell ref="M51:M52"/>
    <mergeCell ref="N51:N52"/>
    <mergeCell ref="O51:O52"/>
    <mergeCell ref="P51:P52"/>
    <mergeCell ref="Q51:Q52"/>
    <mergeCell ref="L37:L40"/>
    <mergeCell ref="M37:M40"/>
    <mergeCell ref="N37:N40"/>
    <mergeCell ref="A70:A72"/>
    <mergeCell ref="D61:D64"/>
    <mergeCell ref="E61:E64"/>
    <mergeCell ref="F61:F64"/>
    <mergeCell ref="G61:G64"/>
    <mergeCell ref="A65:A66"/>
    <mergeCell ref="C65:C66"/>
    <mergeCell ref="D65:D66"/>
    <mergeCell ref="E65:E66"/>
    <mergeCell ref="F65:F66"/>
    <mergeCell ref="G65:G66"/>
    <mergeCell ref="C61:C64"/>
    <mergeCell ref="K13:K17"/>
    <mergeCell ref="K18:K22"/>
    <mergeCell ref="K23:K26"/>
    <mergeCell ref="K27:K30"/>
    <mergeCell ref="K31:K34"/>
    <mergeCell ref="K35:K40"/>
    <mergeCell ref="K49:K52"/>
    <mergeCell ref="K53:K56"/>
    <mergeCell ref="K57:K60"/>
    <mergeCell ref="K61:K64"/>
    <mergeCell ref="K65:K66"/>
    <mergeCell ref="J61:J64"/>
    <mergeCell ref="K41:K42"/>
    <mergeCell ref="K43:K44"/>
    <mergeCell ref="C45:C46"/>
    <mergeCell ref="E45:E46"/>
    <mergeCell ref="F45:F46"/>
    <mergeCell ref="G45:G46"/>
    <mergeCell ref="J45:J46"/>
    <mergeCell ref="K45:K46"/>
    <mergeCell ref="J41:J42"/>
    <mergeCell ref="J43:J44"/>
    <mergeCell ref="K47:K48"/>
    <mergeCell ref="J47:J48"/>
    <mergeCell ref="C47:C48"/>
    <mergeCell ref="C49:C52"/>
    <mergeCell ref="C53:C56"/>
    <mergeCell ref="C57:C60"/>
    <mergeCell ref="B41:B42"/>
    <mergeCell ref="B45:B46"/>
    <mergeCell ref="A41:A44"/>
    <mergeCell ref="C41:C42"/>
    <mergeCell ref="D41:D44"/>
    <mergeCell ref="E41:E42"/>
    <mergeCell ref="F41:F42"/>
    <mergeCell ref="G41:G42"/>
    <mergeCell ref="C43:C44"/>
    <mergeCell ref="E43:E44"/>
    <mergeCell ref="F43:F44"/>
    <mergeCell ref="G43:G44"/>
    <mergeCell ref="B43:B44"/>
    <mergeCell ref="D45:D48"/>
    <mergeCell ref="E47:E48"/>
    <mergeCell ref="G47:G48"/>
    <mergeCell ref="F47:F48"/>
    <mergeCell ref="A45:A48"/>
    <mergeCell ref="B47:B48"/>
  </mergeCells>
  <phoneticPr fontId="35" type="noConversion"/>
  <pageMargins left="0.7" right="0.7" top="0.75" bottom="0.75" header="0.3" footer="0.3"/>
  <pageSetup paperSize="8" scale="37"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41"/>
  <sheetViews>
    <sheetView topLeftCell="A6" zoomScale="55" zoomScaleNormal="55" workbookViewId="0">
      <selection activeCell="P42" sqref="P42"/>
    </sheetView>
  </sheetViews>
  <sheetFormatPr defaultRowHeight="15"/>
  <cols>
    <col min="1" max="1" width="24.5703125" customWidth="1"/>
    <col min="2" max="2" width="17.7109375" customWidth="1"/>
    <col min="3" max="3" width="17.28515625" customWidth="1"/>
    <col min="4" max="4" width="15.28515625" customWidth="1"/>
    <col min="5" max="5" width="17.28515625" customWidth="1"/>
    <col min="6" max="6" width="14.71093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7109375" customWidth="1"/>
    <col min="17" max="17" width="37" customWidth="1"/>
    <col min="18" max="18" width="92.7109375" customWidth="1"/>
    <col min="19" max="19" width="81" customWidth="1"/>
    <col min="20" max="20" width="60.5703125" customWidth="1"/>
    <col min="21" max="21" width="14.28515625" style="112" bestFit="1" customWidth="1"/>
    <col min="22" max="23" width="8.7109375" style="112"/>
    <col min="24" max="24" width="10.42578125" bestFit="1" customWidth="1"/>
  </cols>
  <sheetData>
    <row r="1" spans="1:37">
      <c r="A1" s="9" t="s">
        <v>209</v>
      </c>
      <c r="L1" s="124" t="s">
        <v>210</v>
      </c>
    </row>
    <row r="2" spans="1:37">
      <c r="A2" t="s">
        <v>211</v>
      </c>
    </row>
    <row r="3" spans="1:37">
      <c r="A3" t="s">
        <v>212</v>
      </c>
    </row>
    <row r="4" spans="1:37" ht="15.75" thickBot="1">
      <c r="A4" s="9" t="s">
        <v>207</v>
      </c>
    </row>
    <row r="5" spans="1:37" ht="15" customHeight="1">
      <c r="A5" s="925" t="s">
        <v>213</v>
      </c>
      <c r="B5" s="866" t="s">
        <v>101</v>
      </c>
      <c r="C5" s="872" t="s">
        <v>102</v>
      </c>
      <c r="D5" s="920" t="s">
        <v>103</v>
      </c>
      <c r="E5" s="920"/>
      <c r="F5" s="920"/>
      <c r="G5" s="923" t="s">
        <v>104</v>
      </c>
      <c r="H5" s="921" t="s">
        <v>214</v>
      </c>
      <c r="I5" s="921"/>
      <c r="J5" s="920" t="s">
        <v>3</v>
      </c>
      <c r="K5" s="920" t="s">
        <v>2</v>
      </c>
      <c r="L5" s="920" t="s">
        <v>189</v>
      </c>
      <c r="M5" s="920" t="s">
        <v>215</v>
      </c>
      <c r="N5" s="920"/>
      <c r="O5" s="923" t="s">
        <v>192</v>
      </c>
      <c r="P5" s="920" t="s">
        <v>193</v>
      </c>
      <c r="Q5" s="920" t="s">
        <v>216</v>
      </c>
      <c r="R5" s="918" t="s">
        <v>217</v>
      </c>
      <c r="S5" s="135"/>
      <c r="T5" s="135"/>
      <c r="U5" s="176"/>
      <c r="V5" s="176"/>
      <c r="W5" s="176"/>
      <c r="X5" s="135"/>
      <c r="Y5" s="135"/>
      <c r="Z5" s="135"/>
      <c r="AA5" s="135"/>
      <c r="AB5" s="10"/>
      <c r="AC5" s="10"/>
      <c r="AD5" s="10"/>
      <c r="AE5" s="10"/>
      <c r="AF5" s="10"/>
      <c r="AG5" s="10"/>
      <c r="AH5" s="10"/>
      <c r="AI5" s="10"/>
      <c r="AJ5" s="10"/>
      <c r="AK5" s="10"/>
    </row>
    <row r="6" spans="1:37" ht="84" customHeight="1" thickBot="1">
      <c r="A6" s="926"/>
      <c r="B6" s="867"/>
      <c r="C6" s="873"/>
      <c r="D6" s="141" t="s">
        <v>114</v>
      </c>
      <c r="E6" s="142" t="s">
        <v>115</v>
      </c>
      <c r="F6" s="143" t="s">
        <v>218</v>
      </c>
      <c r="G6" s="924"/>
      <c r="H6" s="141" t="s">
        <v>187</v>
      </c>
      <c r="I6" s="141" t="s">
        <v>188</v>
      </c>
      <c r="J6" s="922"/>
      <c r="K6" s="922"/>
      <c r="L6" s="922"/>
      <c r="M6" s="141" t="s">
        <v>219</v>
      </c>
      <c r="N6" s="141" t="s">
        <v>220</v>
      </c>
      <c r="O6" s="924"/>
      <c r="P6" s="922"/>
      <c r="Q6" s="922"/>
      <c r="R6" s="919"/>
      <c r="S6" s="135"/>
      <c r="T6" s="135"/>
      <c r="U6" s="176"/>
      <c r="V6" s="176"/>
      <c r="W6" s="176"/>
      <c r="X6" s="135"/>
      <c r="Y6" s="135"/>
      <c r="Z6" s="135"/>
      <c r="AA6" s="135"/>
      <c r="AB6" s="10"/>
      <c r="AC6" s="10"/>
      <c r="AD6" s="10"/>
      <c r="AE6" s="10"/>
      <c r="AF6" s="10"/>
      <c r="AG6" s="10"/>
      <c r="AH6" s="10"/>
      <c r="AI6" s="10"/>
      <c r="AJ6" s="10"/>
      <c r="AK6" s="10"/>
    </row>
    <row r="7" spans="1:37" ht="115.15" customHeight="1">
      <c r="A7" s="911" t="s">
        <v>211</v>
      </c>
      <c r="B7" s="726">
        <f>F7</f>
        <v>143212698.82352942</v>
      </c>
      <c r="C7" s="733">
        <f>'Intervencijų lėšos (2)'!J5</f>
        <v>121730794</v>
      </c>
      <c r="D7" s="914" t="s">
        <v>221</v>
      </c>
      <c r="E7" s="915">
        <f>C7/0.85*0.15</f>
        <v>21481904.823529411</v>
      </c>
      <c r="F7" s="733">
        <f>C7+E7</f>
        <v>143212698.82352942</v>
      </c>
      <c r="G7" s="733">
        <f>F7</f>
        <v>143212698.82352942</v>
      </c>
      <c r="H7" s="118" t="s">
        <v>140</v>
      </c>
      <c r="I7" s="119" t="s">
        <v>141</v>
      </c>
      <c r="J7" s="927" t="s">
        <v>125</v>
      </c>
      <c r="K7" s="728" t="s">
        <v>163</v>
      </c>
      <c r="L7" s="132" t="s">
        <v>222</v>
      </c>
      <c r="M7" s="233">
        <f>60.96/1000</f>
        <v>6.096E-2</v>
      </c>
      <c r="N7" s="132" t="s">
        <v>156</v>
      </c>
      <c r="O7" s="193" t="s">
        <v>127</v>
      </c>
      <c r="P7" s="233">
        <f>223.54/1000</f>
        <v>0.22353999999999999</v>
      </c>
      <c r="Q7" s="132" t="s">
        <v>157</v>
      </c>
      <c r="R7" s="403" t="s">
        <v>223</v>
      </c>
      <c r="S7" s="425" t="s">
        <v>224</v>
      </c>
      <c r="T7" s="135"/>
      <c r="U7" s="176"/>
      <c r="V7" s="176"/>
      <c r="W7" s="176"/>
      <c r="X7" s="135"/>
      <c r="Y7" s="135"/>
      <c r="Z7" s="135"/>
      <c r="AA7" s="135"/>
      <c r="AB7" s="10"/>
      <c r="AC7" s="10"/>
      <c r="AD7" s="10"/>
      <c r="AE7" s="10"/>
      <c r="AF7" s="10"/>
      <c r="AG7" s="10"/>
      <c r="AH7" s="10"/>
      <c r="AI7" s="10"/>
      <c r="AJ7" s="10"/>
      <c r="AK7" s="10"/>
    </row>
    <row r="8" spans="1:37" ht="88.9" customHeight="1">
      <c r="A8" s="912"/>
      <c r="B8" s="910"/>
      <c r="C8" s="901"/>
      <c r="D8" s="729"/>
      <c r="E8" s="916"/>
      <c r="F8" s="901"/>
      <c r="G8" s="901"/>
      <c r="H8" s="133" t="s">
        <v>171</v>
      </c>
      <c r="I8" s="133" t="s">
        <v>225</v>
      </c>
      <c r="J8" s="928"/>
      <c r="K8" s="729"/>
      <c r="L8" s="133" t="s">
        <v>173</v>
      </c>
      <c r="M8" s="133" t="s">
        <v>127</v>
      </c>
      <c r="N8" s="172" t="s">
        <v>156</v>
      </c>
      <c r="O8" s="108">
        <f>P8*0.1</f>
        <v>5.1000000000000005</v>
      </c>
      <c r="P8" s="108">
        <f>ROUND(G7*0.67/1900000,0)</f>
        <v>51</v>
      </c>
      <c r="Q8" s="133" t="s">
        <v>157</v>
      </c>
      <c r="R8" s="404" t="s">
        <v>226</v>
      </c>
      <c r="S8" s="426" t="s">
        <v>227</v>
      </c>
      <c r="T8" s="416"/>
      <c r="U8" s="176"/>
      <c r="V8" s="176"/>
      <c r="W8" s="176"/>
      <c r="X8" s="135"/>
      <c r="Y8" s="135"/>
      <c r="Z8" s="135"/>
      <c r="AA8" s="135"/>
      <c r="AB8" s="10"/>
      <c r="AC8" s="10"/>
      <c r="AD8" s="10"/>
      <c r="AE8" s="10"/>
      <c r="AF8" s="10"/>
      <c r="AG8" s="10"/>
      <c r="AH8" s="10"/>
      <c r="AI8" s="10"/>
      <c r="AJ8" s="10"/>
      <c r="AK8" s="10"/>
    </row>
    <row r="9" spans="1:37" ht="78.599999999999994" customHeight="1" thickBot="1">
      <c r="A9" s="913"/>
      <c r="B9" s="740"/>
      <c r="C9" s="902"/>
      <c r="D9" s="730"/>
      <c r="E9" s="917"/>
      <c r="F9" s="902"/>
      <c r="G9" s="902"/>
      <c r="H9" s="144" t="s">
        <v>171</v>
      </c>
      <c r="I9" s="144" t="s">
        <v>228</v>
      </c>
      <c r="J9" s="929"/>
      <c r="K9" s="730"/>
      <c r="L9" s="144" t="s">
        <v>173</v>
      </c>
      <c r="M9" s="144" t="s">
        <v>127</v>
      </c>
      <c r="N9" s="192" t="s">
        <v>156</v>
      </c>
      <c r="O9" s="417">
        <f>P9*0.1</f>
        <v>2.5</v>
      </c>
      <c r="P9" s="418">
        <f>ROUND(G7*0.33/1900000,0)</f>
        <v>25</v>
      </c>
      <c r="Q9" s="144" t="s">
        <v>157</v>
      </c>
      <c r="R9" s="419" t="s">
        <v>229</v>
      </c>
      <c r="S9" s="426" t="s">
        <v>230</v>
      </c>
      <c r="T9" s="416"/>
      <c r="U9" s="176"/>
      <c r="V9" s="176"/>
      <c r="W9" s="176"/>
      <c r="X9" s="135"/>
      <c r="Y9" s="135"/>
      <c r="Z9" s="135"/>
      <c r="AA9" s="135"/>
      <c r="AB9" s="10"/>
      <c r="AC9" s="10"/>
      <c r="AD9" s="10"/>
      <c r="AE9" s="10"/>
      <c r="AF9" s="10"/>
      <c r="AG9" s="10"/>
      <c r="AH9" s="10"/>
      <c r="AI9" s="10"/>
      <c r="AJ9" s="10"/>
      <c r="AK9" s="10"/>
    </row>
    <row r="10" spans="1:37" ht="91.15" customHeight="1" thickBot="1">
      <c r="A10" s="911" t="s">
        <v>212</v>
      </c>
      <c r="B10" s="726">
        <f>F10</f>
        <v>53764705.882352941</v>
      </c>
      <c r="C10" s="726">
        <v>45700000</v>
      </c>
      <c r="D10" s="914" t="s">
        <v>231</v>
      </c>
      <c r="E10" s="915">
        <f>C10/0.85*0.15</f>
        <v>8064705.8823529407</v>
      </c>
      <c r="F10" s="726">
        <f>C10+E10</f>
        <v>53764705.882352941</v>
      </c>
      <c r="G10" s="726">
        <f>F10</f>
        <v>53764705.882352941</v>
      </c>
      <c r="H10" s="132" t="s">
        <v>232</v>
      </c>
      <c r="I10" s="132" t="s">
        <v>233</v>
      </c>
      <c r="J10" s="927" t="s">
        <v>125</v>
      </c>
      <c r="K10" s="728" t="s">
        <v>163</v>
      </c>
      <c r="L10" s="119" t="s">
        <v>234</v>
      </c>
      <c r="M10" s="132" t="s">
        <v>127</v>
      </c>
      <c r="N10" s="119" t="s">
        <v>156</v>
      </c>
      <c r="O10" s="156">
        <f>P10*0.1</f>
        <v>990</v>
      </c>
      <c r="P10" s="119" t="s">
        <v>235</v>
      </c>
      <c r="Q10" s="132" t="s">
        <v>157</v>
      </c>
      <c r="R10" s="139" t="s">
        <v>236</v>
      </c>
      <c r="S10" s="427" t="s">
        <v>237</v>
      </c>
      <c r="T10" s="140"/>
      <c r="U10" s="176"/>
      <c r="V10" s="176"/>
      <c r="W10" s="176"/>
      <c r="X10" s="135"/>
      <c r="Y10" s="135"/>
      <c r="Z10" s="135"/>
      <c r="AA10" s="135"/>
      <c r="AB10" s="10"/>
      <c r="AC10" s="10"/>
      <c r="AD10" s="10"/>
      <c r="AE10" s="10"/>
      <c r="AF10" s="10"/>
      <c r="AG10" s="10"/>
      <c r="AH10" s="10"/>
      <c r="AI10" s="10"/>
      <c r="AJ10" s="10"/>
      <c r="AK10" s="10"/>
    </row>
    <row r="11" spans="1:37" ht="72" customHeight="1">
      <c r="A11" s="912"/>
      <c r="B11" s="910"/>
      <c r="C11" s="910"/>
      <c r="D11" s="729"/>
      <c r="E11" s="916"/>
      <c r="F11" s="910"/>
      <c r="G11" s="910"/>
      <c r="H11" s="133" t="s">
        <v>140</v>
      </c>
      <c r="I11" s="133" t="s">
        <v>141</v>
      </c>
      <c r="J11" s="928"/>
      <c r="K11" s="816"/>
      <c r="L11" s="132" t="s">
        <v>222</v>
      </c>
      <c r="M11" s="145" t="s">
        <v>238</v>
      </c>
      <c r="N11" s="117" t="s">
        <v>156</v>
      </c>
      <c r="O11" s="146" t="s">
        <v>127</v>
      </c>
      <c r="P11" s="420">
        <f>99*0.005/1000</f>
        <v>4.95E-4</v>
      </c>
      <c r="Q11" s="133" t="s">
        <v>157</v>
      </c>
      <c r="R11" s="159" t="s">
        <v>239</v>
      </c>
      <c r="S11" s="428" t="s">
        <v>240</v>
      </c>
      <c r="T11" s="140"/>
      <c r="U11" s="176"/>
      <c r="V11" s="176"/>
      <c r="W11" s="176"/>
      <c r="X11" s="135"/>
      <c r="Y11" s="135"/>
      <c r="Z11" s="135"/>
      <c r="AA11" s="135"/>
      <c r="AB11" s="10"/>
      <c r="AC11" s="10"/>
      <c r="AD11" s="10"/>
      <c r="AE11" s="10"/>
      <c r="AF11" s="10"/>
      <c r="AG11" s="10"/>
      <c r="AH11" s="10"/>
      <c r="AI11" s="10"/>
      <c r="AJ11" s="10"/>
      <c r="AK11" s="10"/>
    </row>
    <row r="12" spans="1:37" ht="103.15" customHeight="1" thickBot="1">
      <c r="A12" s="912"/>
      <c r="B12" s="910"/>
      <c r="C12" s="727"/>
      <c r="D12" s="761"/>
      <c r="E12" s="930"/>
      <c r="F12" s="727"/>
      <c r="G12" s="727"/>
      <c r="H12" s="117" t="s">
        <v>241</v>
      </c>
      <c r="I12" s="117" t="s">
        <v>242</v>
      </c>
      <c r="J12" s="929"/>
      <c r="K12" s="768"/>
      <c r="L12" s="117" t="s">
        <v>243</v>
      </c>
      <c r="M12" s="117" t="s">
        <v>238</v>
      </c>
      <c r="N12" s="117" t="s">
        <v>156</v>
      </c>
      <c r="O12" s="421" t="s">
        <v>127</v>
      </c>
      <c r="P12" s="231">
        <f>39013*99</f>
        <v>3862287</v>
      </c>
      <c r="Q12" s="117" t="s">
        <v>244</v>
      </c>
      <c r="R12" s="232" t="s">
        <v>245</v>
      </c>
      <c r="S12" s="135" t="s">
        <v>246</v>
      </c>
      <c r="T12" s="135"/>
      <c r="U12" s="176"/>
      <c r="V12" s="176"/>
      <c r="W12" s="176"/>
      <c r="X12" s="176"/>
      <c r="Y12" s="135"/>
      <c r="Z12" s="135"/>
      <c r="AA12" s="135"/>
      <c r="AB12" s="10"/>
      <c r="AC12" s="10"/>
      <c r="AD12" s="10"/>
      <c r="AE12" s="10"/>
      <c r="AF12" s="10"/>
      <c r="AG12" s="10"/>
      <c r="AH12" s="10"/>
      <c r="AI12" s="10"/>
      <c r="AJ12" s="10"/>
      <c r="AK12" s="10"/>
    </row>
    <row r="13" spans="1:37" ht="42" hidden="1" customHeight="1">
      <c r="A13" s="912"/>
      <c r="B13" s="157"/>
      <c r="C13" s="903">
        <f>'[1]Intervencijų lėšos'!I8</f>
        <v>10000000</v>
      </c>
      <c r="D13" s="905" t="s">
        <v>150</v>
      </c>
      <c r="E13" s="907">
        <f>(C13*100/70)-C13</f>
        <v>4285714.2857142854</v>
      </c>
      <c r="F13" s="909">
        <f>C13+E13</f>
        <v>14285714.285714285</v>
      </c>
      <c r="G13" s="148">
        <f>F13</f>
        <v>14285714.285714285</v>
      </c>
      <c r="H13" s="149" t="s">
        <v>166</v>
      </c>
      <c r="I13" s="149" t="s">
        <v>194</v>
      </c>
      <c r="J13" s="150" t="s">
        <v>18</v>
      </c>
      <c r="K13" s="150" t="s">
        <v>17</v>
      </c>
      <c r="L13" s="149" t="s">
        <v>195</v>
      </c>
      <c r="M13" s="149"/>
      <c r="N13" s="149"/>
      <c r="O13" s="151"/>
      <c r="P13" s="149"/>
      <c r="Q13" s="149" t="s">
        <v>157</v>
      </c>
      <c r="R13" s="147"/>
      <c r="S13" s="135"/>
      <c r="T13" s="135"/>
      <c r="U13" s="176"/>
      <c r="V13" s="176"/>
      <c r="W13" s="176"/>
      <c r="X13" s="135"/>
      <c r="Y13" s="135"/>
      <c r="Z13" s="135"/>
      <c r="AA13" s="135"/>
      <c r="AB13" s="10"/>
      <c r="AC13" s="10"/>
      <c r="AD13" s="10"/>
      <c r="AE13" s="10"/>
      <c r="AF13" s="10"/>
      <c r="AG13" s="10"/>
      <c r="AH13" s="10"/>
      <c r="AI13" s="10"/>
      <c r="AJ13" s="10"/>
      <c r="AK13" s="10"/>
    </row>
    <row r="14" spans="1:37" ht="35.65" hidden="1" customHeight="1">
      <c r="A14" s="913"/>
      <c r="B14" s="158"/>
      <c r="C14" s="904"/>
      <c r="D14" s="906"/>
      <c r="E14" s="908"/>
      <c r="F14" s="904"/>
      <c r="G14" s="152"/>
      <c r="H14" s="153"/>
      <c r="I14" s="153"/>
      <c r="J14" s="153"/>
      <c r="K14" s="153"/>
      <c r="L14" s="153"/>
      <c r="M14" s="153"/>
      <c r="N14" s="153"/>
      <c r="O14" s="154"/>
      <c r="P14" s="153"/>
      <c r="Q14" s="153" t="s">
        <v>157</v>
      </c>
      <c r="R14" s="155"/>
      <c r="S14" s="135"/>
      <c r="T14" s="135"/>
      <c r="U14" s="176"/>
      <c r="V14" s="176"/>
      <c r="W14" s="176"/>
      <c r="X14" s="135"/>
      <c r="Y14" s="135"/>
      <c r="Z14" s="135"/>
      <c r="AA14" s="135"/>
      <c r="AB14" s="10"/>
      <c r="AC14" s="10"/>
      <c r="AD14" s="10"/>
      <c r="AE14" s="10"/>
      <c r="AF14" s="10"/>
      <c r="AG14" s="10"/>
      <c r="AH14" s="10"/>
      <c r="AI14" s="10"/>
      <c r="AJ14" s="10"/>
      <c r="AK14" s="10"/>
    </row>
    <row r="15" spans="1:37">
      <c r="B15" s="112"/>
      <c r="C15" s="112">
        <f>C10+C7</f>
        <v>167430794</v>
      </c>
    </row>
    <row r="16" spans="1:37">
      <c r="C16" s="112"/>
    </row>
    <row r="17" spans="1:22">
      <c r="C17" s="112">
        <f>C7+C10</f>
        <v>167430794</v>
      </c>
    </row>
    <row r="20" spans="1:22" customFormat="1" ht="45">
      <c r="A20" s="14" t="s">
        <v>187</v>
      </c>
      <c r="B20" s="25" t="s">
        <v>188</v>
      </c>
      <c r="C20" s="14" t="s">
        <v>189</v>
      </c>
      <c r="D20" s="14" t="s">
        <v>190</v>
      </c>
      <c r="E20" s="14" t="s">
        <v>3</v>
      </c>
      <c r="F20" s="14" t="s">
        <v>2</v>
      </c>
      <c r="G20" s="14" t="s">
        <v>191</v>
      </c>
      <c r="H20" s="14" t="s">
        <v>192</v>
      </c>
      <c r="I20" s="14" t="s">
        <v>193</v>
      </c>
      <c r="J20" s="50"/>
      <c r="K20" s="49"/>
      <c r="N20" s="61"/>
      <c r="O20" s="61"/>
      <c r="T20" s="112"/>
      <c r="U20" s="112"/>
      <c r="V20" s="112"/>
    </row>
    <row r="21" spans="1:22" customFormat="1" ht="60">
      <c r="A21" s="13" t="s">
        <v>140</v>
      </c>
      <c r="B21" s="561" t="s">
        <v>194</v>
      </c>
      <c r="C21" s="565" t="s">
        <v>195</v>
      </c>
      <c r="D21" s="137">
        <f>M7+M11</f>
        <v>6.096E-2</v>
      </c>
      <c r="E21" s="52" t="s">
        <v>196</v>
      </c>
      <c r="F21" s="171" t="s">
        <v>17</v>
      </c>
      <c r="G21" s="13">
        <v>2021</v>
      </c>
      <c r="H21" s="13" t="s">
        <v>127</v>
      </c>
      <c r="I21" s="190">
        <f>P7+P11</f>
        <v>0.22403499999999998</v>
      </c>
      <c r="J21" s="744" t="s">
        <v>207</v>
      </c>
      <c r="S21" t="s">
        <v>247</v>
      </c>
      <c r="T21" s="112"/>
      <c r="U21" s="112"/>
      <c r="V21" s="112"/>
    </row>
    <row r="22" spans="1:22" customFormat="1" ht="45">
      <c r="A22" s="133" t="s">
        <v>171</v>
      </c>
      <c r="B22" s="133" t="s">
        <v>248</v>
      </c>
      <c r="C22" s="133" t="s">
        <v>208</v>
      </c>
      <c r="D22" s="68" t="s">
        <v>127</v>
      </c>
      <c r="E22" s="13" t="s">
        <v>196</v>
      </c>
      <c r="F22" s="13" t="s">
        <v>17</v>
      </c>
      <c r="G22" s="13">
        <v>2021</v>
      </c>
      <c r="H22" s="181">
        <f t="shared" ref="H22:I24" si="0">O8</f>
        <v>5.1000000000000005</v>
      </c>
      <c r="I22" s="181">
        <f t="shared" si="0"/>
        <v>51</v>
      </c>
      <c r="J22" s="744"/>
      <c r="T22" s="112"/>
      <c r="U22" s="112"/>
      <c r="V22" s="112"/>
    </row>
    <row r="23" spans="1:22" customFormat="1" ht="70.900000000000006" customHeight="1">
      <c r="A23" s="133" t="s">
        <v>171</v>
      </c>
      <c r="B23" s="133" t="s">
        <v>249</v>
      </c>
      <c r="C23" s="174" t="s">
        <v>208</v>
      </c>
      <c r="D23" s="68" t="s">
        <v>127</v>
      </c>
      <c r="E23" s="13" t="s">
        <v>196</v>
      </c>
      <c r="F23" s="13" t="s">
        <v>17</v>
      </c>
      <c r="G23" s="13">
        <v>2021</v>
      </c>
      <c r="H23" s="181">
        <f t="shared" si="0"/>
        <v>2.5</v>
      </c>
      <c r="I23" s="181">
        <f t="shared" si="0"/>
        <v>25</v>
      </c>
      <c r="J23" s="744"/>
      <c r="T23" s="112"/>
      <c r="U23" s="112"/>
      <c r="V23" s="112"/>
    </row>
    <row r="24" spans="1:22" customFormat="1" ht="90">
      <c r="A24" s="133" t="s">
        <v>232</v>
      </c>
      <c r="B24" s="133" t="s">
        <v>233</v>
      </c>
      <c r="C24" s="172" t="s">
        <v>234</v>
      </c>
      <c r="D24" s="68" t="str">
        <f>M10</f>
        <v>n/a</v>
      </c>
      <c r="E24" s="13" t="s">
        <v>196</v>
      </c>
      <c r="F24" s="13" t="s">
        <v>17</v>
      </c>
      <c r="G24" s="13">
        <v>2021</v>
      </c>
      <c r="H24" s="181">
        <f t="shared" si="0"/>
        <v>990</v>
      </c>
      <c r="I24" s="181" t="str">
        <f t="shared" si="0"/>
        <v>9900</v>
      </c>
      <c r="J24" s="744"/>
      <c r="T24" s="112"/>
      <c r="U24" s="112"/>
      <c r="V24" s="112"/>
    </row>
    <row r="25" spans="1:22" ht="60">
      <c r="A25" s="133" t="s">
        <v>241</v>
      </c>
      <c r="B25" s="133" t="s">
        <v>242</v>
      </c>
      <c r="C25" s="133" t="s">
        <v>243</v>
      </c>
      <c r="D25" s="171" t="str">
        <f>M12</f>
        <v>0</v>
      </c>
      <c r="E25" s="13" t="s">
        <v>196</v>
      </c>
      <c r="F25" s="13" t="s">
        <v>17</v>
      </c>
      <c r="G25" s="13">
        <v>2021</v>
      </c>
      <c r="H25" s="128" t="str">
        <f>O12</f>
        <v>n/a</v>
      </c>
      <c r="I25" s="128">
        <f>P12</f>
        <v>3862287</v>
      </c>
      <c r="J25" s="744"/>
    </row>
    <row r="26" spans="1:22">
      <c r="A26" s="3"/>
      <c r="B26" s="3"/>
      <c r="C26" s="3"/>
      <c r="D26" s="4"/>
      <c r="E26" s="3"/>
      <c r="F26" s="3"/>
      <c r="G26" s="3"/>
      <c r="H26" s="3"/>
      <c r="I26" s="3"/>
      <c r="J26" s="744"/>
    </row>
    <row r="27" spans="1:22">
      <c r="A27" s="3"/>
      <c r="B27" s="3"/>
      <c r="C27" s="3"/>
      <c r="D27" s="4"/>
      <c r="E27" s="3"/>
      <c r="F27" s="3"/>
      <c r="G27" s="3"/>
      <c r="H27" s="3"/>
      <c r="I27" s="3"/>
      <c r="J27" s="744"/>
    </row>
    <row r="28" spans="1:22">
      <c r="A28" s="3"/>
      <c r="B28" s="3"/>
      <c r="C28" s="3"/>
      <c r="D28" s="4"/>
      <c r="E28" s="3"/>
      <c r="F28" s="3"/>
      <c r="G28" s="3"/>
      <c r="H28" s="3"/>
      <c r="I28" s="3"/>
      <c r="J28" s="744"/>
    </row>
    <row r="29" spans="1:22">
      <c r="A29" s="3"/>
      <c r="B29" s="3"/>
      <c r="C29" s="3"/>
      <c r="D29" s="4"/>
      <c r="E29" s="3"/>
      <c r="F29" s="3"/>
      <c r="G29" s="3"/>
      <c r="H29" s="3"/>
      <c r="I29" s="3"/>
      <c r="J29" s="744"/>
    </row>
    <row r="30" spans="1:22">
      <c r="A30" s="3"/>
      <c r="B30" s="3"/>
      <c r="C30" s="3"/>
      <c r="D30" s="4"/>
      <c r="E30" s="3"/>
      <c r="F30" s="3"/>
      <c r="G30" s="3"/>
      <c r="H30" s="3"/>
      <c r="I30" s="3"/>
      <c r="J30" s="744"/>
    </row>
    <row r="31" spans="1:22">
      <c r="A31" s="3"/>
      <c r="B31" s="3"/>
      <c r="C31" s="3"/>
      <c r="D31" s="4"/>
      <c r="E31" s="3"/>
      <c r="F31" s="3"/>
      <c r="G31" s="3"/>
      <c r="H31" s="3"/>
      <c r="I31" s="3"/>
      <c r="J31" s="744"/>
    </row>
    <row r="32" spans="1:22">
      <c r="A32" s="3"/>
      <c r="B32" s="3"/>
      <c r="C32" s="3"/>
      <c r="D32" s="4"/>
      <c r="E32" s="3"/>
      <c r="F32" s="3"/>
      <c r="G32" s="3"/>
      <c r="H32" s="3"/>
      <c r="I32" s="3"/>
      <c r="J32" s="744"/>
    </row>
    <row r="33" spans="4:4">
      <c r="D33" s="112"/>
    </row>
    <row r="34" spans="4:4">
      <c r="D34" s="112"/>
    </row>
    <row r="35" spans="4:4">
      <c r="D35" s="112"/>
    </row>
    <row r="36" spans="4:4">
      <c r="D36" s="112"/>
    </row>
    <row r="37" spans="4:4">
      <c r="D37" s="112"/>
    </row>
    <row r="38" spans="4:4">
      <c r="D38" s="112"/>
    </row>
    <row r="39" spans="4:4">
      <c r="D39" s="112"/>
    </row>
    <row r="40" spans="4:4">
      <c r="D40" s="112"/>
    </row>
    <row r="41" spans="4:4">
      <c r="D41" s="112"/>
    </row>
  </sheetData>
  <mergeCells count="37">
    <mergeCell ref="J21:J32"/>
    <mergeCell ref="A5:A6"/>
    <mergeCell ref="C5:C6"/>
    <mergeCell ref="G5:G6"/>
    <mergeCell ref="Q5:Q6"/>
    <mergeCell ref="B5:B6"/>
    <mergeCell ref="J7:J9"/>
    <mergeCell ref="K7:K9"/>
    <mergeCell ref="A10:A14"/>
    <mergeCell ref="C10:C12"/>
    <mergeCell ref="D10:D12"/>
    <mergeCell ref="E10:E12"/>
    <mergeCell ref="F10:F12"/>
    <mergeCell ref="G10:G12"/>
    <mergeCell ref="J10:J12"/>
    <mergeCell ref="K10:K12"/>
    <mergeCell ref="R5:R6"/>
    <mergeCell ref="D5:F5"/>
    <mergeCell ref="H5:I5"/>
    <mergeCell ref="J5:J6"/>
    <mergeCell ref="M5:N5"/>
    <mergeCell ref="O5:O6"/>
    <mergeCell ref="L5:L6"/>
    <mergeCell ref="P5:P6"/>
    <mergeCell ref="K5:K6"/>
    <mergeCell ref="B10:B12"/>
    <mergeCell ref="A7:A9"/>
    <mergeCell ref="C7:C9"/>
    <mergeCell ref="D7:D9"/>
    <mergeCell ref="E7:E9"/>
    <mergeCell ref="B7:B9"/>
    <mergeCell ref="G7:G9"/>
    <mergeCell ref="C13:C14"/>
    <mergeCell ref="D13:D14"/>
    <mergeCell ref="E13:E14"/>
    <mergeCell ref="F13:F14"/>
    <mergeCell ref="F7:F9"/>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8"/>
  <sheetViews>
    <sheetView topLeftCell="A28" zoomScale="55" zoomScaleNormal="55" workbookViewId="0">
      <selection activeCell="P42" sqref="P42"/>
    </sheetView>
  </sheetViews>
  <sheetFormatPr defaultRowHeight="15"/>
  <cols>
    <col min="1" max="1" width="17.5703125" customWidth="1"/>
    <col min="2" max="2" width="16.28515625" customWidth="1"/>
    <col min="3" max="3" width="15.7109375" customWidth="1"/>
    <col min="4" max="4" width="21.28515625" customWidth="1"/>
    <col min="5" max="5" width="16.7109375" customWidth="1"/>
    <col min="6" max="6" width="15.28515625" customWidth="1"/>
    <col min="7" max="7" width="17" customWidth="1"/>
    <col min="8" max="8" width="15.28515625" customWidth="1"/>
    <col min="9" max="9" width="19.42578125" customWidth="1"/>
    <col min="10" max="10" width="12.7109375" customWidth="1"/>
    <col min="11" max="11" width="13.28515625" customWidth="1"/>
    <col min="12" max="12" width="12.42578125" customWidth="1"/>
    <col min="13" max="13" width="14.28515625" customWidth="1"/>
    <col min="14" max="14" width="11.42578125" customWidth="1"/>
    <col min="15" max="15" width="17.7109375" customWidth="1"/>
    <col min="16" max="16" width="20.7109375" style="200" customWidth="1"/>
    <col min="17" max="17" width="33.28515625" customWidth="1"/>
    <col min="18" max="18" width="51.7109375" customWidth="1"/>
    <col min="19" max="19" width="52.7109375" customWidth="1"/>
    <col min="20" max="20" width="68" customWidth="1"/>
  </cols>
  <sheetData>
    <row r="1" spans="1:20">
      <c r="A1" s="9" t="s">
        <v>250</v>
      </c>
      <c r="E1" s="124" t="s">
        <v>251</v>
      </c>
    </row>
    <row r="2" spans="1:20">
      <c r="A2" t="s">
        <v>252</v>
      </c>
    </row>
    <row r="3" spans="1:20" ht="15.75" thickBot="1">
      <c r="A3" t="s">
        <v>207</v>
      </c>
    </row>
    <row r="4" spans="1:20" ht="15" customHeight="1">
      <c r="A4" s="871" t="s">
        <v>100</v>
      </c>
      <c r="B4" s="866" t="s">
        <v>101</v>
      </c>
      <c r="C4" s="872" t="s">
        <v>102</v>
      </c>
      <c r="D4" s="881" t="s">
        <v>103</v>
      </c>
      <c r="E4" s="975"/>
      <c r="F4" s="883"/>
      <c r="G4" s="871" t="s">
        <v>104</v>
      </c>
      <c r="H4" s="976" t="s">
        <v>105</v>
      </c>
      <c r="I4" s="977"/>
      <c r="J4" s="876" t="s">
        <v>106</v>
      </c>
      <c r="K4" s="868" t="s">
        <v>107</v>
      </c>
      <c r="L4" s="876" t="s">
        <v>108</v>
      </c>
      <c r="M4" s="881" t="s">
        <v>109</v>
      </c>
      <c r="N4" s="883"/>
      <c r="O4" s="876" t="s">
        <v>253</v>
      </c>
      <c r="P4" s="985" t="s">
        <v>111</v>
      </c>
      <c r="Q4" s="876" t="s">
        <v>112</v>
      </c>
      <c r="R4" s="878" t="s">
        <v>113</v>
      </c>
    </row>
    <row r="5" spans="1:20" ht="30.75" thickBot="1">
      <c r="A5" s="965"/>
      <c r="B5" s="867"/>
      <c r="C5" s="873"/>
      <c r="D5" s="1" t="s">
        <v>114</v>
      </c>
      <c r="E5" s="6" t="s">
        <v>115</v>
      </c>
      <c r="F5" s="5" t="s">
        <v>116</v>
      </c>
      <c r="G5" s="965"/>
      <c r="H5" s="1" t="s">
        <v>254</v>
      </c>
      <c r="I5" s="2" t="s">
        <v>255</v>
      </c>
      <c r="J5" s="867"/>
      <c r="K5" s="987"/>
      <c r="L5" s="867"/>
      <c r="M5" s="2" t="s">
        <v>119</v>
      </c>
      <c r="N5" s="2" t="s">
        <v>256</v>
      </c>
      <c r="O5" s="867"/>
      <c r="P5" s="986"/>
      <c r="Q5" s="990"/>
      <c r="R5" s="991"/>
    </row>
    <row r="6" spans="1:20" ht="116.65" customHeight="1">
      <c r="A6" s="911" t="s">
        <v>252</v>
      </c>
      <c r="B6" s="945">
        <f>F6</f>
        <v>14009564.705882352</v>
      </c>
      <c r="C6" s="955">
        <v>11908130</v>
      </c>
      <c r="D6" s="728" t="s">
        <v>257</v>
      </c>
      <c r="E6" s="945">
        <f>C6/0.85*0.15</f>
        <v>2101434.7058823528</v>
      </c>
      <c r="F6" s="971">
        <f>C6+E6</f>
        <v>14009564.705882352</v>
      </c>
      <c r="G6" s="962">
        <f>F6</f>
        <v>14009564.705882352</v>
      </c>
      <c r="H6" s="216" t="s">
        <v>258</v>
      </c>
      <c r="I6" s="198" t="s">
        <v>259</v>
      </c>
      <c r="J6" s="982" t="s">
        <v>153</v>
      </c>
      <c r="K6" s="728" t="s">
        <v>154</v>
      </c>
      <c r="L6" s="218" t="s">
        <v>260</v>
      </c>
      <c r="M6" s="198" t="s">
        <v>238</v>
      </c>
      <c r="N6" s="398" t="s">
        <v>261</v>
      </c>
      <c r="O6" s="219">
        <f>P6*0.2</f>
        <v>1900</v>
      </c>
      <c r="P6" s="219">
        <v>9500</v>
      </c>
      <c r="Q6" s="198" t="s">
        <v>157</v>
      </c>
      <c r="R6" s="936" t="s">
        <v>262</v>
      </c>
      <c r="S6" s="992" t="s">
        <v>263</v>
      </c>
      <c r="T6" s="931"/>
    </row>
    <row r="7" spans="1:20" ht="200.65" customHeight="1">
      <c r="A7" s="912"/>
      <c r="B7" s="944"/>
      <c r="C7" s="956"/>
      <c r="D7" s="729"/>
      <c r="E7" s="944"/>
      <c r="F7" s="947"/>
      <c r="G7" s="963"/>
      <c r="H7" s="212" t="s">
        <v>264</v>
      </c>
      <c r="I7" s="213" t="s">
        <v>265</v>
      </c>
      <c r="J7" s="983"/>
      <c r="K7" s="729"/>
      <c r="L7" s="220" t="s">
        <v>266</v>
      </c>
      <c r="M7" s="213" t="s">
        <v>238</v>
      </c>
      <c r="N7" s="399" t="s">
        <v>261</v>
      </c>
      <c r="O7" s="221">
        <f>P7*0.2</f>
        <v>950</v>
      </c>
      <c r="P7" s="221">
        <v>4750</v>
      </c>
      <c r="Q7" s="213" t="s">
        <v>157</v>
      </c>
      <c r="R7" s="933"/>
      <c r="S7" s="992"/>
      <c r="T7" s="931"/>
    </row>
    <row r="8" spans="1:20" ht="130.9" customHeight="1">
      <c r="A8" s="912"/>
      <c r="B8" s="944"/>
      <c r="C8" s="956"/>
      <c r="D8" s="729"/>
      <c r="E8" s="944"/>
      <c r="F8" s="947"/>
      <c r="G8" s="963"/>
      <c r="H8" s="217" t="s">
        <v>267</v>
      </c>
      <c r="I8" s="213" t="s">
        <v>268</v>
      </c>
      <c r="J8" s="983"/>
      <c r="K8" s="729"/>
      <c r="L8" s="220" t="s">
        <v>260</v>
      </c>
      <c r="M8" s="213" t="s">
        <v>238</v>
      </c>
      <c r="N8" s="399" t="s">
        <v>261</v>
      </c>
      <c r="O8" s="222" t="s">
        <v>127</v>
      </c>
      <c r="P8" s="221">
        <f>P6*0.8</f>
        <v>7600</v>
      </c>
      <c r="Q8" s="199" t="s">
        <v>157</v>
      </c>
      <c r="R8" s="215" t="s">
        <v>269</v>
      </c>
      <c r="S8" s="405" t="s">
        <v>270</v>
      </c>
    </row>
    <row r="9" spans="1:20" ht="141.6" customHeight="1">
      <c r="A9" s="912"/>
      <c r="B9" s="946"/>
      <c r="C9" s="957"/>
      <c r="D9" s="729"/>
      <c r="E9" s="944"/>
      <c r="F9" s="972"/>
      <c r="G9" s="964"/>
      <c r="H9" s="212" t="s">
        <v>271</v>
      </c>
      <c r="I9" s="199" t="s">
        <v>272</v>
      </c>
      <c r="J9" s="983"/>
      <c r="K9" s="729"/>
      <c r="L9" s="197" t="s">
        <v>266</v>
      </c>
      <c r="M9" s="223" t="s">
        <v>238</v>
      </c>
      <c r="N9" s="400" t="s">
        <v>261</v>
      </c>
      <c r="O9" s="222" t="s">
        <v>127</v>
      </c>
      <c r="P9" s="224">
        <f>P7*0.8</f>
        <v>3800</v>
      </c>
      <c r="Q9" s="225" t="s">
        <v>157</v>
      </c>
      <c r="R9" s="215" t="s">
        <v>273</v>
      </c>
      <c r="S9" s="405" t="s">
        <v>274</v>
      </c>
    </row>
    <row r="10" spans="1:20" ht="132" customHeight="1">
      <c r="A10" s="912"/>
      <c r="B10" s="940">
        <f>F10</f>
        <v>1176400</v>
      </c>
      <c r="C10" s="948">
        <v>588200</v>
      </c>
      <c r="D10" s="729"/>
      <c r="E10" s="951">
        <f>C10/0.5*0.5</f>
        <v>588200</v>
      </c>
      <c r="F10" s="948">
        <f>C10+E10</f>
        <v>1176400</v>
      </c>
      <c r="G10" s="948">
        <f>F10</f>
        <v>1176400</v>
      </c>
      <c r="H10" s="211" t="s">
        <v>258</v>
      </c>
      <c r="I10" s="203" t="s">
        <v>259</v>
      </c>
      <c r="J10" s="952" t="s">
        <v>275</v>
      </c>
      <c r="K10" s="729"/>
      <c r="L10" s="205" t="s">
        <v>260</v>
      </c>
      <c r="M10" s="202" t="s">
        <v>238</v>
      </c>
      <c r="N10" s="397" t="s">
        <v>261</v>
      </c>
      <c r="O10" s="206">
        <f>P10*0.2</f>
        <v>160</v>
      </c>
      <c r="P10" s="206">
        <f>ROUND(48*25*0.667,0)</f>
        <v>800</v>
      </c>
      <c r="Q10" s="202" t="s">
        <v>157</v>
      </c>
      <c r="R10" s="934" t="s">
        <v>276</v>
      </c>
      <c r="S10" s="988" t="s">
        <v>277</v>
      </c>
    </row>
    <row r="11" spans="1:20" ht="160.9" customHeight="1">
      <c r="A11" s="912"/>
      <c r="B11" s="941"/>
      <c r="C11" s="949"/>
      <c r="D11" s="729"/>
      <c r="E11" s="951"/>
      <c r="F11" s="949"/>
      <c r="G11" s="949"/>
      <c r="H11" s="201" t="s">
        <v>264</v>
      </c>
      <c r="I11" s="203" t="s">
        <v>265</v>
      </c>
      <c r="J11" s="953"/>
      <c r="K11" s="729"/>
      <c r="L11" s="196" t="s">
        <v>266</v>
      </c>
      <c r="M11" s="202" t="s">
        <v>238</v>
      </c>
      <c r="N11" s="397" t="s">
        <v>261</v>
      </c>
      <c r="O11" s="206">
        <f>P11*0.2</f>
        <v>80</v>
      </c>
      <c r="P11" s="206">
        <f>ROUND(48*25*0.333,0)</f>
        <v>400</v>
      </c>
      <c r="Q11" s="202" t="s">
        <v>157</v>
      </c>
      <c r="R11" s="935"/>
      <c r="S11" s="988"/>
    </row>
    <row r="12" spans="1:20" ht="144" customHeight="1">
      <c r="A12" s="912"/>
      <c r="B12" s="941"/>
      <c r="C12" s="949"/>
      <c r="D12" s="729"/>
      <c r="E12" s="951"/>
      <c r="F12" s="949"/>
      <c r="G12" s="949"/>
      <c r="H12" s="207" t="s">
        <v>267</v>
      </c>
      <c r="I12" s="203" t="s">
        <v>268</v>
      </c>
      <c r="J12" s="953"/>
      <c r="K12" s="729"/>
      <c r="L12" s="196" t="s">
        <v>260</v>
      </c>
      <c r="M12" s="202" t="s">
        <v>238</v>
      </c>
      <c r="N12" s="397" t="s">
        <v>261</v>
      </c>
      <c r="O12" s="206" t="s">
        <v>127</v>
      </c>
      <c r="P12" s="206">
        <f>P10*0.8</f>
        <v>640</v>
      </c>
      <c r="Q12" s="202" t="s">
        <v>157</v>
      </c>
      <c r="R12" s="208" t="s">
        <v>278</v>
      </c>
      <c r="S12" s="405" t="s">
        <v>279</v>
      </c>
    </row>
    <row r="13" spans="1:20" ht="146.65" customHeight="1">
      <c r="A13" s="912"/>
      <c r="B13" s="942"/>
      <c r="C13" s="950"/>
      <c r="D13" s="761"/>
      <c r="E13" s="951"/>
      <c r="F13" s="950"/>
      <c r="G13" s="950"/>
      <c r="H13" s="207" t="s">
        <v>271</v>
      </c>
      <c r="I13" s="202" t="s">
        <v>272</v>
      </c>
      <c r="J13" s="954"/>
      <c r="K13" s="761"/>
      <c r="L13" s="195" t="s">
        <v>266</v>
      </c>
      <c r="M13" s="202" t="s">
        <v>238</v>
      </c>
      <c r="N13" s="397" t="s">
        <v>261</v>
      </c>
      <c r="O13" s="206" t="s">
        <v>127</v>
      </c>
      <c r="P13" s="206">
        <f>P11*0.8</f>
        <v>320</v>
      </c>
      <c r="Q13" s="202" t="s">
        <v>157</v>
      </c>
      <c r="R13" s="209" t="s">
        <v>280</v>
      </c>
      <c r="S13" s="405" t="s">
        <v>281</v>
      </c>
    </row>
    <row r="14" spans="1:20" ht="110.65" customHeight="1">
      <c r="A14" s="912"/>
      <c r="B14" s="943">
        <f>F14</f>
        <v>7012070.5882352944</v>
      </c>
      <c r="C14" s="958">
        <v>5960260</v>
      </c>
      <c r="D14" s="959" t="s">
        <v>282</v>
      </c>
      <c r="E14" s="984">
        <f>C14/0.85*0.15</f>
        <v>1051810.5882352942</v>
      </c>
      <c r="F14" s="947">
        <f t="shared" ref="F14" si="0">C14+E14</f>
        <v>7012070.5882352944</v>
      </c>
      <c r="G14" s="972">
        <f>F14</f>
        <v>7012070.5882352944</v>
      </c>
      <c r="H14" s="212" t="s">
        <v>258</v>
      </c>
      <c r="I14" s="213" t="s">
        <v>259</v>
      </c>
      <c r="J14" s="980" t="s">
        <v>153</v>
      </c>
      <c r="K14" s="762" t="s">
        <v>154</v>
      </c>
      <c r="L14" s="194" t="s">
        <v>260</v>
      </c>
      <c r="M14" s="199" t="s">
        <v>238</v>
      </c>
      <c r="N14" s="401" t="s">
        <v>261</v>
      </c>
      <c r="O14" s="214">
        <f>P14*0.2</f>
        <v>940</v>
      </c>
      <c r="P14" s="214">
        <v>4700</v>
      </c>
      <c r="Q14" s="199" t="s">
        <v>157</v>
      </c>
      <c r="R14" s="932" t="s">
        <v>283</v>
      </c>
      <c r="S14" s="992" t="s">
        <v>284</v>
      </c>
    </row>
    <row r="15" spans="1:20" ht="185.65" customHeight="1">
      <c r="A15" s="912"/>
      <c r="B15" s="944"/>
      <c r="C15" s="956"/>
      <c r="D15" s="960"/>
      <c r="E15" s="984"/>
      <c r="F15" s="947"/>
      <c r="G15" s="963"/>
      <c r="H15" s="212" t="s">
        <v>264</v>
      </c>
      <c r="I15" s="213" t="s">
        <v>265</v>
      </c>
      <c r="J15" s="981"/>
      <c r="K15" s="729"/>
      <c r="L15" s="194" t="s">
        <v>266</v>
      </c>
      <c r="M15" s="199" t="s">
        <v>238</v>
      </c>
      <c r="N15" s="401" t="s">
        <v>261</v>
      </c>
      <c r="O15" s="214">
        <f>P15*0.2</f>
        <v>460</v>
      </c>
      <c r="P15" s="214">
        <v>2300</v>
      </c>
      <c r="Q15" s="199" t="s">
        <v>157</v>
      </c>
      <c r="R15" s="933"/>
      <c r="S15" s="992"/>
    </row>
    <row r="16" spans="1:20" ht="132" customHeight="1">
      <c r="A16" s="912"/>
      <c r="B16" s="944"/>
      <c r="C16" s="956"/>
      <c r="D16" s="960"/>
      <c r="E16" s="984"/>
      <c r="F16" s="947"/>
      <c r="G16" s="963"/>
      <c r="H16" s="212" t="s">
        <v>267</v>
      </c>
      <c r="I16" s="213" t="s">
        <v>268</v>
      </c>
      <c r="J16" s="981"/>
      <c r="K16" s="729"/>
      <c r="L16" s="194" t="s">
        <v>260</v>
      </c>
      <c r="M16" s="199" t="s">
        <v>238</v>
      </c>
      <c r="N16" s="401" t="s">
        <v>261</v>
      </c>
      <c r="O16" s="214" t="s">
        <v>127</v>
      </c>
      <c r="P16" s="214">
        <f>P14*0.8</f>
        <v>3760</v>
      </c>
      <c r="Q16" s="199" t="s">
        <v>157</v>
      </c>
      <c r="R16" s="215" t="s">
        <v>285</v>
      </c>
      <c r="S16" s="405" t="s">
        <v>286</v>
      </c>
    </row>
    <row r="17" spans="1:20" ht="139.15" customHeight="1">
      <c r="A17" s="912"/>
      <c r="B17" s="944"/>
      <c r="C17" s="957"/>
      <c r="D17" s="960"/>
      <c r="E17" s="984"/>
      <c r="F17" s="947"/>
      <c r="G17" s="964"/>
      <c r="H17" s="212" t="s">
        <v>271</v>
      </c>
      <c r="I17" s="199" t="s">
        <v>272</v>
      </c>
      <c r="J17" s="981"/>
      <c r="K17" s="729"/>
      <c r="L17" s="194" t="s">
        <v>266</v>
      </c>
      <c r="M17" s="199" t="s">
        <v>238</v>
      </c>
      <c r="N17" s="401" t="s">
        <v>261</v>
      </c>
      <c r="O17" s="214" t="s">
        <v>127</v>
      </c>
      <c r="P17" s="214">
        <f>P15*0.8</f>
        <v>1840</v>
      </c>
      <c r="Q17" s="199" t="s">
        <v>157</v>
      </c>
      <c r="R17" s="215" t="s">
        <v>287</v>
      </c>
      <c r="S17" s="405" t="s">
        <v>288</v>
      </c>
    </row>
    <row r="18" spans="1:20" ht="119.65" customHeight="1">
      <c r="A18" s="912"/>
      <c r="B18" s="940">
        <f>F18</f>
        <v>582400</v>
      </c>
      <c r="C18" s="948">
        <v>291200</v>
      </c>
      <c r="D18" s="960"/>
      <c r="E18" s="951">
        <f>C18/0.5*0.5</f>
        <v>291200</v>
      </c>
      <c r="F18" s="966">
        <f>C18+E18</f>
        <v>582400</v>
      </c>
      <c r="G18" s="966">
        <f>F18</f>
        <v>582400</v>
      </c>
      <c r="H18" s="201" t="s">
        <v>258</v>
      </c>
      <c r="I18" s="203" t="s">
        <v>259</v>
      </c>
      <c r="J18" s="952" t="s">
        <v>275</v>
      </c>
      <c r="K18" s="729"/>
      <c r="L18" s="205" t="s">
        <v>260</v>
      </c>
      <c r="M18" s="202" t="s">
        <v>238</v>
      </c>
      <c r="N18" s="397" t="s">
        <v>261</v>
      </c>
      <c r="O18" s="206">
        <f>P18*0.2</f>
        <v>80</v>
      </c>
      <c r="P18" s="206">
        <f>ROUND(30/2*40*0.667,0)</f>
        <v>400</v>
      </c>
      <c r="Q18" s="202" t="s">
        <v>157</v>
      </c>
      <c r="R18" s="937" t="s">
        <v>289</v>
      </c>
      <c r="S18" s="988" t="s">
        <v>290</v>
      </c>
    </row>
    <row r="19" spans="1:20" ht="175.9" customHeight="1">
      <c r="A19" s="912"/>
      <c r="B19" s="941"/>
      <c r="C19" s="949"/>
      <c r="D19" s="960"/>
      <c r="E19" s="951"/>
      <c r="F19" s="966"/>
      <c r="G19" s="966"/>
      <c r="H19" s="201" t="s">
        <v>264</v>
      </c>
      <c r="I19" s="203" t="s">
        <v>265</v>
      </c>
      <c r="J19" s="953"/>
      <c r="K19" s="729"/>
      <c r="L19" s="205" t="s">
        <v>266</v>
      </c>
      <c r="M19" s="202" t="s">
        <v>238</v>
      </c>
      <c r="N19" s="397" t="s">
        <v>261</v>
      </c>
      <c r="O19" s="206">
        <f>P19*0.2</f>
        <v>40</v>
      </c>
      <c r="P19" s="206">
        <f>ROUND(30/2*40*0.333,0)</f>
        <v>200</v>
      </c>
      <c r="Q19" s="202" t="s">
        <v>157</v>
      </c>
      <c r="R19" s="938"/>
      <c r="S19" s="989"/>
    </row>
    <row r="20" spans="1:20" ht="141.6" customHeight="1">
      <c r="A20" s="912"/>
      <c r="B20" s="941"/>
      <c r="C20" s="949"/>
      <c r="D20" s="960"/>
      <c r="E20" s="951"/>
      <c r="F20" s="966"/>
      <c r="G20" s="966"/>
      <c r="H20" s="201" t="s">
        <v>267</v>
      </c>
      <c r="I20" s="203" t="s">
        <v>268</v>
      </c>
      <c r="J20" s="953"/>
      <c r="K20" s="729"/>
      <c r="L20" s="205" t="s">
        <v>260</v>
      </c>
      <c r="M20" s="202" t="s">
        <v>238</v>
      </c>
      <c r="N20" s="397" t="s">
        <v>261</v>
      </c>
      <c r="O20" s="206" t="s">
        <v>127</v>
      </c>
      <c r="P20" s="206">
        <f>P18*0.8</f>
        <v>320</v>
      </c>
      <c r="Q20" s="202" t="s">
        <v>157</v>
      </c>
      <c r="R20" s="208" t="s">
        <v>291</v>
      </c>
      <c r="S20" s="405" t="s">
        <v>292</v>
      </c>
    </row>
    <row r="21" spans="1:20" ht="135.6" customHeight="1">
      <c r="A21" s="912"/>
      <c r="B21" s="942"/>
      <c r="C21" s="950"/>
      <c r="D21" s="961"/>
      <c r="E21" s="951"/>
      <c r="F21" s="966"/>
      <c r="G21" s="966"/>
      <c r="H21" s="201" t="s">
        <v>271</v>
      </c>
      <c r="I21" s="202" t="s">
        <v>272</v>
      </c>
      <c r="J21" s="954"/>
      <c r="K21" s="761"/>
      <c r="L21" s="205" t="s">
        <v>266</v>
      </c>
      <c r="M21" s="202" t="s">
        <v>238</v>
      </c>
      <c r="N21" s="397" t="s">
        <v>261</v>
      </c>
      <c r="O21" s="206" t="s">
        <v>127</v>
      </c>
      <c r="P21" s="206">
        <f>P19*0.8</f>
        <v>160</v>
      </c>
      <c r="Q21" s="202" t="s">
        <v>157</v>
      </c>
      <c r="R21" s="208" t="s">
        <v>293</v>
      </c>
      <c r="S21" s="405" t="s">
        <v>294</v>
      </c>
    </row>
    <row r="22" spans="1:20" ht="141" customHeight="1">
      <c r="A22" s="912"/>
      <c r="B22" s="969">
        <f>F22</f>
        <v>7013776.4705882352</v>
      </c>
      <c r="C22" s="970">
        <v>5961710</v>
      </c>
      <c r="D22" s="767" t="s">
        <v>295</v>
      </c>
      <c r="E22" s="969">
        <f>C22/0.85*0.15</f>
        <v>1052066.4705882352</v>
      </c>
      <c r="F22" s="970">
        <f>C22+E22</f>
        <v>7013776.4705882352</v>
      </c>
      <c r="G22" s="970">
        <f>F22</f>
        <v>7013776.4705882352</v>
      </c>
      <c r="H22" s="212" t="s">
        <v>258</v>
      </c>
      <c r="I22" s="213" t="s">
        <v>259</v>
      </c>
      <c r="J22" s="980" t="s">
        <v>153</v>
      </c>
      <c r="K22" s="762" t="s">
        <v>154</v>
      </c>
      <c r="L22" s="194" t="s">
        <v>260</v>
      </c>
      <c r="M22" s="199" t="s">
        <v>238</v>
      </c>
      <c r="N22" s="401" t="s">
        <v>261</v>
      </c>
      <c r="O22" s="214">
        <f>P22*0.2</f>
        <v>960</v>
      </c>
      <c r="P22" s="214">
        <v>4800</v>
      </c>
      <c r="Q22" s="199" t="s">
        <v>157</v>
      </c>
      <c r="R22" s="932" t="s">
        <v>296</v>
      </c>
      <c r="S22" s="988" t="s">
        <v>297</v>
      </c>
      <c r="T22" s="939"/>
    </row>
    <row r="23" spans="1:20" ht="184.15" customHeight="1">
      <c r="A23" s="912"/>
      <c r="B23" s="969"/>
      <c r="C23" s="970"/>
      <c r="D23" s="767"/>
      <c r="E23" s="969"/>
      <c r="F23" s="970"/>
      <c r="G23" s="970"/>
      <c r="H23" s="212" t="s">
        <v>264</v>
      </c>
      <c r="I23" s="213" t="s">
        <v>265</v>
      </c>
      <c r="J23" s="981"/>
      <c r="K23" s="729"/>
      <c r="L23" s="194" t="s">
        <v>266</v>
      </c>
      <c r="M23" s="199" t="s">
        <v>238</v>
      </c>
      <c r="N23" s="401" t="s">
        <v>261</v>
      </c>
      <c r="O23" s="214">
        <f>P23*0.2</f>
        <v>480</v>
      </c>
      <c r="P23" s="214">
        <v>2400</v>
      </c>
      <c r="Q23" s="199" t="s">
        <v>157</v>
      </c>
      <c r="R23" s="933"/>
      <c r="S23" s="989"/>
      <c r="T23" s="939"/>
    </row>
    <row r="24" spans="1:20" ht="133.9" customHeight="1">
      <c r="A24" s="912"/>
      <c r="B24" s="969"/>
      <c r="C24" s="970"/>
      <c r="D24" s="767"/>
      <c r="E24" s="969"/>
      <c r="F24" s="970"/>
      <c r="G24" s="970"/>
      <c r="H24" s="212" t="s">
        <v>267</v>
      </c>
      <c r="I24" s="213" t="s">
        <v>268</v>
      </c>
      <c r="J24" s="981"/>
      <c r="K24" s="729"/>
      <c r="L24" s="194" t="s">
        <v>260</v>
      </c>
      <c r="M24" s="199" t="s">
        <v>238</v>
      </c>
      <c r="N24" s="401" t="s">
        <v>261</v>
      </c>
      <c r="O24" s="214" t="s">
        <v>127</v>
      </c>
      <c r="P24" s="214">
        <f>P22*0.8</f>
        <v>3840</v>
      </c>
      <c r="Q24" s="199" t="s">
        <v>157</v>
      </c>
      <c r="R24" s="215" t="s">
        <v>298</v>
      </c>
      <c r="S24" s="405" t="s">
        <v>299</v>
      </c>
    </row>
    <row r="25" spans="1:20" ht="132" customHeight="1">
      <c r="A25" s="912"/>
      <c r="B25" s="969"/>
      <c r="C25" s="970"/>
      <c r="D25" s="767"/>
      <c r="E25" s="969"/>
      <c r="F25" s="970"/>
      <c r="G25" s="970"/>
      <c r="H25" s="212" t="s">
        <v>271</v>
      </c>
      <c r="I25" s="199" t="s">
        <v>272</v>
      </c>
      <c r="J25" s="981"/>
      <c r="K25" s="729"/>
      <c r="L25" s="194" t="s">
        <v>266</v>
      </c>
      <c r="M25" s="199" t="s">
        <v>238</v>
      </c>
      <c r="N25" s="401" t="s">
        <v>261</v>
      </c>
      <c r="O25" s="214" t="s">
        <v>127</v>
      </c>
      <c r="P25" s="214">
        <f>P23*0.8</f>
        <v>1920</v>
      </c>
      <c r="Q25" s="199" t="s">
        <v>157</v>
      </c>
      <c r="R25" s="215" t="s">
        <v>300</v>
      </c>
      <c r="S25" s="405" t="s">
        <v>301</v>
      </c>
    </row>
    <row r="26" spans="1:20" ht="125.65" customHeight="1">
      <c r="A26" s="912"/>
      <c r="B26" s="973">
        <f>F26</f>
        <v>581000</v>
      </c>
      <c r="C26" s="966">
        <v>290500</v>
      </c>
      <c r="D26" s="767"/>
      <c r="E26" s="951">
        <f>C26/0.5*0.5</f>
        <v>290500</v>
      </c>
      <c r="F26" s="966">
        <f>C26+E26</f>
        <v>581000</v>
      </c>
      <c r="G26" s="966">
        <f>F26</f>
        <v>581000</v>
      </c>
      <c r="H26" s="201" t="s">
        <v>258</v>
      </c>
      <c r="I26" s="202" t="s">
        <v>259</v>
      </c>
      <c r="J26" s="952" t="s">
        <v>275</v>
      </c>
      <c r="K26" s="729"/>
      <c r="L26" s="205" t="s">
        <v>260</v>
      </c>
      <c r="M26" s="202" t="s">
        <v>238</v>
      </c>
      <c r="N26" s="397" t="s">
        <v>261</v>
      </c>
      <c r="O26" s="206">
        <f>P26*0.2</f>
        <v>76.800000000000011</v>
      </c>
      <c r="P26" s="206">
        <f>ROUND(32/5*90*0.667,0)</f>
        <v>384</v>
      </c>
      <c r="Q26" s="202" t="s">
        <v>157</v>
      </c>
      <c r="R26" s="937" t="s">
        <v>302</v>
      </c>
      <c r="S26" s="988" t="s">
        <v>303</v>
      </c>
    </row>
    <row r="27" spans="1:20" ht="169.15" customHeight="1">
      <c r="A27" s="912"/>
      <c r="B27" s="973"/>
      <c r="C27" s="966"/>
      <c r="D27" s="767"/>
      <c r="E27" s="951"/>
      <c r="F27" s="966"/>
      <c r="G27" s="966"/>
      <c r="H27" s="201" t="s">
        <v>264</v>
      </c>
      <c r="I27" s="203" t="s">
        <v>265</v>
      </c>
      <c r="J27" s="953"/>
      <c r="K27" s="729"/>
      <c r="L27" s="205" t="s">
        <v>266</v>
      </c>
      <c r="M27" s="202" t="s">
        <v>238</v>
      </c>
      <c r="N27" s="397" t="s">
        <v>261</v>
      </c>
      <c r="O27" s="206">
        <f>P27*0.2</f>
        <v>38.400000000000006</v>
      </c>
      <c r="P27" s="206">
        <f>ROUND(32/5*90*0.333,0)</f>
        <v>192</v>
      </c>
      <c r="Q27" s="202" t="s">
        <v>157</v>
      </c>
      <c r="R27" s="938"/>
      <c r="S27" s="989"/>
    </row>
    <row r="28" spans="1:20" ht="131.65" customHeight="1">
      <c r="A28" s="912"/>
      <c r="B28" s="973"/>
      <c r="C28" s="966"/>
      <c r="D28" s="767"/>
      <c r="E28" s="951"/>
      <c r="F28" s="966"/>
      <c r="G28" s="966"/>
      <c r="H28" s="201" t="s">
        <v>267</v>
      </c>
      <c r="I28" s="203" t="s">
        <v>268</v>
      </c>
      <c r="J28" s="953"/>
      <c r="K28" s="729"/>
      <c r="L28" s="205" t="s">
        <v>260</v>
      </c>
      <c r="M28" s="202" t="s">
        <v>238</v>
      </c>
      <c r="N28" s="397" t="s">
        <v>261</v>
      </c>
      <c r="O28" s="206" t="s">
        <v>127</v>
      </c>
      <c r="P28" s="206">
        <f>ROUND(P26*0.8,0)</f>
        <v>307</v>
      </c>
      <c r="Q28" s="202" t="s">
        <v>157</v>
      </c>
      <c r="R28" s="208" t="s">
        <v>304</v>
      </c>
      <c r="S28" s="405" t="s">
        <v>305</v>
      </c>
    </row>
    <row r="29" spans="1:20" ht="134.65" customHeight="1" thickBot="1">
      <c r="A29" s="913"/>
      <c r="B29" s="974"/>
      <c r="C29" s="967"/>
      <c r="D29" s="978"/>
      <c r="E29" s="968"/>
      <c r="F29" s="967"/>
      <c r="G29" s="967"/>
      <c r="H29" s="226" t="s">
        <v>271</v>
      </c>
      <c r="I29" s="204" t="s">
        <v>272</v>
      </c>
      <c r="J29" s="979"/>
      <c r="K29" s="730"/>
      <c r="L29" s="227" t="s">
        <v>266</v>
      </c>
      <c r="M29" s="204" t="s">
        <v>238</v>
      </c>
      <c r="N29" s="402" t="s">
        <v>261</v>
      </c>
      <c r="O29" s="228" t="s">
        <v>127</v>
      </c>
      <c r="P29" s="228">
        <f>ROUND(P27*0.8,0)</f>
        <v>154</v>
      </c>
      <c r="Q29" s="204" t="s">
        <v>157</v>
      </c>
      <c r="R29" s="230" t="s">
        <v>306</v>
      </c>
      <c r="S29" s="405" t="s">
        <v>307</v>
      </c>
    </row>
    <row r="30" spans="1:20">
      <c r="A30" s="161"/>
      <c r="B30" s="76"/>
      <c r="C30" s="229">
        <f>C6+C10+C14+C18+C22+C26</f>
        <v>25000000</v>
      </c>
      <c r="D30" s="162"/>
      <c r="E30" s="163"/>
      <c r="F30" s="164"/>
      <c r="G30" s="161"/>
      <c r="H30" s="165"/>
      <c r="I30" s="127"/>
      <c r="J30" s="165"/>
      <c r="K30" s="166"/>
      <c r="L30" s="165"/>
      <c r="M30" s="165"/>
      <c r="N30" s="167"/>
      <c r="O30" s="165"/>
      <c r="P30" s="167"/>
      <c r="Q30" s="165"/>
    </row>
    <row r="31" spans="1:20">
      <c r="A31" s="161"/>
      <c r="B31" s="76"/>
      <c r="C31" s="168"/>
      <c r="D31" s="162"/>
      <c r="E31" s="163"/>
      <c r="F31" s="164"/>
      <c r="G31" s="161"/>
      <c r="H31" s="165"/>
      <c r="I31" s="127"/>
      <c r="J31" s="165"/>
      <c r="K31" s="166"/>
      <c r="L31" s="165"/>
      <c r="M31" s="165"/>
      <c r="N31" s="167"/>
      <c r="O31" s="165"/>
      <c r="P31" s="167"/>
      <c r="Q31" s="165"/>
    </row>
    <row r="32" spans="1:20">
      <c r="A32" s="161"/>
      <c r="B32" s="76" t="s">
        <v>308</v>
      </c>
      <c r="C32" s="238">
        <f>C6+C14+C22</f>
        <v>23830100</v>
      </c>
      <c r="D32" s="162"/>
      <c r="E32" s="163"/>
      <c r="F32" s="164"/>
      <c r="G32" s="161"/>
      <c r="H32" s="165"/>
      <c r="I32" s="127"/>
      <c r="J32" s="165"/>
      <c r="K32" s="166"/>
      <c r="L32" s="165"/>
      <c r="M32" s="165"/>
      <c r="N32" s="167"/>
      <c r="O32" s="165"/>
      <c r="P32" s="167"/>
      <c r="Q32" s="165"/>
    </row>
    <row r="33" spans="1:17">
      <c r="A33" s="161"/>
      <c r="B33" s="76"/>
      <c r="C33" s="238">
        <f>C10+C18+C26</f>
        <v>1169900</v>
      </c>
      <c r="D33" s="162"/>
      <c r="E33" s="163"/>
      <c r="F33" s="164"/>
      <c r="G33" s="161"/>
      <c r="H33" s="165"/>
      <c r="I33" s="127"/>
      <c r="J33" s="165"/>
      <c r="K33" s="166"/>
      <c r="L33" s="165"/>
      <c r="M33" s="165"/>
      <c r="N33" s="167"/>
      <c r="O33" s="165"/>
      <c r="P33" s="167"/>
      <c r="Q33" s="165"/>
    </row>
    <row r="34" spans="1:17">
      <c r="A34" s="161"/>
      <c r="B34" s="76"/>
      <c r="C34" s="238">
        <f>C32+C33</f>
        <v>25000000</v>
      </c>
      <c r="D34" s="162"/>
      <c r="E34" s="163"/>
      <c r="F34" s="164"/>
      <c r="G34" s="161"/>
      <c r="H34" s="165"/>
      <c r="I34" s="127"/>
      <c r="J34" s="165"/>
      <c r="K34" s="166"/>
      <c r="L34" s="165"/>
      <c r="M34" s="165"/>
      <c r="N34" s="167"/>
      <c r="O34" s="165"/>
      <c r="P34" s="167"/>
      <c r="Q34" s="165"/>
    </row>
    <row r="35" spans="1:17">
      <c r="A35" s="161"/>
      <c r="B35" s="76"/>
      <c r="C35" s="238"/>
      <c r="D35" s="162"/>
      <c r="E35" s="163"/>
      <c r="F35" s="164"/>
      <c r="G35" s="161"/>
      <c r="H35" s="165"/>
      <c r="I35" s="127"/>
      <c r="J35" s="165"/>
      <c r="K35" s="166"/>
      <c r="L35" s="165"/>
      <c r="M35" s="165"/>
      <c r="N35" s="167"/>
      <c r="O35" s="165"/>
      <c r="P35" s="167"/>
      <c r="Q35" s="165"/>
    </row>
    <row r="36" spans="1:17">
      <c r="A36" s="161"/>
      <c r="B36" s="76"/>
      <c r="C36" s="168"/>
      <c r="D36" s="162"/>
      <c r="E36" s="163"/>
      <c r="F36" s="164"/>
      <c r="G36" s="161"/>
      <c r="H36" s="165"/>
      <c r="I36" s="127"/>
      <c r="J36" s="165"/>
      <c r="K36" s="166"/>
      <c r="L36" s="165"/>
      <c r="M36" s="165"/>
      <c r="N36" s="167"/>
      <c r="O36" s="165"/>
      <c r="P36" s="167"/>
      <c r="Q36" s="165"/>
    </row>
    <row r="37" spans="1:17">
      <c r="A37" s="161"/>
      <c r="B37" s="76"/>
      <c r="C37" s="168"/>
      <c r="D37" s="162"/>
      <c r="E37" s="163"/>
      <c r="F37" s="164"/>
      <c r="G37" s="161"/>
      <c r="H37" s="165"/>
      <c r="I37" s="127"/>
      <c r="J37" s="165"/>
      <c r="K37" s="166"/>
      <c r="L37" s="165"/>
      <c r="M37" s="165"/>
      <c r="N37" s="167"/>
      <c r="O37" s="165"/>
      <c r="P37" s="167"/>
      <c r="Q37" s="165"/>
    </row>
    <row r="38" spans="1:17">
      <c r="A38" s="161"/>
      <c r="B38" s="76"/>
      <c r="C38" s="168"/>
      <c r="D38" s="162"/>
      <c r="E38" s="163"/>
      <c r="F38" s="164"/>
      <c r="G38" s="161"/>
      <c r="H38" s="165"/>
      <c r="I38" s="127"/>
      <c r="J38" s="165"/>
      <c r="K38" s="166"/>
      <c r="L38" s="165"/>
      <c r="M38" s="165"/>
      <c r="N38" s="167"/>
      <c r="O38" s="165"/>
      <c r="P38" s="167"/>
      <c r="Q38" s="165"/>
    </row>
    <row r="39" spans="1:17">
      <c r="A39" s="161"/>
      <c r="B39" s="76"/>
      <c r="C39" s="168"/>
      <c r="D39" s="162"/>
      <c r="E39" s="163"/>
      <c r="F39" s="164"/>
      <c r="G39" s="161"/>
      <c r="H39" s="165"/>
      <c r="I39" s="127"/>
      <c r="J39" s="165"/>
      <c r="K39" s="166"/>
      <c r="L39" s="165"/>
      <c r="M39" s="165"/>
      <c r="N39" s="167"/>
      <c r="O39" s="165"/>
      <c r="P39" s="167"/>
      <c r="Q39" s="165"/>
    </row>
    <row r="40" spans="1:17">
      <c r="A40" s="161"/>
      <c r="B40" s="76"/>
      <c r="C40" s="168"/>
      <c r="D40" s="162"/>
      <c r="E40" s="163"/>
      <c r="F40" s="164"/>
      <c r="G40" s="161" t="s">
        <v>309</v>
      </c>
      <c r="H40" s="165"/>
      <c r="I40" s="127"/>
      <c r="J40" s="165"/>
      <c r="K40" s="166"/>
      <c r="L40" s="165"/>
      <c r="M40" s="165"/>
      <c r="N40" s="167"/>
      <c r="O40" s="165"/>
      <c r="P40" s="167"/>
      <c r="Q40" s="165"/>
    </row>
    <row r="41" spans="1:17">
      <c r="A41" s="566" t="s">
        <v>11</v>
      </c>
      <c r="B41" s="567" t="s">
        <v>207</v>
      </c>
      <c r="C41" s="567" t="s">
        <v>310</v>
      </c>
      <c r="D41" s="568" t="s">
        <v>39</v>
      </c>
      <c r="E41" s="568" t="s">
        <v>48</v>
      </c>
      <c r="F41" s="568" t="s">
        <v>72</v>
      </c>
    </row>
    <row r="42" spans="1:17">
      <c r="A42" s="566" t="s">
        <v>311</v>
      </c>
      <c r="B42" s="123">
        <v>125080000</v>
      </c>
      <c r="C42" s="121">
        <f>SUM(B42:B42)</f>
        <v>125080000</v>
      </c>
      <c r="D42" s="112">
        <f>C30</f>
        <v>25000000</v>
      </c>
      <c r="F42" s="112" t="e">
        <f>#REF!</f>
        <v>#REF!</v>
      </c>
      <c r="G42" s="129" t="e">
        <f>D42+E42+F42</f>
        <v>#REF!</v>
      </c>
    </row>
    <row r="43" spans="1:17">
      <c r="A43" s="566" t="s">
        <v>312</v>
      </c>
      <c r="B43" s="569"/>
      <c r="C43" s="570"/>
    </row>
    <row r="44" spans="1:17">
      <c r="A44" s="566" t="s">
        <v>313</v>
      </c>
      <c r="B44" s="570"/>
      <c r="C44" s="570">
        <v>125000000</v>
      </c>
      <c r="D44" s="112">
        <f>C30</f>
        <v>25000000</v>
      </c>
      <c r="F44" s="112" t="e">
        <f>#REF!</f>
        <v>#REF!</v>
      </c>
    </row>
    <row r="45" spans="1:17">
      <c r="A45" s="566"/>
      <c r="B45" s="121"/>
      <c r="C45" s="121">
        <f>SUM(C43:C44)</f>
        <v>125000000</v>
      </c>
    </row>
    <row r="47" spans="1:17">
      <c r="A47" s="566" t="s">
        <v>17</v>
      </c>
      <c r="B47" s="566" t="s">
        <v>207</v>
      </c>
      <c r="C47" s="566" t="s">
        <v>310</v>
      </c>
    </row>
    <row r="48" spans="1:17">
      <c r="A48" s="566" t="s">
        <v>311</v>
      </c>
      <c r="B48" s="120">
        <v>401222250</v>
      </c>
      <c r="C48" s="121">
        <f>SUM(B48:B48)</f>
        <v>401222250</v>
      </c>
      <c r="E48" s="129">
        <f>'3.1.'!C34</f>
        <v>270441527</v>
      </c>
    </row>
    <row r="49" spans="1:9">
      <c r="A49" s="566" t="s">
        <v>196</v>
      </c>
      <c r="B49" s="570"/>
      <c r="C49" s="570">
        <v>401000000</v>
      </c>
    </row>
    <row r="50" spans="1:9">
      <c r="A50" s="566"/>
      <c r="B50" s="121"/>
      <c r="C50" s="121">
        <f>SUM(C49:C49)</f>
        <v>401000000</v>
      </c>
      <c r="I50" s="112"/>
    </row>
    <row r="51" spans="1:9">
      <c r="I51" s="112"/>
    </row>
    <row r="52" spans="1:9">
      <c r="I52" s="112"/>
    </row>
    <row r="53" spans="1:9" ht="45.75" thickBot="1">
      <c r="A53" s="14" t="s">
        <v>187</v>
      </c>
      <c r="B53" s="25" t="s">
        <v>188</v>
      </c>
      <c r="C53" s="14" t="s">
        <v>189</v>
      </c>
      <c r="D53" s="14" t="s">
        <v>190</v>
      </c>
      <c r="E53" s="14" t="s">
        <v>3</v>
      </c>
      <c r="F53" s="14" t="s">
        <v>2</v>
      </c>
      <c r="G53" s="14" t="s">
        <v>191</v>
      </c>
      <c r="H53" s="14" t="s">
        <v>192</v>
      </c>
      <c r="I53" s="182" t="s">
        <v>193</v>
      </c>
    </row>
    <row r="54" spans="1:9" ht="75.75" thickBot="1">
      <c r="A54" s="169" t="s">
        <v>258</v>
      </c>
      <c r="B54" s="132" t="s">
        <v>259</v>
      </c>
      <c r="C54" s="119" t="s">
        <v>260</v>
      </c>
      <c r="D54" s="137">
        <f>M6+M14+M22</f>
        <v>0</v>
      </c>
      <c r="E54" s="52" t="s">
        <v>153</v>
      </c>
      <c r="F54" s="171" t="s">
        <v>154</v>
      </c>
      <c r="G54" s="13">
        <v>2021</v>
      </c>
      <c r="H54" s="171">
        <f>O6+O14+O22</f>
        <v>3800</v>
      </c>
      <c r="I54" s="171">
        <f>P6+P14+P22</f>
        <v>19000</v>
      </c>
    </row>
    <row r="55" spans="1:9" ht="75">
      <c r="A55" s="169" t="s">
        <v>258</v>
      </c>
      <c r="B55" s="132" t="s">
        <v>259</v>
      </c>
      <c r="C55" s="119" t="s">
        <v>260</v>
      </c>
      <c r="D55" s="137">
        <f>M10+M18+M26</f>
        <v>0</v>
      </c>
      <c r="E55" s="52" t="s">
        <v>275</v>
      </c>
      <c r="F55" s="171" t="s">
        <v>154</v>
      </c>
      <c r="G55" s="13">
        <v>2021</v>
      </c>
      <c r="H55" s="128">
        <f>O10+O18+O26</f>
        <v>316.8</v>
      </c>
      <c r="I55" s="128">
        <f>P10+P18+P26</f>
        <v>1584</v>
      </c>
    </row>
    <row r="56" spans="1:9" ht="75">
      <c r="A56" s="116" t="s">
        <v>264</v>
      </c>
      <c r="B56" s="145" t="s">
        <v>265</v>
      </c>
      <c r="C56" s="172" t="s">
        <v>266</v>
      </c>
      <c r="D56" s="68">
        <f>M7+M15+M23</f>
        <v>0</v>
      </c>
      <c r="E56" s="52" t="s">
        <v>153</v>
      </c>
      <c r="F56" s="171" t="s">
        <v>154</v>
      </c>
      <c r="G56" s="13">
        <v>2021</v>
      </c>
      <c r="H56" s="171">
        <f>O7+O15+O23</f>
        <v>1890</v>
      </c>
      <c r="I56" s="171">
        <f>P7+P15+P23</f>
        <v>9450</v>
      </c>
    </row>
    <row r="57" spans="1:9" ht="75">
      <c r="A57" s="116" t="s">
        <v>264</v>
      </c>
      <c r="B57" s="145" t="s">
        <v>265</v>
      </c>
      <c r="C57" s="172" t="s">
        <v>266</v>
      </c>
      <c r="D57" s="68">
        <f>M11+M19+M27</f>
        <v>0</v>
      </c>
      <c r="E57" s="52" t="s">
        <v>275</v>
      </c>
      <c r="F57" s="171" t="s">
        <v>154</v>
      </c>
      <c r="G57" s="13">
        <v>2021</v>
      </c>
      <c r="H57" s="171">
        <f>O11+O19+O27</f>
        <v>158.4</v>
      </c>
      <c r="I57" s="128">
        <f>P11+P19+P27</f>
        <v>792</v>
      </c>
    </row>
    <row r="58" spans="1:9" ht="75">
      <c r="A58" s="170" t="s">
        <v>267</v>
      </c>
      <c r="B58" s="145" t="s">
        <v>268</v>
      </c>
      <c r="C58" s="133" t="s">
        <v>260</v>
      </c>
      <c r="D58" s="171">
        <f>M8+M16+M24</f>
        <v>0</v>
      </c>
      <c r="E58" s="52" t="s">
        <v>153</v>
      </c>
      <c r="F58" s="171" t="s">
        <v>154</v>
      </c>
      <c r="G58" s="13">
        <v>2021</v>
      </c>
      <c r="H58" s="171" t="s">
        <v>127</v>
      </c>
      <c r="I58" s="171">
        <f>P8+P16+P24</f>
        <v>15200</v>
      </c>
    </row>
    <row r="59" spans="1:9" ht="75">
      <c r="A59" s="170" t="s">
        <v>267</v>
      </c>
      <c r="B59" s="145" t="s">
        <v>268</v>
      </c>
      <c r="C59" s="133" t="s">
        <v>260</v>
      </c>
      <c r="D59" s="171">
        <f>M12+M20+M28</f>
        <v>0</v>
      </c>
      <c r="E59" s="52" t="s">
        <v>275</v>
      </c>
      <c r="F59" s="171" t="s">
        <v>154</v>
      </c>
      <c r="G59" s="13">
        <v>2021</v>
      </c>
      <c r="H59" s="171" t="s">
        <v>127</v>
      </c>
      <c r="I59" s="128">
        <f>P12+P20+P28</f>
        <v>1267</v>
      </c>
    </row>
    <row r="60" spans="1:9" ht="75.75" thickBot="1">
      <c r="A60" s="138" t="s">
        <v>271</v>
      </c>
      <c r="B60" s="134" t="s">
        <v>272</v>
      </c>
      <c r="C60" s="116" t="s">
        <v>266</v>
      </c>
      <c r="D60" s="171">
        <f>M9+M17+M25</f>
        <v>0</v>
      </c>
      <c r="E60" s="52" t="s">
        <v>153</v>
      </c>
      <c r="F60" s="13" t="s">
        <v>154</v>
      </c>
      <c r="G60" s="13">
        <v>2021</v>
      </c>
      <c r="H60" s="171" t="s">
        <v>127</v>
      </c>
      <c r="I60" s="171">
        <f>P9+P17+P25</f>
        <v>7560</v>
      </c>
    </row>
    <row r="61" spans="1:9" ht="75.75" thickBot="1">
      <c r="A61" s="138" t="s">
        <v>271</v>
      </c>
      <c r="B61" s="134" t="s">
        <v>272</v>
      </c>
      <c r="C61" s="116" t="s">
        <v>266</v>
      </c>
      <c r="D61" s="171">
        <f>M13+M21+M29</f>
        <v>0</v>
      </c>
      <c r="E61" s="52" t="s">
        <v>275</v>
      </c>
      <c r="F61" s="13" t="s">
        <v>154</v>
      </c>
      <c r="G61" s="13">
        <v>2021</v>
      </c>
      <c r="H61" s="171" t="s">
        <v>127</v>
      </c>
      <c r="I61" s="128">
        <f>P13+P21+P29</f>
        <v>634</v>
      </c>
    </row>
    <row r="62" spans="1:9">
      <c r="A62" s="3"/>
      <c r="B62" s="3"/>
      <c r="C62" s="3"/>
      <c r="D62" s="4"/>
      <c r="E62" s="3"/>
      <c r="F62" s="3"/>
      <c r="G62" s="3"/>
      <c r="H62" s="3"/>
      <c r="I62" s="4"/>
    </row>
    <row r="63" spans="1:9">
      <c r="A63" s="3"/>
      <c r="B63" s="3"/>
      <c r="C63" s="3"/>
      <c r="D63" s="4"/>
      <c r="E63" s="3"/>
      <c r="F63" s="3"/>
      <c r="G63" s="3"/>
      <c r="H63" s="3"/>
      <c r="I63" s="4"/>
    </row>
    <row r="64" spans="1:9">
      <c r="A64" s="3"/>
      <c r="B64" s="3"/>
      <c r="C64" s="3"/>
      <c r="D64" s="4"/>
      <c r="E64" s="3"/>
      <c r="F64" s="3"/>
      <c r="G64" s="3"/>
      <c r="H64" s="3"/>
      <c r="I64" s="4"/>
    </row>
    <row r="65" spans="1:9">
      <c r="A65" s="3"/>
      <c r="B65" s="3"/>
      <c r="C65" s="3"/>
      <c r="D65" s="4"/>
      <c r="E65" s="3"/>
      <c r="F65" s="3"/>
      <c r="G65" s="3"/>
      <c r="H65" s="3"/>
      <c r="I65" s="4"/>
    </row>
    <row r="66" spans="1:9">
      <c r="A66" s="3"/>
      <c r="B66" s="3"/>
      <c r="C66" s="3"/>
      <c r="D66" s="4"/>
      <c r="E66" s="3"/>
      <c r="F66" s="3"/>
      <c r="G66" s="3"/>
      <c r="H66" s="3"/>
      <c r="I66" s="4"/>
    </row>
    <row r="67" spans="1:9">
      <c r="A67" s="3"/>
      <c r="B67" s="3"/>
      <c r="C67" s="3"/>
      <c r="D67" s="4"/>
      <c r="E67" s="3"/>
      <c r="F67" s="3"/>
      <c r="G67" s="3"/>
      <c r="H67" s="3"/>
      <c r="I67" s="4"/>
    </row>
    <row r="68" spans="1:9">
      <c r="D68" s="112"/>
    </row>
  </sheetData>
  <mergeCells count="71">
    <mergeCell ref="R26:R27"/>
    <mergeCell ref="P4:P5"/>
    <mergeCell ref="K4:K5"/>
    <mergeCell ref="S10:S11"/>
    <mergeCell ref="S22:S23"/>
    <mergeCell ref="S26:S27"/>
    <mergeCell ref="Q4:Q5"/>
    <mergeCell ref="R4:R5"/>
    <mergeCell ref="K22:K29"/>
    <mergeCell ref="M4:N4"/>
    <mergeCell ref="O4:O5"/>
    <mergeCell ref="L4:L5"/>
    <mergeCell ref="K14:K21"/>
    <mergeCell ref="S6:S7"/>
    <mergeCell ref="S14:S15"/>
    <mergeCell ref="S18:S19"/>
    <mergeCell ref="D4:F4"/>
    <mergeCell ref="H4:I4"/>
    <mergeCell ref="J4:J5"/>
    <mergeCell ref="C22:C25"/>
    <mergeCell ref="D22:D29"/>
    <mergeCell ref="J26:J29"/>
    <mergeCell ref="J22:J25"/>
    <mergeCell ref="J6:J9"/>
    <mergeCell ref="J14:J17"/>
    <mergeCell ref="E18:E21"/>
    <mergeCell ref="F18:F21"/>
    <mergeCell ref="G18:G21"/>
    <mergeCell ref="J18:J21"/>
    <mergeCell ref="C18:C21"/>
    <mergeCell ref="G14:G17"/>
    <mergeCell ref="E14:E17"/>
    <mergeCell ref="A4:A5"/>
    <mergeCell ref="C4:C5"/>
    <mergeCell ref="G4:G5"/>
    <mergeCell ref="C26:C29"/>
    <mergeCell ref="E26:E29"/>
    <mergeCell ref="F26:F29"/>
    <mergeCell ref="G26:G29"/>
    <mergeCell ref="E22:E25"/>
    <mergeCell ref="F22:F25"/>
    <mergeCell ref="G22:G25"/>
    <mergeCell ref="A6:A29"/>
    <mergeCell ref="D6:D13"/>
    <mergeCell ref="E6:E9"/>
    <mergeCell ref="F6:F9"/>
    <mergeCell ref="B22:B25"/>
    <mergeCell ref="B26:B29"/>
    <mergeCell ref="F14:F17"/>
    <mergeCell ref="K6:K13"/>
    <mergeCell ref="C10:C13"/>
    <mergeCell ref="E10:E13"/>
    <mergeCell ref="F10:F13"/>
    <mergeCell ref="G10:G13"/>
    <mergeCell ref="J10:J13"/>
    <mergeCell ref="C6:C9"/>
    <mergeCell ref="C14:C17"/>
    <mergeCell ref="D14:D21"/>
    <mergeCell ref="G6:G9"/>
    <mergeCell ref="B4:B5"/>
    <mergeCell ref="B10:B13"/>
    <mergeCell ref="B14:B17"/>
    <mergeCell ref="B18:B21"/>
    <mergeCell ref="B6:B9"/>
    <mergeCell ref="T6:T7"/>
    <mergeCell ref="R22:R23"/>
    <mergeCell ref="R10:R11"/>
    <mergeCell ref="R6:R7"/>
    <mergeCell ref="R14:R15"/>
    <mergeCell ref="R18:R19"/>
    <mergeCell ref="T22:T2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59"/>
  <sheetViews>
    <sheetView tabSelected="1" topLeftCell="A41" zoomScale="70" zoomScaleNormal="70" workbookViewId="0">
      <selection activeCell="I56" sqref="I56"/>
    </sheetView>
  </sheetViews>
  <sheetFormatPr defaultColWidth="9.140625" defaultRowHeight="15"/>
  <cols>
    <col min="1" max="1" width="22.5703125" customWidth="1"/>
    <col min="2" max="2" width="26" customWidth="1"/>
    <col min="3" max="3" width="19" bestFit="1" customWidth="1"/>
    <col min="4" max="4" width="24.140625" customWidth="1"/>
    <col min="5" max="5" width="16.85546875" bestFit="1" customWidth="1"/>
    <col min="6" max="6" width="14" bestFit="1" customWidth="1"/>
    <col min="7" max="7" width="25.7109375" customWidth="1"/>
    <col min="8" max="8" width="14.7109375" bestFit="1" customWidth="1"/>
    <col min="9" max="9" width="35.7109375" bestFit="1" customWidth="1"/>
    <col min="10" max="10" width="17.5703125" bestFit="1" customWidth="1"/>
    <col min="11" max="11" width="9.140625" customWidth="1"/>
    <col min="12" max="12" width="17.28515625" bestFit="1" customWidth="1"/>
    <col min="13" max="13" width="14.28515625" bestFit="1" customWidth="1"/>
    <col min="14" max="14" width="7.85546875" customWidth="1"/>
    <col min="15" max="15" width="14.7109375" bestFit="1" customWidth="1"/>
    <col min="16" max="16" width="14.28515625" bestFit="1" customWidth="1"/>
    <col min="17" max="17" width="18.85546875" bestFit="1" customWidth="1"/>
    <col min="18" max="18" width="130.7109375" style="489" customWidth="1"/>
    <col min="19" max="20" width="130.7109375" style="81" hidden="1" customWidth="1"/>
    <col min="21" max="21" width="130.7109375" style="81" customWidth="1"/>
    <col min="22" max="22" width="47" style="81" customWidth="1"/>
    <col min="23" max="23" width="27" style="252" customWidth="1"/>
    <col min="24" max="24" width="13.140625" customWidth="1"/>
  </cols>
  <sheetData>
    <row r="1" spans="1:32">
      <c r="A1" s="450" t="s">
        <v>314</v>
      </c>
      <c r="G1" s="200"/>
    </row>
    <row r="2" spans="1:32">
      <c r="A2" t="s">
        <v>315</v>
      </c>
      <c r="B2" s="450"/>
      <c r="C2" s="450"/>
      <c r="D2" s="450"/>
      <c r="E2" s="450"/>
      <c r="F2" s="450"/>
    </row>
    <row r="3" spans="1:32" ht="15.75" thickBot="1">
      <c r="A3" t="s">
        <v>316</v>
      </c>
      <c r="R3" s="607"/>
      <c r="S3" s="501"/>
      <c r="T3" s="501"/>
      <c r="U3" s="501"/>
      <c r="V3" s="501"/>
    </row>
    <row r="4" spans="1:32">
      <c r="A4" s="1033" t="s">
        <v>100</v>
      </c>
      <c r="B4" s="1003" t="s">
        <v>101</v>
      </c>
      <c r="C4" s="1035" t="s">
        <v>102</v>
      </c>
      <c r="D4" s="1043" t="s">
        <v>103</v>
      </c>
      <c r="E4" s="1009"/>
      <c r="F4" s="1009"/>
      <c r="G4" s="1037" t="s">
        <v>317</v>
      </c>
      <c r="H4" s="1017" t="s">
        <v>105</v>
      </c>
      <c r="I4" s="1017"/>
      <c r="J4" s="1003" t="s">
        <v>106</v>
      </c>
      <c r="K4" s="1005" t="s">
        <v>107</v>
      </c>
      <c r="L4" s="1003" t="s">
        <v>108</v>
      </c>
      <c r="M4" s="1009" t="s">
        <v>109</v>
      </c>
      <c r="N4" s="1010"/>
      <c r="O4" s="1003" t="s">
        <v>110</v>
      </c>
      <c r="P4" s="1003" t="s">
        <v>318</v>
      </c>
      <c r="Q4" s="1013" t="s">
        <v>112</v>
      </c>
      <c r="R4" s="995" t="s">
        <v>113</v>
      </c>
      <c r="S4" s="997" t="s">
        <v>319</v>
      </c>
      <c r="T4" s="997" t="s">
        <v>320</v>
      </c>
      <c r="U4" s="1011" t="s">
        <v>321</v>
      </c>
      <c r="V4" s="995" t="s">
        <v>322</v>
      </c>
      <c r="W4" s="993" t="s">
        <v>322</v>
      </c>
    </row>
    <row r="5" spans="1:32" ht="45.75" thickBot="1">
      <c r="A5" s="1034"/>
      <c r="B5" s="1004"/>
      <c r="C5" s="1036"/>
      <c r="D5" s="502" t="s">
        <v>114</v>
      </c>
      <c r="E5" s="503" t="s">
        <v>115</v>
      </c>
      <c r="F5" s="504" t="s">
        <v>116</v>
      </c>
      <c r="G5" s="1038"/>
      <c r="H5" s="505" t="s">
        <v>117</v>
      </c>
      <c r="I5" s="506" t="s">
        <v>118</v>
      </c>
      <c r="J5" s="1004"/>
      <c r="K5" s="1006"/>
      <c r="L5" s="1004"/>
      <c r="M5" s="491" t="s">
        <v>323</v>
      </c>
      <c r="N5" s="491" t="s">
        <v>256</v>
      </c>
      <c r="O5" s="1004"/>
      <c r="P5" s="1004"/>
      <c r="Q5" s="1014"/>
      <c r="R5" s="996"/>
      <c r="S5" s="998"/>
      <c r="T5" s="998"/>
      <c r="U5" s="1012"/>
      <c r="V5" s="996"/>
      <c r="W5" s="994"/>
    </row>
    <row r="6" spans="1:32" s="508" customFormat="1" ht="409.5">
      <c r="A6" s="1039" t="s">
        <v>324</v>
      </c>
      <c r="B6" s="1007">
        <f>F6+F13+F17</f>
        <v>167948688.42105263</v>
      </c>
      <c r="C6" s="1007">
        <v>142906390</v>
      </c>
      <c r="D6" s="1028" t="s">
        <v>325</v>
      </c>
      <c r="E6" s="1007">
        <f>C6/0.95*0.05</f>
        <v>7521388.9473684207</v>
      </c>
      <c r="F6" s="1007">
        <f>C6+E6</f>
        <v>150427778.94736841</v>
      </c>
      <c r="G6" s="1007">
        <f>82500000*100/85</f>
        <v>97058823.529411763</v>
      </c>
      <c r="H6" s="475" t="s">
        <v>326</v>
      </c>
      <c r="I6" s="471" t="s">
        <v>327</v>
      </c>
      <c r="J6" s="1015" t="s">
        <v>125</v>
      </c>
      <c r="K6" s="1015" t="s">
        <v>163</v>
      </c>
      <c r="L6" s="471" t="s">
        <v>328</v>
      </c>
      <c r="M6" s="471" t="s">
        <v>238</v>
      </c>
      <c r="N6" s="471" t="s">
        <v>127</v>
      </c>
      <c r="O6" s="487">
        <v>0</v>
      </c>
      <c r="P6" s="487">
        <v>321</v>
      </c>
      <c r="Q6" s="583" t="s">
        <v>329</v>
      </c>
      <c r="R6" s="604" t="s">
        <v>330</v>
      </c>
      <c r="S6" s="605" t="s">
        <v>331</v>
      </c>
      <c r="T6" s="605"/>
      <c r="U6" s="605"/>
      <c r="V6" s="606"/>
      <c r="W6" s="642" t="s">
        <v>518</v>
      </c>
      <c r="X6" s="507"/>
      <c r="Y6" s="507"/>
      <c r="Z6" s="507"/>
      <c r="AA6" s="507"/>
      <c r="AB6" s="507"/>
      <c r="AC6" s="507"/>
      <c r="AD6" s="507"/>
      <c r="AE6" s="507"/>
      <c r="AF6" s="507"/>
    </row>
    <row r="7" spans="1:32" s="508" customFormat="1" ht="240">
      <c r="A7" s="1040"/>
      <c r="B7" s="1008"/>
      <c r="C7" s="1008"/>
      <c r="D7" s="1029"/>
      <c r="E7" s="1008"/>
      <c r="F7" s="1008"/>
      <c r="G7" s="1008"/>
      <c r="H7" s="437" t="s">
        <v>140</v>
      </c>
      <c r="I7" s="437" t="s">
        <v>332</v>
      </c>
      <c r="J7" s="1016"/>
      <c r="K7" s="1016"/>
      <c r="L7" s="437" t="s">
        <v>222</v>
      </c>
      <c r="M7" s="462">
        <v>19000</v>
      </c>
      <c r="N7" s="437" t="s">
        <v>333</v>
      </c>
      <c r="O7" s="462" t="s">
        <v>127</v>
      </c>
      <c r="P7" s="462">
        <v>0</v>
      </c>
      <c r="Q7" s="584" t="s">
        <v>329</v>
      </c>
      <c r="R7" s="592" t="s">
        <v>334</v>
      </c>
      <c r="S7" s="592"/>
      <c r="T7" s="592"/>
      <c r="U7" s="592"/>
      <c r="V7" s="592"/>
      <c r="W7" s="643"/>
      <c r="X7" s="507"/>
      <c r="Y7" s="507"/>
      <c r="Z7" s="507"/>
      <c r="AA7" s="507"/>
      <c r="AB7" s="507"/>
      <c r="AC7" s="507"/>
      <c r="AD7" s="507"/>
      <c r="AE7" s="507"/>
      <c r="AF7" s="507"/>
    </row>
    <row r="8" spans="1:32" s="508" customFormat="1" ht="409.5">
      <c r="A8" s="1040"/>
      <c r="B8" s="1008"/>
      <c r="C8" s="1008"/>
      <c r="D8" s="1029"/>
      <c r="E8" s="1008"/>
      <c r="F8" s="1008"/>
      <c r="G8" s="1008">
        <f>30929518*100/85</f>
        <v>36387668.235294119</v>
      </c>
      <c r="H8" s="437" t="s">
        <v>335</v>
      </c>
      <c r="I8" s="437" t="s">
        <v>336</v>
      </c>
      <c r="J8" s="1016"/>
      <c r="K8" s="1016"/>
      <c r="L8" s="437" t="s">
        <v>173</v>
      </c>
      <c r="M8" s="462">
        <v>0</v>
      </c>
      <c r="N8" s="437" t="s">
        <v>127</v>
      </c>
      <c r="O8" s="462">
        <v>0</v>
      </c>
      <c r="P8" s="462">
        <v>32</v>
      </c>
      <c r="Q8" s="584" t="s">
        <v>329</v>
      </c>
      <c r="R8" s="592" t="s">
        <v>337</v>
      </c>
      <c r="S8" s="509" t="s">
        <v>338</v>
      </c>
      <c r="T8" s="509" t="s">
        <v>339</v>
      </c>
      <c r="U8" s="509"/>
      <c r="V8" s="500"/>
      <c r="W8" s="644"/>
      <c r="X8" s="507"/>
      <c r="Y8" s="507"/>
      <c r="Z8" s="507"/>
      <c r="AA8" s="507"/>
      <c r="AB8" s="507"/>
      <c r="AC8" s="507"/>
      <c r="AD8" s="507"/>
      <c r="AE8" s="507"/>
      <c r="AF8" s="507"/>
    </row>
    <row r="9" spans="1:32" s="508" customFormat="1" ht="120">
      <c r="A9" s="1040"/>
      <c r="B9" s="1008"/>
      <c r="C9" s="1008"/>
      <c r="D9" s="1029"/>
      <c r="E9" s="1008"/>
      <c r="F9" s="1008"/>
      <c r="G9" s="1008"/>
      <c r="H9" s="472" t="s">
        <v>340</v>
      </c>
      <c r="I9" s="437" t="s">
        <v>341</v>
      </c>
      <c r="J9" s="1016"/>
      <c r="K9" s="1016"/>
      <c r="L9" s="437" t="s">
        <v>342</v>
      </c>
      <c r="M9" s="462">
        <v>0</v>
      </c>
      <c r="N9" s="437" t="s">
        <v>343</v>
      </c>
      <c r="O9" s="462" t="s">
        <v>127</v>
      </c>
      <c r="P9" s="492">
        <v>61.5</v>
      </c>
      <c r="Q9" s="585" t="s">
        <v>344</v>
      </c>
      <c r="R9" s="592" t="s">
        <v>345</v>
      </c>
      <c r="S9" s="509" t="s">
        <v>346</v>
      </c>
      <c r="T9" s="510" t="s">
        <v>347</v>
      </c>
      <c r="U9" s="593"/>
      <c r="V9" s="500"/>
      <c r="W9" s="645"/>
      <c r="X9" s="507"/>
      <c r="Y9" s="507"/>
      <c r="Z9" s="507"/>
      <c r="AA9" s="507"/>
      <c r="AB9" s="507"/>
      <c r="AC9" s="507"/>
      <c r="AD9" s="507"/>
      <c r="AE9" s="507"/>
      <c r="AF9" s="507"/>
    </row>
    <row r="10" spans="1:32" s="508" customFormat="1" ht="409.5">
      <c r="A10" s="1040"/>
      <c r="B10" s="1008"/>
      <c r="C10" s="1008"/>
      <c r="D10" s="1029"/>
      <c r="E10" s="1008"/>
      <c r="F10" s="1008"/>
      <c r="G10" s="1008">
        <f>21372787*100/85</f>
        <v>25144455.294117648</v>
      </c>
      <c r="H10" s="437" t="s">
        <v>335</v>
      </c>
      <c r="I10" s="468" t="s">
        <v>348</v>
      </c>
      <c r="J10" s="1016"/>
      <c r="K10" s="1016"/>
      <c r="L10" s="437" t="s">
        <v>173</v>
      </c>
      <c r="M10" s="462">
        <v>0</v>
      </c>
      <c r="N10" s="472" t="s">
        <v>127</v>
      </c>
      <c r="O10" s="462">
        <v>13</v>
      </c>
      <c r="P10" s="457">
        <v>25</v>
      </c>
      <c r="Q10" s="584" t="s">
        <v>329</v>
      </c>
      <c r="R10" s="594" t="s">
        <v>349</v>
      </c>
      <c r="S10" s="595" t="s">
        <v>350</v>
      </c>
      <c r="T10" s="511" t="s">
        <v>351</v>
      </c>
      <c r="U10" s="511"/>
      <c r="V10" s="596"/>
      <c r="W10" s="599"/>
      <c r="X10" s="507"/>
      <c r="Y10" s="507"/>
      <c r="Z10" s="507"/>
      <c r="AA10" s="507"/>
      <c r="AB10" s="507"/>
      <c r="AC10" s="507"/>
      <c r="AD10" s="507"/>
      <c r="AE10" s="507"/>
      <c r="AF10" s="507"/>
    </row>
    <row r="11" spans="1:32" s="508" customFormat="1" ht="120">
      <c r="A11" s="1040"/>
      <c r="B11" s="1008"/>
      <c r="C11" s="1008"/>
      <c r="D11" s="1029"/>
      <c r="E11" s="1008"/>
      <c r="F11" s="1008"/>
      <c r="G11" s="1008"/>
      <c r="H11" s="472" t="s">
        <v>340</v>
      </c>
      <c r="I11" s="468" t="s">
        <v>352</v>
      </c>
      <c r="J11" s="1016"/>
      <c r="K11" s="1016"/>
      <c r="L11" s="499" t="s">
        <v>353</v>
      </c>
      <c r="M11" s="458">
        <v>1</v>
      </c>
      <c r="N11" s="472">
        <v>2020</v>
      </c>
      <c r="O11" s="472" t="s">
        <v>127</v>
      </c>
      <c r="P11" s="458">
        <v>0</v>
      </c>
      <c r="Q11" s="585" t="s">
        <v>344</v>
      </c>
      <c r="R11" s="592" t="s">
        <v>354</v>
      </c>
      <c r="S11" s="509" t="s">
        <v>355</v>
      </c>
      <c r="T11" s="509"/>
      <c r="U11" s="509"/>
      <c r="V11" s="592"/>
      <c r="W11" s="645"/>
      <c r="X11" s="507"/>
      <c r="Y11" s="507"/>
      <c r="Z11" s="507"/>
      <c r="AA11" s="507"/>
      <c r="AB11" s="507"/>
      <c r="AC11" s="507"/>
      <c r="AD11" s="507"/>
      <c r="AE11" s="507"/>
      <c r="AF11" s="507"/>
    </row>
    <row r="12" spans="1:32" s="508" customFormat="1" ht="150">
      <c r="A12" s="1040"/>
      <c r="B12" s="1008"/>
      <c r="C12" s="1008"/>
      <c r="D12" s="1029"/>
      <c r="E12" s="1008"/>
      <c r="F12" s="1008"/>
      <c r="G12" s="1008"/>
      <c r="H12" s="472" t="s">
        <v>356</v>
      </c>
      <c r="I12" s="468" t="s">
        <v>357</v>
      </c>
      <c r="J12" s="1016"/>
      <c r="K12" s="1016"/>
      <c r="L12" s="499" t="s">
        <v>342</v>
      </c>
      <c r="M12" s="458">
        <v>100</v>
      </c>
      <c r="N12" s="472">
        <v>2020</v>
      </c>
      <c r="O12" s="472" t="s">
        <v>127</v>
      </c>
      <c r="P12" s="458">
        <v>69</v>
      </c>
      <c r="Q12" s="584" t="s">
        <v>329</v>
      </c>
      <c r="R12" s="592" t="s">
        <v>358</v>
      </c>
      <c r="S12" s="512"/>
      <c r="T12" s="509"/>
      <c r="U12" s="512"/>
      <c r="V12" s="592"/>
      <c r="W12" s="645"/>
      <c r="X12" s="507"/>
      <c r="Y12" s="507"/>
      <c r="Z12" s="507"/>
      <c r="AA12" s="507"/>
      <c r="AB12" s="507"/>
      <c r="AC12" s="507"/>
      <c r="AD12" s="507"/>
      <c r="AE12" s="507"/>
      <c r="AF12" s="507"/>
    </row>
    <row r="13" spans="1:32" s="508" customFormat="1" ht="90">
      <c r="A13" s="1040"/>
      <c r="B13" s="1008"/>
      <c r="C13" s="999">
        <v>13744864</v>
      </c>
      <c r="D13" s="1001" t="s">
        <v>359</v>
      </c>
      <c r="E13" s="999">
        <f>C13/0.95*0.05</f>
        <v>723413.89473684225</v>
      </c>
      <c r="F13" s="999">
        <f>C13+E13</f>
        <v>14468277.894736841</v>
      </c>
      <c r="G13" s="999">
        <f>4946128*100/85</f>
        <v>5818974.1176470593</v>
      </c>
      <c r="H13" s="472" t="s">
        <v>335</v>
      </c>
      <c r="I13" s="468" t="s">
        <v>348</v>
      </c>
      <c r="J13" s="1001" t="s">
        <v>125</v>
      </c>
      <c r="K13" s="1001" t="s">
        <v>163</v>
      </c>
      <c r="L13" s="437" t="s">
        <v>173</v>
      </c>
      <c r="M13" s="462">
        <v>0</v>
      </c>
      <c r="N13" s="472" t="s">
        <v>127</v>
      </c>
      <c r="O13" s="462">
        <v>0</v>
      </c>
      <c r="P13" s="457">
        <v>12</v>
      </c>
      <c r="Q13" s="585" t="s">
        <v>329</v>
      </c>
      <c r="R13" s="592"/>
      <c r="S13" s="513" t="s">
        <v>360</v>
      </c>
      <c r="T13" s="513"/>
      <c r="U13" s="513"/>
      <c r="V13" s="596"/>
      <c r="W13" s="512"/>
      <c r="X13" s="507"/>
      <c r="Y13" s="507"/>
      <c r="Z13" s="507"/>
      <c r="AA13" s="507"/>
      <c r="AB13" s="507"/>
      <c r="AC13" s="507"/>
      <c r="AD13" s="507"/>
      <c r="AE13" s="507"/>
      <c r="AF13" s="507"/>
    </row>
    <row r="14" spans="1:32" s="508" customFormat="1" ht="105">
      <c r="A14" s="1040"/>
      <c r="B14" s="1008"/>
      <c r="C14" s="1030"/>
      <c r="D14" s="1022"/>
      <c r="E14" s="1030"/>
      <c r="F14" s="1030"/>
      <c r="G14" s="1000"/>
      <c r="H14" s="472" t="s">
        <v>340</v>
      </c>
      <c r="I14" s="468" t="s">
        <v>352</v>
      </c>
      <c r="J14" s="1022"/>
      <c r="K14" s="1022"/>
      <c r="L14" s="499" t="s">
        <v>353</v>
      </c>
      <c r="M14" s="458">
        <v>1</v>
      </c>
      <c r="N14" s="472">
        <v>2020</v>
      </c>
      <c r="O14" s="472" t="s">
        <v>127</v>
      </c>
      <c r="P14" s="458">
        <v>0</v>
      </c>
      <c r="Q14" s="585" t="s">
        <v>344</v>
      </c>
      <c r="R14" s="592"/>
      <c r="S14" s="514" t="s">
        <v>361</v>
      </c>
      <c r="T14" s="514"/>
      <c r="U14" s="515"/>
      <c r="V14" s="597"/>
      <c r="W14" s="645"/>
      <c r="X14" s="507"/>
      <c r="Y14" s="507"/>
      <c r="Z14" s="507"/>
      <c r="AA14" s="507"/>
      <c r="AB14" s="507"/>
      <c r="AC14" s="507"/>
      <c r="AD14" s="507"/>
      <c r="AE14" s="507"/>
      <c r="AF14" s="507"/>
    </row>
    <row r="15" spans="1:32" s="508" customFormat="1" ht="409.5">
      <c r="A15" s="1040"/>
      <c r="B15" s="1008"/>
      <c r="C15" s="1030"/>
      <c r="D15" s="1022"/>
      <c r="E15" s="1030"/>
      <c r="F15" s="1030"/>
      <c r="G15" s="1008">
        <f>8798736*100/85</f>
        <v>10351454.117647059</v>
      </c>
      <c r="H15" s="437" t="s">
        <v>335</v>
      </c>
      <c r="I15" s="437" t="s">
        <v>336</v>
      </c>
      <c r="J15" s="1022"/>
      <c r="K15" s="1022"/>
      <c r="L15" s="499" t="s">
        <v>173</v>
      </c>
      <c r="M15" s="458">
        <v>0</v>
      </c>
      <c r="N15" s="472" t="s">
        <v>127</v>
      </c>
      <c r="O15" s="472">
        <v>0</v>
      </c>
      <c r="P15" s="458">
        <v>20</v>
      </c>
      <c r="Q15" s="584" t="s">
        <v>329</v>
      </c>
      <c r="R15" s="592" t="s">
        <v>362</v>
      </c>
      <c r="S15" s="509" t="s">
        <v>363</v>
      </c>
      <c r="T15" s="509" t="s">
        <v>364</v>
      </c>
      <c r="U15" s="509"/>
      <c r="V15" s="592"/>
      <c r="W15" s="645"/>
      <c r="X15" s="507"/>
      <c r="Y15" s="507"/>
      <c r="Z15" s="507"/>
      <c r="AA15" s="507"/>
      <c r="AB15" s="507"/>
      <c r="AC15" s="507"/>
      <c r="AD15" s="507"/>
      <c r="AE15" s="507"/>
      <c r="AF15" s="507"/>
    </row>
    <row r="16" spans="1:32" s="508" customFormat="1" ht="120">
      <c r="A16" s="1040"/>
      <c r="B16" s="1008"/>
      <c r="C16" s="1000"/>
      <c r="D16" s="1002"/>
      <c r="E16" s="1000"/>
      <c r="F16" s="1000"/>
      <c r="G16" s="1008"/>
      <c r="H16" s="472" t="s">
        <v>340</v>
      </c>
      <c r="I16" s="437" t="s">
        <v>341</v>
      </c>
      <c r="J16" s="1002"/>
      <c r="K16" s="1002"/>
      <c r="L16" s="499" t="s">
        <v>342</v>
      </c>
      <c r="M16" s="458">
        <v>0</v>
      </c>
      <c r="N16" s="472">
        <v>2024</v>
      </c>
      <c r="O16" s="472" t="s">
        <v>127</v>
      </c>
      <c r="P16" s="493">
        <v>38.5</v>
      </c>
      <c r="Q16" s="584" t="s">
        <v>344</v>
      </c>
      <c r="R16" s="592" t="s">
        <v>365</v>
      </c>
      <c r="S16" s="509" t="s">
        <v>366</v>
      </c>
      <c r="T16" s="509" t="s">
        <v>367</v>
      </c>
      <c r="U16" s="598"/>
      <c r="V16" s="592"/>
      <c r="W16" s="512"/>
      <c r="X16" s="507"/>
      <c r="Y16" s="507"/>
      <c r="Z16" s="507"/>
      <c r="AA16" s="507"/>
      <c r="AB16" s="507"/>
      <c r="AC16" s="507"/>
      <c r="AD16" s="507"/>
      <c r="AE16" s="507"/>
      <c r="AF16" s="507"/>
    </row>
    <row r="17" spans="1:32" s="508" customFormat="1" ht="75">
      <c r="A17" s="1040"/>
      <c r="B17" s="1008"/>
      <c r="C17" s="999">
        <v>2900000</v>
      </c>
      <c r="D17" s="1001" t="s">
        <v>368</v>
      </c>
      <c r="E17" s="999">
        <f>C17/0.95*0.05</f>
        <v>152631.57894736843</v>
      </c>
      <c r="F17" s="999">
        <f>C17+E17</f>
        <v>3052631.5789473685</v>
      </c>
      <c r="G17" s="999">
        <f>F17</f>
        <v>3052631.5789473685</v>
      </c>
      <c r="H17" s="472" t="s">
        <v>151</v>
      </c>
      <c r="I17" s="437" t="s">
        <v>369</v>
      </c>
      <c r="J17" s="1001" t="s">
        <v>125</v>
      </c>
      <c r="K17" s="1001" t="s">
        <v>163</v>
      </c>
      <c r="L17" s="499" t="s">
        <v>173</v>
      </c>
      <c r="M17" s="458">
        <v>0</v>
      </c>
      <c r="N17" s="472" t="s">
        <v>127</v>
      </c>
      <c r="O17" s="472">
        <v>0</v>
      </c>
      <c r="P17" s="458">
        <v>1</v>
      </c>
      <c r="Q17" s="585" t="s">
        <v>329</v>
      </c>
      <c r="R17" s="592"/>
      <c r="S17" s="509" t="s">
        <v>370</v>
      </c>
      <c r="T17" s="509"/>
      <c r="U17" s="598"/>
      <c r="V17" s="512"/>
      <c r="W17" s="645"/>
      <c r="X17" s="507"/>
      <c r="Y17" s="507"/>
      <c r="Z17" s="507"/>
      <c r="AA17" s="507"/>
      <c r="AB17" s="507"/>
      <c r="AC17" s="507"/>
      <c r="AD17" s="507"/>
      <c r="AE17" s="507"/>
      <c r="AF17" s="507"/>
    </row>
    <row r="18" spans="1:32" s="508" customFormat="1" ht="225">
      <c r="A18" s="1040"/>
      <c r="B18" s="1008"/>
      <c r="C18" s="1000"/>
      <c r="D18" s="1002"/>
      <c r="E18" s="1000"/>
      <c r="F18" s="1000"/>
      <c r="G18" s="1000"/>
      <c r="H18" s="472" t="s">
        <v>140</v>
      </c>
      <c r="I18" s="437" t="s">
        <v>332</v>
      </c>
      <c r="J18" s="1002"/>
      <c r="K18" s="1002"/>
      <c r="L18" s="499" t="s">
        <v>222</v>
      </c>
      <c r="M18" s="494">
        <v>11910</v>
      </c>
      <c r="N18" s="472" t="s">
        <v>333</v>
      </c>
      <c r="O18" s="472" t="s">
        <v>127</v>
      </c>
      <c r="P18" s="494">
        <v>6900</v>
      </c>
      <c r="Q18" s="585" t="s">
        <v>329</v>
      </c>
      <c r="R18" s="592"/>
      <c r="S18" s="509" t="s">
        <v>371</v>
      </c>
      <c r="T18" s="509"/>
      <c r="U18" s="598"/>
      <c r="V18" s="599"/>
      <c r="W18" s="645"/>
      <c r="X18" s="507"/>
      <c r="Y18" s="507"/>
      <c r="Z18" s="507"/>
      <c r="AA18" s="507"/>
      <c r="AB18" s="507"/>
      <c r="AC18" s="507"/>
      <c r="AD18" s="507"/>
      <c r="AE18" s="507"/>
      <c r="AF18" s="507"/>
    </row>
    <row r="19" spans="1:32" s="508" customFormat="1" ht="390">
      <c r="A19" s="1040"/>
      <c r="B19" s="1008"/>
      <c r="C19" s="1008">
        <v>0</v>
      </c>
      <c r="D19" s="1018" t="s">
        <v>372</v>
      </c>
      <c r="E19" s="1008">
        <f>C19/0.95*0.05</f>
        <v>0</v>
      </c>
      <c r="F19" s="1008">
        <f>C19+E19</f>
        <v>0</v>
      </c>
      <c r="G19" s="1008">
        <f>F19</f>
        <v>0</v>
      </c>
      <c r="H19" s="473" t="s">
        <v>335</v>
      </c>
      <c r="I19" s="473" t="s">
        <v>373</v>
      </c>
      <c r="J19" s="1018" t="s">
        <v>125</v>
      </c>
      <c r="K19" s="1018" t="s">
        <v>163</v>
      </c>
      <c r="L19" s="473" t="s">
        <v>173</v>
      </c>
      <c r="M19" s="437" t="s">
        <v>238</v>
      </c>
      <c r="N19" s="495" t="s">
        <v>127</v>
      </c>
      <c r="O19" s="462">
        <v>0</v>
      </c>
      <c r="P19" s="437" t="s">
        <v>238</v>
      </c>
      <c r="Q19" s="586" t="s">
        <v>329</v>
      </c>
      <c r="R19" s="600" t="s">
        <v>374</v>
      </c>
      <c r="S19" s="516" t="s">
        <v>375</v>
      </c>
      <c r="T19" s="516"/>
      <c r="U19" s="516"/>
      <c r="V19" s="517"/>
      <c r="W19" s="645"/>
      <c r="X19" s="507"/>
      <c r="Y19" s="507"/>
      <c r="Z19" s="507"/>
      <c r="AA19" s="507"/>
      <c r="AB19" s="507"/>
      <c r="AC19" s="507"/>
      <c r="AD19" s="507"/>
      <c r="AE19" s="507"/>
      <c r="AF19" s="507"/>
    </row>
    <row r="20" spans="1:32" s="508" customFormat="1" ht="150.75" thickBot="1">
      <c r="A20" s="1041"/>
      <c r="B20" s="1042"/>
      <c r="C20" s="1042"/>
      <c r="D20" s="1019"/>
      <c r="E20" s="1042"/>
      <c r="F20" s="1042"/>
      <c r="G20" s="1042"/>
      <c r="H20" s="469" t="s">
        <v>340</v>
      </c>
      <c r="I20" s="469" t="s">
        <v>376</v>
      </c>
      <c r="J20" s="1019"/>
      <c r="K20" s="1019"/>
      <c r="L20" s="469" t="s">
        <v>377</v>
      </c>
      <c r="M20" s="460" t="s">
        <v>238</v>
      </c>
      <c r="N20" s="496">
        <v>2020</v>
      </c>
      <c r="O20" s="488">
        <v>0</v>
      </c>
      <c r="P20" s="497">
        <v>0</v>
      </c>
      <c r="Q20" s="587" t="s">
        <v>378</v>
      </c>
      <c r="R20" s="622" t="s">
        <v>379</v>
      </c>
      <c r="S20" s="623" t="s">
        <v>379</v>
      </c>
      <c r="T20" s="623"/>
      <c r="U20" s="623"/>
      <c r="V20" s="625"/>
      <c r="W20" s="648"/>
      <c r="X20" s="507"/>
      <c r="Y20" s="507"/>
      <c r="Z20" s="507"/>
      <c r="AA20" s="507"/>
      <c r="AB20" s="507"/>
      <c r="AC20" s="507"/>
      <c r="AD20" s="507"/>
      <c r="AE20" s="507"/>
      <c r="AF20" s="507"/>
    </row>
    <row r="21" spans="1:32" ht="255">
      <c r="A21" s="1049" t="s">
        <v>380</v>
      </c>
      <c r="B21" s="1046">
        <f>F21+F24+F27+F30</f>
        <v>133405907.36842106</v>
      </c>
      <c r="C21" s="1027">
        <f>144545499-102222166</f>
        <v>42323333</v>
      </c>
      <c r="D21" s="728" t="s">
        <v>381</v>
      </c>
      <c r="E21" s="1032">
        <f>C21/0.95*0.05</f>
        <v>2227543.8421052634</v>
      </c>
      <c r="F21" s="1032">
        <f>C21+E21</f>
        <v>44550876.842105262</v>
      </c>
      <c r="G21" s="1032">
        <f>F21</f>
        <v>44550876.842105262</v>
      </c>
      <c r="H21" s="547" t="s">
        <v>382</v>
      </c>
      <c r="I21" s="546" t="s">
        <v>383</v>
      </c>
      <c r="J21" s="548" t="s">
        <v>125</v>
      </c>
      <c r="K21" s="548" t="s">
        <v>163</v>
      </c>
      <c r="L21" s="546" t="s">
        <v>328</v>
      </c>
      <c r="M21" s="545">
        <v>0</v>
      </c>
      <c r="N21" s="546" t="s">
        <v>127</v>
      </c>
      <c r="O21" s="481">
        <v>29.35</v>
      </c>
      <c r="P21" s="574">
        <v>15.67</v>
      </c>
      <c r="Q21" s="588" t="s">
        <v>329</v>
      </c>
      <c r="R21" s="618" t="s">
        <v>384</v>
      </c>
      <c r="S21" s="619"/>
      <c r="T21" s="620"/>
      <c r="U21" s="621" t="s">
        <v>385</v>
      </c>
      <c r="V21" s="624"/>
      <c r="W21" s="647"/>
    </row>
    <row r="22" spans="1:32" ht="150">
      <c r="A22" s="1050"/>
      <c r="B22" s="1047"/>
      <c r="C22" s="1031"/>
      <c r="D22" s="729"/>
      <c r="E22" s="1023"/>
      <c r="F22" s="1023"/>
      <c r="G22" s="1023"/>
      <c r="H22" s="437" t="s">
        <v>386</v>
      </c>
      <c r="I22" s="437" t="s">
        <v>387</v>
      </c>
      <c r="J22" s="549"/>
      <c r="K22" s="549"/>
      <c r="L22" s="437" t="s">
        <v>388</v>
      </c>
      <c r="M22" s="575">
        <v>120413686</v>
      </c>
      <c r="N22" s="437" t="s">
        <v>156</v>
      </c>
      <c r="O22" s="462" t="s">
        <v>127</v>
      </c>
      <c r="P22" s="575">
        <v>126519020</v>
      </c>
      <c r="Q22" s="585" t="s">
        <v>329</v>
      </c>
      <c r="R22" s="601" t="s">
        <v>389</v>
      </c>
      <c r="S22" s="513"/>
      <c r="T22" s="519"/>
      <c r="U22" s="609" t="s">
        <v>390</v>
      </c>
      <c r="V22" s="3"/>
      <c r="W22" s="646"/>
    </row>
    <row r="23" spans="1:32" ht="135">
      <c r="A23" s="1050"/>
      <c r="B23" s="1047"/>
      <c r="C23" s="1031"/>
      <c r="D23" s="729"/>
      <c r="E23" s="1023"/>
      <c r="F23" s="1023"/>
      <c r="G23" s="1023"/>
      <c r="H23" s="437" t="s">
        <v>391</v>
      </c>
      <c r="I23" s="437" t="s">
        <v>392</v>
      </c>
      <c r="J23" s="549"/>
      <c r="K23" s="549"/>
      <c r="L23" s="437" t="s">
        <v>393</v>
      </c>
      <c r="M23" s="462">
        <v>0</v>
      </c>
      <c r="N23" s="437" t="s">
        <v>333</v>
      </c>
      <c r="O23" s="462" t="s">
        <v>127</v>
      </c>
      <c r="P23" s="575">
        <v>42893</v>
      </c>
      <c r="Q23" s="585" t="s">
        <v>329</v>
      </c>
      <c r="R23" s="601" t="s">
        <v>394</v>
      </c>
      <c r="S23" s="513"/>
      <c r="T23" s="519"/>
      <c r="U23" s="609" t="s">
        <v>395</v>
      </c>
      <c r="V23" s="3"/>
      <c r="W23" s="646"/>
    </row>
    <row r="24" spans="1:32" ht="225">
      <c r="A24" s="1050"/>
      <c r="B24" s="1047"/>
      <c r="C24" s="1031">
        <f>40845339-25000000</f>
        <v>15845339</v>
      </c>
      <c r="D24" s="729"/>
      <c r="E24" s="1023">
        <f>C24/0.95*0.05</f>
        <v>833965.21052631596</v>
      </c>
      <c r="F24" s="1023">
        <f>C24+E24</f>
        <v>16679304.210526315</v>
      </c>
      <c r="G24" s="1023">
        <f>F24</f>
        <v>16679304.210526315</v>
      </c>
      <c r="H24" s="172" t="s">
        <v>382</v>
      </c>
      <c r="I24" s="172" t="s">
        <v>383</v>
      </c>
      <c r="J24" s="767" t="s">
        <v>396</v>
      </c>
      <c r="K24" s="767" t="s">
        <v>154</v>
      </c>
      <c r="L24" s="172" t="s">
        <v>328</v>
      </c>
      <c r="M24" s="108">
        <v>0</v>
      </c>
      <c r="N24" s="172" t="s">
        <v>127</v>
      </c>
      <c r="O24" s="482">
        <v>12.06</v>
      </c>
      <c r="P24" s="576">
        <v>6.85</v>
      </c>
      <c r="Q24" s="584" t="s">
        <v>329</v>
      </c>
      <c r="R24" s="601" t="s">
        <v>397</v>
      </c>
      <c r="S24" s="602"/>
      <c r="T24" s="519"/>
      <c r="U24" s="610" t="s">
        <v>398</v>
      </c>
      <c r="V24" s="3"/>
      <c r="W24" s="646"/>
      <c r="X24" s="573"/>
      <c r="Y24" s="573"/>
    </row>
    <row r="25" spans="1:32" ht="150">
      <c r="A25" s="1050"/>
      <c r="B25" s="1047"/>
      <c r="C25" s="1031"/>
      <c r="D25" s="729"/>
      <c r="E25" s="1023"/>
      <c r="F25" s="1023"/>
      <c r="G25" s="1023"/>
      <c r="H25" s="172" t="s">
        <v>386</v>
      </c>
      <c r="I25" s="172" t="s">
        <v>387</v>
      </c>
      <c r="J25" s="767"/>
      <c r="K25" s="767"/>
      <c r="L25" s="172" t="s">
        <v>388</v>
      </c>
      <c r="M25" s="575">
        <v>97546146</v>
      </c>
      <c r="N25" s="172" t="s">
        <v>156</v>
      </c>
      <c r="O25" s="108" t="s">
        <v>127</v>
      </c>
      <c r="P25" s="575">
        <v>102689912</v>
      </c>
      <c r="Q25" s="584" t="s">
        <v>329</v>
      </c>
      <c r="R25" s="601" t="s">
        <v>399</v>
      </c>
      <c r="S25" s="513"/>
      <c r="T25" s="519"/>
      <c r="U25" s="609" t="s">
        <v>400</v>
      </c>
      <c r="V25" s="3"/>
      <c r="W25" s="646"/>
    </row>
    <row r="26" spans="1:32" ht="120">
      <c r="A26" s="1050"/>
      <c r="B26" s="1047"/>
      <c r="C26" s="1031"/>
      <c r="D26" s="761"/>
      <c r="E26" s="1023"/>
      <c r="F26" s="1023"/>
      <c r="G26" s="1023"/>
      <c r="H26" s="172" t="s">
        <v>391</v>
      </c>
      <c r="I26" s="172" t="s">
        <v>392</v>
      </c>
      <c r="J26" s="767"/>
      <c r="K26" s="767"/>
      <c r="L26" s="172" t="s">
        <v>401</v>
      </c>
      <c r="M26" s="462">
        <v>0</v>
      </c>
      <c r="N26" s="437" t="s">
        <v>156</v>
      </c>
      <c r="O26" s="108" t="s">
        <v>127</v>
      </c>
      <c r="P26" s="575">
        <v>23864</v>
      </c>
      <c r="Q26" s="584" t="s">
        <v>329</v>
      </c>
      <c r="R26" s="601" t="s">
        <v>402</v>
      </c>
      <c r="S26" s="513"/>
      <c r="T26" s="519"/>
      <c r="U26" s="609" t="s">
        <v>403</v>
      </c>
      <c r="V26" s="3"/>
      <c r="W26" s="646"/>
    </row>
    <row r="27" spans="1:32" ht="240">
      <c r="A27" s="1050"/>
      <c r="B27" s="1047"/>
      <c r="C27" s="1031">
        <f>53406724+12922166</f>
        <v>66328890</v>
      </c>
      <c r="D27" s="762" t="s">
        <v>404</v>
      </c>
      <c r="E27" s="1023">
        <f>C27/0.95*0.05</f>
        <v>3490994.210526316</v>
      </c>
      <c r="F27" s="1023">
        <f>C27+E27</f>
        <v>69819884.210526317</v>
      </c>
      <c r="G27" s="1023">
        <f>F27</f>
        <v>69819884.210526317</v>
      </c>
      <c r="H27" s="210" t="s">
        <v>382</v>
      </c>
      <c r="I27" s="172" t="s">
        <v>383</v>
      </c>
      <c r="J27" s="767" t="s">
        <v>125</v>
      </c>
      <c r="K27" s="767" t="s">
        <v>163</v>
      </c>
      <c r="L27" s="172" t="s">
        <v>328</v>
      </c>
      <c r="M27" s="172" t="s">
        <v>238</v>
      </c>
      <c r="N27" s="172" t="s">
        <v>127</v>
      </c>
      <c r="O27" s="482">
        <v>30.68</v>
      </c>
      <c r="P27" s="576">
        <v>42.72</v>
      </c>
      <c r="Q27" s="584" t="s">
        <v>329</v>
      </c>
      <c r="R27" s="592" t="s">
        <v>405</v>
      </c>
      <c r="S27" s="509"/>
      <c r="T27" s="518"/>
      <c r="U27" s="608" t="s">
        <v>406</v>
      </c>
      <c r="V27" s="3"/>
      <c r="W27" s="646"/>
    </row>
    <row r="28" spans="1:32" ht="165">
      <c r="A28" s="1050"/>
      <c r="B28" s="1047"/>
      <c r="C28" s="1031"/>
      <c r="D28" s="729"/>
      <c r="E28" s="1023"/>
      <c r="F28" s="1023"/>
      <c r="G28" s="1023"/>
      <c r="H28" s="172" t="s">
        <v>386</v>
      </c>
      <c r="I28" s="172" t="s">
        <v>407</v>
      </c>
      <c r="J28" s="767"/>
      <c r="K28" s="767"/>
      <c r="L28" s="172" t="s">
        <v>388</v>
      </c>
      <c r="M28" s="575">
        <v>159666118</v>
      </c>
      <c r="N28" s="172" t="s">
        <v>156</v>
      </c>
      <c r="O28" s="108" t="s">
        <v>127</v>
      </c>
      <c r="P28" s="575">
        <v>168551413</v>
      </c>
      <c r="Q28" s="584" t="s">
        <v>329</v>
      </c>
      <c r="R28" s="600" t="s">
        <v>408</v>
      </c>
      <c r="S28" s="550"/>
      <c r="T28" s="519"/>
      <c r="U28" s="611" t="s">
        <v>409</v>
      </c>
      <c r="V28" s="3"/>
      <c r="W28" s="646"/>
    </row>
    <row r="29" spans="1:32" ht="180">
      <c r="A29" s="1050"/>
      <c r="B29" s="1047"/>
      <c r="C29" s="1031"/>
      <c r="D29" s="729"/>
      <c r="E29" s="1023"/>
      <c r="F29" s="1023"/>
      <c r="G29" s="1023"/>
      <c r="H29" s="172" t="s">
        <v>391</v>
      </c>
      <c r="I29" s="172" t="s">
        <v>392</v>
      </c>
      <c r="J29" s="767"/>
      <c r="K29" s="767"/>
      <c r="L29" s="463" t="s">
        <v>410</v>
      </c>
      <c r="M29" s="462">
        <v>0</v>
      </c>
      <c r="N29" s="437" t="s">
        <v>156</v>
      </c>
      <c r="O29" s="108" t="s">
        <v>127</v>
      </c>
      <c r="P29" s="575">
        <v>10104</v>
      </c>
      <c r="Q29" s="584" t="s">
        <v>329</v>
      </c>
      <c r="R29" s="601" t="s">
        <v>411</v>
      </c>
      <c r="S29" s="513"/>
      <c r="T29" s="519"/>
      <c r="U29" s="609" t="s">
        <v>412</v>
      </c>
      <c r="V29" s="3"/>
      <c r="W29" s="646"/>
    </row>
    <row r="30" spans="1:32" ht="165">
      <c r="A30" s="1050"/>
      <c r="B30" s="1047"/>
      <c r="C30" s="1026">
        <v>2238050</v>
      </c>
      <c r="D30" s="729"/>
      <c r="E30" s="1026">
        <f>C30/0.95*0.05</f>
        <v>117792.10526315792</v>
      </c>
      <c r="F30" s="1026">
        <f>C30+E30</f>
        <v>2355842.1052631577</v>
      </c>
      <c r="G30" s="1026">
        <f>F30</f>
        <v>2355842.1052631577</v>
      </c>
      <c r="H30" s="577" t="s">
        <v>335</v>
      </c>
      <c r="I30" s="577" t="s">
        <v>413</v>
      </c>
      <c r="J30" s="767"/>
      <c r="K30" s="767"/>
      <c r="L30" s="577" t="s">
        <v>173</v>
      </c>
      <c r="M30" s="577" t="s">
        <v>238</v>
      </c>
      <c r="N30" s="577" t="s">
        <v>127</v>
      </c>
      <c r="O30" s="578">
        <v>0</v>
      </c>
      <c r="P30" s="578">
        <v>3</v>
      </c>
      <c r="Q30" s="589" t="s">
        <v>329</v>
      </c>
      <c r="R30" s="550"/>
      <c r="S30" s="600"/>
      <c r="T30" s="3"/>
      <c r="U30" s="612" t="s">
        <v>516</v>
      </c>
      <c r="V30" s="510" t="s">
        <v>515</v>
      </c>
      <c r="W30" s="646"/>
    </row>
    <row r="31" spans="1:32" ht="150">
      <c r="A31" s="1050"/>
      <c r="B31" s="1047"/>
      <c r="C31" s="1027"/>
      <c r="D31" s="761"/>
      <c r="E31" s="1027"/>
      <c r="F31" s="1027"/>
      <c r="G31" s="1027"/>
      <c r="H31" s="437" t="s">
        <v>340</v>
      </c>
      <c r="I31" s="437" t="s">
        <v>414</v>
      </c>
      <c r="J31" s="767"/>
      <c r="K31" s="767"/>
      <c r="L31" s="437" t="s">
        <v>353</v>
      </c>
      <c r="M31" s="437" t="s">
        <v>415</v>
      </c>
      <c r="N31" s="437" t="s">
        <v>261</v>
      </c>
      <c r="O31" s="462" t="s">
        <v>127</v>
      </c>
      <c r="P31" s="468">
        <v>26</v>
      </c>
      <c r="Q31" s="585" t="s">
        <v>378</v>
      </c>
      <c r="R31" s="550" t="s">
        <v>416</v>
      </c>
      <c r="S31" s="3"/>
      <c r="T31" s="3"/>
      <c r="U31" s="611" t="s">
        <v>417</v>
      </c>
      <c r="V31" s="519"/>
      <c r="W31" s="646"/>
    </row>
    <row r="32" spans="1:32" ht="225" customHeight="1">
      <c r="A32" s="1050"/>
      <c r="B32" s="1047"/>
      <c r="C32" s="1024">
        <v>2238050</v>
      </c>
      <c r="D32" s="1052" t="s">
        <v>418</v>
      </c>
      <c r="E32" s="1024">
        <f>C32/0.95*0.05</f>
        <v>117792.10526315792</v>
      </c>
      <c r="F32" s="1024">
        <f>C32+E32</f>
        <v>2355842.1052631577</v>
      </c>
      <c r="G32" s="1024">
        <f>F32</f>
        <v>2355842.1052631577</v>
      </c>
      <c r="H32" s="581" t="s">
        <v>335</v>
      </c>
      <c r="I32" s="581" t="s">
        <v>419</v>
      </c>
      <c r="J32" s="1020" t="s">
        <v>125</v>
      </c>
      <c r="K32" s="1020" t="s">
        <v>163</v>
      </c>
      <c r="L32" s="581" t="s">
        <v>173</v>
      </c>
      <c r="M32" s="581" t="s">
        <v>238</v>
      </c>
      <c r="N32" s="581" t="s">
        <v>127</v>
      </c>
      <c r="O32" s="582">
        <v>0</v>
      </c>
      <c r="P32" s="582">
        <v>113</v>
      </c>
      <c r="Q32" s="590" t="s">
        <v>329</v>
      </c>
      <c r="R32" s="544" t="s">
        <v>420</v>
      </c>
      <c r="S32" s="603"/>
      <c r="T32" s="519"/>
      <c r="U32" s="613" t="s">
        <v>513</v>
      </c>
      <c r="V32" s="1044" t="s">
        <v>514</v>
      </c>
      <c r="W32" s="646"/>
    </row>
    <row r="33" spans="1:23" ht="120.75" thickBot="1">
      <c r="A33" s="1051"/>
      <c r="B33" s="1048"/>
      <c r="C33" s="1025"/>
      <c r="D33" s="1053"/>
      <c r="E33" s="1025"/>
      <c r="F33" s="1025"/>
      <c r="G33" s="1025"/>
      <c r="H33" s="579" t="s">
        <v>340</v>
      </c>
      <c r="I33" s="579" t="s">
        <v>414</v>
      </c>
      <c r="J33" s="1021"/>
      <c r="K33" s="1021"/>
      <c r="L33" s="579" t="s">
        <v>353</v>
      </c>
      <c r="M33" s="641">
        <v>54</v>
      </c>
      <c r="N33" s="579" t="s">
        <v>261</v>
      </c>
      <c r="O33" s="580" t="s">
        <v>127</v>
      </c>
      <c r="P33" s="641">
        <v>26</v>
      </c>
      <c r="Q33" s="591" t="s">
        <v>378</v>
      </c>
      <c r="R33" s="614" t="s">
        <v>416</v>
      </c>
      <c r="S33" s="615"/>
      <c r="T33" s="616"/>
      <c r="U33" s="617" t="s">
        <v>416</v>
      </c>
      <c r="V33" s="1045"/>
      <c r="W33" s="649"/>
    </row>
    <row r="34" spans="1:23">
      <c r="B34" t="s">
        <v>125</v>
      </c>
      <c r="C34" s="520">
        <f>SUM(C6:C23,C27:C30)</f>
        <v>270441527</v>
      </c>
      <c r="D34" s="200"/>
      <c r="E34" s="200">
        <f>SUM(E6:E23,E27:E33)</f>
        <v>14351556.684210528</v>
      </c>
      <c r="F34" s="200">
        <f>SUM(F6:F23,F27:F33)</f>
        <v>287031133.68421054</v>
      </c>
      <c r="G34" s="200">
        <f>SUM(G6:G23,G27:G33)</f>
        <v>296896452.13622296</v>
      </c>
      <c r="M34" s="451">
        <f>SUM(M6:M33)-M33</f>
        <v>377656962</v>
      </c>
      <c r="O34" s="112">
        <f>SUM(O6:O33)</f>
        <v>85.09</v>
      </c>
      <c r="P34" s="112">
        <f>SUM(P6:P33)-P33</f>
        <v>397844893.24000001</v>
      </c>
    </row>
    <row r="35" spans="1:23">
      <c r="B35" s="112" t="s">
        <v>421</v>
      </c>
      <c r="C35" s="200">
        <f>C24</f>
        <v>15845339</v>
      </c>
      <c r="D35" s="200"/>
      <c r="E35" s="200">
        <f>E24</f>
        <v>833965.21052631596</v>
      </c>
      <c r="F35" s="200">
        <f>F24</f>
        <v>16679304.210526315</v>
      </c>
      <c r="G35" s="200">
        <f>G24</f>
        <v>16679304.210526315</v>
      </c>
      <c r="M35" s="543"/>
    </row>
    <row r="36" spans="1:23">
      <c r="C36" s="461">
        <f>SUM(C34:C35)</f>
        <v>286286866</v>
      </c>
      <c r="D36" s="200"/>
      <c r="E36" s="200"/>
      <c r="F36" s="461">
        <f>SUM(F34:F35)</f>
        <v>303710437.89473683</v>
      </c>
      <c r="G36" s="200"/>
      <c r="M36" s="112"/>
    </row>
    <row r="37" spans="1:23">
      <c r="B37" s="200">
        <v>100</v>
      </c>
      <c r="C37" s="200">
        <f>C6</f>
        <v>142906390</v>
      </c>
      <c r="D37" s="200"/>
      <c r="E37" s="200"/>
      <c r="F37" s="200"/>
      <c r="G37" s="200"/>
    </row>
    <row r="38" spans="1:23">
      <c r="B38">
        <v>101</v>
      </c>
      <c r="C38" s="200">
        <f>C13</f>
        <v>13744864</v>
      </c>
      <c r="D38" s="200"/>
      <c r="E38" s="200"/>
      <c r="F38" s="461"/>
      <c r="G38" s="200"/>
    </row>
    <row r="39" spans="1:23" ht="15.75" thickBot="1"/>
    <row r="40" spans="1:23" ht="30.75" thickBot="1">
      <c r="A40" s="521" t="s">
        <v>422</v>
      </c>
      <c r="B40" s="522" t="s">
        <v>423</v>
      </c>
      <c r="C40" s="522" t="s">
        <v>424</v>
      </c>
      <c r="D40" s="522" t="s">
        <v>425</v>
      </c>
      <c r="E40" s="522" t="s">
        <v>106</v>
      </c>
      <c r="F40" s="523" t="s">
        <v>107</v>
      </c>
      <c r="G40" s="522" t="s">
        <v>426</v>
      </c>
      <c r="H40" s="523" t="s">
        <v>253</v>
      </c>
      <c r="I40" s="524" t="s">
        <v>111</v>
      </c>
      <c r="J40" s="50"/>
      <c r="K40" s="49"/>
      <c r="N40" s="61"/>
      <c r="O40" s="61"/>
    </row>
    <row r="41" spans="1:23" s="498" customFormat="1" ht="75">
      <c r="A41" s="525" t="str">
        <f>H6</f>
        <v>RCO49</v>
      </c>
      <c r="B41" s="526" t="str">
        <f>I6</f>
        <v>Length of rail reconstructed or modernised - TENT-T (rekonstruotų arba modernizuotų geležinkelių ilgis – TEN-T)</v>
      </c>
      <c r="C41" s="526" t="str">
        <f>L6</f>
        <v>Km</v>
      </c>
      <c r="D41" s="454" t="str">
        <f>M6</f>
        <v>0</v>
      </c>
      <c r="E41" s="526" t="s">
        <v>125</v>
      </c>
      <c r="F41" s="527" t="s">
        <v>163</v>
      </c>
      <c r="G41" s="455" t="s">
        <v>127</v>
      </c>
      <c r="H41" s="527">
        <f>O6</f>
        <v>0</v>
      </c>
      <c r="I41" s="528">
        <f>P6</f>
        <v>321</v>
      </c>
      <c r="R41" s="490"/>
      <c r="S41" s="529"/>
      <c r="T41" s="529"/>
      <c r="U41" s="529"/>
      <c r="V41" s="81"/>
      <c r="W41" s="252"/>
    </row>
    <row r="42" spans="1:23" s="498" customFormat="1" ht="60">
      <c r="A42" s="530" t="str">
        <f>H7</f>
        <v>RCR29</v>
      </c>
      <c r="B42" s="531" t="str">
        <f>I7</f>
        <v>Estimated greenhouse emissions (numatomas išmetamas šiltnamio efektą sukeliančių dujų kiekis)</v>
      </c>
      <c r="C42" s="456" t="str">
        <f>L7</f>
        <v>Tons of CO2eq/year</v>
      </c>
      <c r="D42" s="532">
        <f>M7+M18</f>
        <v>30910</v>
      </c>
      <c r="E42" s="533" t="s">
        <v>125</v>
      </c>
      <c r="F42" s="533" t="s">
        <v>163</v>
      </c>
      <c r="G42" s="533">
        <v>2020</v>
      </c>
      <c r="H42" s="533" t="s">
        <v>127</v>
      </c>
      <c r="I42" s="534">
        <f>P7+P18</f>
        <v>6900</v>
      </c>
      <c r="R42" s="490"/>
      <c r="S42" s="529"/>
      <c r="T42" s="529"/>
      <c r="U42" s="529"/>
      <c r="V42" s="81"/>
      <c r="W42" s="252"/>
    </row>
    <row r="43" spans="1:23" s="498" customFormat="1" ht="120">
      <c r="A43" s="452" t="str">
        <f t="shared" ref="A43:B45" si="0">H10</f>
        <v>Specific output</v>
      </c>
      <c r="B43" s="531" t="str">
        <f t="shared" si="0"/>
        <v xml:space="preserve"> Implemented traffic safety improvement and environmental protection measures in railways (Įdiegtos saugų eismą gerinančios ir
aplinkosaugos priemonės
geležinkeliuose)</v>
      </c>
      <c r="C43" s="457" t="str">
        <f t="shared" ref="C43:D45" si="1">L10</f>
        <v>Number</v>
      </c>
      <c r="D43" s="533">
        <f t="shared" si="1"/>
        <v>0</v>
      </c>
      <c r="E43" s="533" t="s">
        <v>125</v>
      </c>
      <c r="F43" s="533" t="s">
        <v>163</v>
      </c>
      <c r="G43" s="458" t="s">
        <v>127</v>
      </c>
      <c r="H43" s="535">
        <f>O10</f>
        <v>13</v>
      </c>
      <c r="I43" s="536">
        <f>P10+P13</f>
        <v>37</v>
      </c>
      <c r="R43" s="490"/>
      <c r="S43" s="529"/>
      <c r="T43" s="529"/>
      <c r="U43" s="529"/>
      <c r="V43" s="81"/>
      <c r="W43" s="252"/>
    </row>
    <row r="44" spans="1:23" s="498" customFormat="1" ht="75">
      <c r="A44" s="452" t="str">
        <f t="shared" si="0"/>
        <v>Specific result</v>
      </c>
      <c r="B44" s="531" t="str">
        <f t="shared" si="0"/>
        <v>Number of fatalities and injuries at level crossings (Žuvusiųjų ir sužeistųjų geležinkelio pervažose skaičius)</v>
      </c>
      <c r="C44" s="533" t="str">
        <f t="shared" si="1"/>
        <v>Persons per year</v>
      </c>
      <c r="D44" s="533">
        <f t="shared" si="1"/>
        <v>1</v>
      </c>
      <c r="E44" s="533" t="s">
        <v>125</v>
      </c>
      <c r="F44" s="533" t="s">
        <v>163</v>
      </c>
      <c r="G44" s="533">
        <v>2020</v>
      </c>
      <c r="H44" s="533" t="str">
        <f>O11</f>
        <v>n/a</v>
      </c>
      <c r="I44" s="536">
        <f>P11+P14</f>
        <v>0</v>
      </c>
      <c r="R44" s="490"/>
      <c r="S44" s="529"/>
      <c r="T44" s="529"/>
      <c r="U44" s="529"/>
      <c r="V44" s="81"/>
      <c r="W44" s="252"/>
    </row>
    <row r="45" spans="1:23" s="498" customFormat="1" ht="165">
      <c r="A45" s="452" t="str">
        <f t="shared" si="0"/>
        <v>Special result</v>
      </c>
      <c r="B45" s="457" t="str">
        <f t="shared" si="0"/>
        <v>Proportion of the population living and operating in noise prevention areas with reduced railway noise (Gyventojų, gyvenančių ir veikiančių triukšmo prevencijos zonose, dalis, kuriai sumažintas geležinkelių keliamas triukšmas)</v>
      </c>
      <c r="C45" s="533" t="str">
        <f t="shared" si="1"/>
        <v>percent</v>
      </c>
      <c r="D45" s="533">
        <f t="shared" si="1"/>
        <v>100</v>
      </c>
      <c r="E45" s="533" t="s">
        <v>125</v>
      </c>
      <c r="F45" s="533" t="s">
        <v>163</v>
      </c>
      <c r="G45" s="533">
        <v>2020</v>
      </c>
      <c r="H45" s="533" t="s">
        <v>127</v>
      </c>
      <c r="I45" s="639">
        <f>P12</f>
        <v>69</v>
      </c>
      <c r="R45" s="490"/>
      <c r="S45" s="529"/>
      <c r="T45" s="529"/>
      <c r="U45" s="529"/>
      <c r="V45" s="81"/>
      <c r="W45" s="252"/>
    </row>
    <row r="46" spans="1:23" s="498" customFormat="1" ht="105">
      <c r="A46" s="452" t="s">
        <v>335</v>
      </c>
      <c r="B46" s="457" t="str">
        <f>I8</f>
        <v>Platforms at railway stations reconstructed to ensure level access (Geležinkelių stotyse esantys peronai, rekonstruoti juos pritaikant vienalygei prieigai)</v>
      </c>
      <c r="C46" s="457" t="str">
        <f>L8</f>
        <v>Number</v>
      </c>
      <c r="D46" s="458">
        <f>M8+M15</f>
        <v>0</v>
      </c>
      <c r="E46" s="458" t="s">
        <v>125</v>
      </c>
      <c r="F46" s="458" t="s">
        <v>163</v>
      </c>
      <c r="G46" s="458" t="s">
        <v>127</v>
      </c>
      <c r="H46" s="458">
        <f>O8</f>
        <v>0</v>
      </c>
      <c r="I46" s="640">
        <f>P8+P15</f>
        <v>52</v>
      </c>
      <c r="R46" s="490"/>
      <c r="S46" s="529"/>
      <c r="T46" s="529"/>
      <c r="U46" s="529"/>
      <c r="V46" s="81"/>
      <c r="W46" s="252"/>
    </row>
    <row r="47" spans="1:23" s="498" customFormat="1" ht="60">
      <c r="A47" s="452" t="s">
        <v>340</v>
      </c>
      <c r="B47" s="457" t="str">
        <f>I9</f>
        <v>Part of platforms adapted for level access (Peronų, pritaikytų  vienalygei prieigai, dalis )</v>
      </c>
      <c r="C47" s="457" t="str">
        <f>L9</f>
        <v>percent</v>
      </c>
      <c r="D47" s="470">
        <f>M9+M16</f>
        <v>0</v>
      </c>
      <c r="E47" s="458" t="s">
        <v>125</v>
      </c>
      <c r="F47" s="458" t="s">
        <v>163</v>
      </c>
      <c r="G47" s="458">
        <v>2024</v>
      </c>
      <c r="H47" s="458" t="s">
        <v>127</v>
      </c>
      <c r="I47" s="640">
        <f>P9+P16</f>
        <v>100</v>
      </c>
      <c r="R47" s="490"/>
      <c r="S47" s="529"/>
      <c r="T47" s="529"/>
      <c r="U47" s="529"/>
      <c r="V47" s="81"/>
      <c r="W47" s="252"/>
    </row>
    <row r="48" spans="1:23" s="498" customFormat="1" ht="90">
      <c r="A48" s="453" t="str">
        <f>H21</f>
        <v>RCO45</v>
      </c>
      <c r="B48" s="457" t="str">
        <f>I21</f>
        <v>Length of roads reconstructed or modernised - TEN-T (rekonstruotų arba modernizuotų kelių ilgis – TEN-T)</v>
      </c>
      <c r="C48" s="533" t="str">
        <f>L21</f>
        <v>Km</v>
      </c>
      <c r="D48" s="533">
        <f>M21+M27</f>
        <v>0</v>
      </c>
      <c r="E48" s="533" t="s">
        <v>125</v>
      </c>
      <c r="F48" s="533" t="s">
        <v>163</v>
      </c>
      <c r="G48" s="458" t="s">
        <v>127</v>
      </c>
      <c r="H48" s="537">
        <f>O21+O27</f>
        <v>60.03</v>
      </c>
      <c r="I48" s="626">
        <f>P21+P27</f>
        <v>58.39</v>
      </c>
      <c r="R48" s="490"/>
      <c r="S48" s="529"/>
      <c r="T48" s="529"/>
      <c r="U48" s="529"/>
      <c r="V48" s="81"/>
      <c r="W48" s="252"/>
    </row>
    <row r="49" spans="1:23" s="498" customFormat="1" ht="90">
      <c r="A49" s="453" t="str">
        <f>H24</f>
        <v>RCO45</v>
      </c>
      <c r="B49" s="457" t="str">
        <f>I24</f>
        <v>Length of roads reconstructed or modernised - TEN-T (rekonstruotų arba modernizuotų kelių ilgis – TEN-T)</v>
      </c>
      <c r="C49" s="533" t="str">
        <f>L24</f>
        <v>Km</v>
      </c>
      <c r="D49" s="533">
        <f>M24</f>
        <v>0</v>
      </c>
      <c r="E49" s="531" t="s">
        <v>396</v>
      </c>
      <c r="F49" s="533" t="s">
        <v>154</v>
      </c>
      <c r="G49" s="458" t="s">
        <v>127</v>
      </c>
      <c r="H49" s="538">
        <f>O24</f>
        <v>12.06</v>
      </c>
      <c r="I49" s="637">
        <f>P24</f>
        <v>6.85</v>
      </c>
      <c r="R49" s="490"/>
      <c r="S49" s="529"/>
      <c r="T49" s="529"/>
      <c r="U49" s="529"/>
      <c r="V49" s="81"/>
      <c r="W49" s="252"/>
    </row>
    <row r="50" spans="1:23" s="498" customFormat="1" ht="120">
      <c r="A50" s="539" t="str">
        <f>H22</f>
        <v>RCR55</v>
      </c>
      <c r="B50" s="531" t="str">
        <f>I22</f>
        <v>Annual users of newly built, reconstructed, upgraded or modernised roads ((naujai pastatytų, rekonstruotų, atnaujintų arba modernizuotų kelių naudotojų skaičius per metus)</v>
      </c>
      <c r="C50" s="457" t="str">
        <f>L22</f>
        <v>road passenger-km/ year</v>
      </c>
      <c r="D50" s="638">
        <f>M22+M28</f>
        <v>280079804</v>
      </c>
      <c r="E50" s="533" t="s">
        <v>125</v>
      </c>
      <c r="F50" s="533" t="s">
        <v>163</v>
      </c>
      <c r="G50" s="533">
        <v>2021</v>
      </c>
      <c r="H50" s="533" t="s">
        <v>127</v>
      </c>
      <c r="I50" s="636">
        <f>P22+P28</f>
        <v>295070433</v>
      </c>
      <c r="R50" s="490"/>
      <c r="S50" s="529"/>
      <c r="T50" s="529"/>
      <c r="U50" s="529"/>
      <c r="V50" s="81"/>
      <c r="W50" s="252"/>
    </row>
    <row r="51" spans="1:23" s="498" customFormat="1" ht="120">
      <c r="A51" s="539" t="str">
        <f>H25</f>
        <v>RCR55</v>
      </c>
      <c r="B51" s="531" t="str">
        <f>I25</f>
        <v>Annual users of newly built, reconstructed, upgraded or modernised roads ((naujai pastatytų, rekonstruotų, atnaujintų arba modernizuotų kelių naudotojų skaičius per metus)</v>
      </c>
      <c r="C51" s="457" t="str">
        <f>L25</f>
        <v>road passenger-km/ year</v>
      </c>
      <c r="D51" s="638">
        <f>M25</f>
        <v>97546146</v>
      </c>
      <c r="E51" s="533" t="s">
        <v>396</v>
      </c>
      <c r="F51" s="533" t="s">
        <v>154</v>
      </c>
      <c r="G51" s="533">
        <v>2021</v>
      </c>
      <c r="H51" s="533" t="s">
        <v>127</v>
      </c>
      <c r="I51" s="636">
        <f>P25</f>
        <v>102689912</v>
      </c>
      <c r="R51" s="490"/>
      <c r="S51" s="529"/>
      <c r="T51" s="529"/>
      <c r="U51" s="529"/>
      <c r="V51" s="81"/>
      <c r="W51" s="252"/>
    </row>
    <row r="52" spans="1:23" s="498" customFormat="1" ht="90">
      <c r="A52" s="539" t="str">
        <f>H23</f>
        <v>RCR56</v>
      </c>
      <c r="B52" s="531" t="str">
        <f>I23</f>
        <v>Time savings due to improved road infrastructures (dėl patobulintos kelių infrastruktūros sutaupytas laikas)</v>
      </c>
      <c r="C52" s="457" t="str">
        <f>L23</f>
        <v>man-days/year</v>
      </c>
      <c r="D52" s="540">
        <f>M23+M29</f>
        <v>0</v>
      </c>
      <c r="E52" s="533" t="s">
        <v>125</v>
      </c>
      <c r="F52" s="533" t="s">
        <v>163</v>
      </c>
      <c r="G52" s="533" t="str">
        <f>N29</f>
        <v>2021</v>
      </c>
      <c r="H52" s="533" t="s">
        <v>127</v>
      </c>
      <c r="I52" s="636">
        <f>P23+P29</f>
        <v>52997</v>
      </c>
      <c r="R52" s="490"/>
      <c r="S52" s="529"/>
      <c r="T52" s="529"/>
      <c r="U52" s="529"/>
      <c r="V52" s="81"/>
      <c r="W52" s="252"/>
    </row>
    <row r="53" spans="1:23" s="498" customFormat="1" ht="90">
      <c r="A53" s="539" t="str">
        <f>H26</f>
        <v>RCR56</v>
      </c>
      <c r="B53" s="531" t="str">
        <f>I26</f>
        <v>Time savings due to improved road infrastructures (dėl patobulintos kelių infrastruktūros sutaupytas laikas)</v>
      </c>
      <c r="C53" s="457" t="str">
        <f>L26</f>
        <v xml:space="preserve">
man-days/year</v>
      </c>
      <c r="D53" s="540">
        <f>M26</f>
        <v>0</v>
      </c>
      <c r="E53" s="533" t="s">
        <v>396</v>
      </c>
      <c r="F53" s="533" t="s">
        <v>154</v>
      </c>
      <c r="G53" s="533">
        <v>2021</v>
      </c>
      <c r="H53" s="533" t="s">
        <v>127</v>
      </c>
      <c r="I53" s="636">
        <f>P26</f>
        <v>23864</v>
      </c>
      <c r="R53" s="490"/>
      <c r="S53" s="529"/>
      <c r="T53" s="529"/>
      <c r="U53" s="529"/>
      <c r="V53" s="81"/>
      <c r="W53" s="252"/>
    </row>
    <row r="54" spans="1:23" s="498" customFormat="1" ht="60">
      <c r="A54" s="631" t="str">
        <f>H32</f>
        <v>Specific output</v>
      </c>
      <c r="B54" s="632" t="str">
        <f>I32</f>
        <v>Traffic control systems installed on roads (Įdiegtos eismo kontrolės sistemos keliuose)</v>
      </c>
      <c r="C54" s="633" t="str">
        <f>L32</f>
        <v>Number</v>
      </c>
      <c r="D54" s="633" t="str">
        <f>M32</f>
        <v>0</v>
      </c>
      <c r="E54" s="633" t="s">
        <v>125</v>
      </c>
      <c r="F54" s="633" t="s">
        <v>163</v>
      </c>
      <c r="G54" s="634" t="s">
        <v>127</v>
      </c>
      <c r="H54" s="633">
        <f>O32</f>
        <v>0</v>
      </c>
      <c r="I54" s="635">
        <f>P32</f>
        <v>113</v>
      </c>
      <c r="R54" s="490"/>
      <c r="S54" s="529"/>
      <c r="T54" s="529"/>
      <c r="U54" s="529"/>
      <c r="V54" s="81"/>
      <c r="W54" s="252"/>
    </row>
    <row r="55" spans="1:23" s="498" customFormat="1" ht="75">
      <c r="A55" s="627" t="str">
        <f>H30</f>
        <v>Specific output</v>
      </c>
      <c r="B55" s="628" t="s">
        <v>413</v>
      </c>
      <c r="C55" s="629" t="str">
        <f>L30</f>
        <v>Number</v>
      </c>
      <c r="D55" s="629">
        <v>0</v>
      </c>
      <c r="E55" s="629" t="s">
        <v>125</v>
      </c>
      <c r="F55" s="629" t="s">
        <v>163</v>
      </c>
      <c r="G55" s="629" t="s">
        <v>127</v>
      </c>
      <c r="H55" s="629">
        <v>0</v>
      </c>
      <c r="I55" s="630">
        <f>P30</f>
        <v>3</v>
      </c>
      <c r="R55" s="490"/>
      <c r="S55" s="529"/>
      <c r="T55" s="529"/>
      <c r="U55" s="529"/>
      <c r="V55" s="81"/>
      <c r="W55" s="252"/>
    </row>
    <row r="56" spans="1:23" s="498" customFormat="1" ht="60">
      <c r="A56" s="537" t="s">
        <v>340</v>
      </c>
      <c r="B56" s="531" t="s">
        <v>414</v>
      </c>
      <c r="C56" s="533" t="s">
        <v>353</v>
      </c>
      <c r="D56" s="533" t="s">
        <v>415</v>
      </c>
      <c r="E56" s="533" t="s">
        <v>125</v>
      </c>
      <c r="F56" s="533" t="s">
        <v>163</v>
      </c>
      <c r="G56" s="533" t="s">
        <v>261</v>
      </c>
      <c r="H56" s="533" t="s">
        <v>127</v>
      </c>
      <c r="I56" s="536">
        <f>P33</f>
        <v>26</v>
      </c>
      <c r="R56" s="490"/>
      <c r="S56" s="529"/>
      <c r="T56" s="529"/>
      <c r="U56" s="529"/>
      <c r="V56" s="81"/>
      <c r="W56" s="252"/>
    </row>
    <row r="57" spans="1:23" s="498" customFormat="1" ht="105.75" thickBot="1">
      <c r="A57" s="466" t="s">
        <v>151</v>
      </c>
      <c r="B57" s="467" t="s">
        <v>369</v>
      </c>
      <c r="C57" s="541" t="s">
        <v>173</v>
      </c>
      <c r="D57" s="541">
        <v>0</v>
      </c>
      <c r="E57" s="541" t="s">
        <v>125</v>
      </c>
      <c r="F57" s="541" t="s">
        <v>163</v>
      </c>
      <c r="G57" s="541" t="s">
        <v>333</v>
      </c>
      <c r="H57" s="541">
        <v>0</v>
      </c>
      <c r="I57" s="542">
        <f>P17</f>
        <v>1</v>
      </c>
      <c r="R57" s="490"/>
      <c r="S57" s="529"/>
      <c r="T57" s="529"/>
      <c r="U57" s="529"/>
      <c r="V57" s="81"/>
      <c r="W57" s="252"/>
    </row>
    <row r="58" spans="1:23">
      <c r="D58" s="451">
        <f>SUM(D41:D57)+1</f>
        <v>377656962</v>
      </c>
      <c r="H58" s="112">
        <f>SUM(H41:H57)</f>
        <v>85.09</v>
      </c>
      <c r="I58" s="112">
        <f>SUM(I41:I57)</f>
        <v>397844893.24000001</v>
      </c>
      <c r="J58" s="112" t="b">
        <f>I58=P34</f>
        <v>1</v>
      </c>
    </row>
    <row r="59" spans="1:23">
      <c r="D59" t="b">
        <f>D58=M34</f>
        <v>1</v>
      </c>
    </row>
  </sheetData>
  <mergeCells count="84">
    <mergeCell ref="V32:V33"/>
    <mergeCell ref="B21:B33"/>
    <mergeCell ref="A21:A33"/>
    <mergeCell ref="E32:E33"/>
    <mergeCell ref="C27:C29"/>
    <mergeCell ref="C32:C33"/>
    <mergeCell ref="D32:D33"/>
    <mergeCell ref="E24:E26"/>
    <mergeCell ref="C30:C31"/>
    <mergeCell ref="D27:D31"/>
    <mergeCell ref="C24:C26"/>
    <mergeCell ref="E27:E29"/>
    <mergeCell ref="E30:E31"/>
    <mergeCell ref="F32:F33"/>
    <mergeCell ref="A4:A5"/>
    <mergeCell ref="C4:C5"/>
    <mergeCell ref="G4:G5"/>
    <mergeCell ref="A6:A20"/>
    <mergeCell ref="C19:C20"/>
    <mergeCell ref="D4:F4"/>
    <mergeCell ref="B4:B5"/>
    <mergeCell ref="G6:G7"/>
    <mergeCell ref="D19:D20"/>
    <mergeCell ref="E19:E20"/>
    <mergeCell ref="F19:F20"/>
    <mergeCell ref="G19:G20"/>
    <mergeCell ref="B6:B20"/>
    <mergeCell ref="G15:G16"/>
    <mergeCell ref="D13:D16"/>
    <mergeCell ref="E6:E12"/>
    <mergeCell ref="D6:D12"/>
    <mergeCell ref="C13:C16"/>
    <mergeCell ref="C6:C12"/>
    <mergeCell ref="G10:G12"/>
    <mergeCell ref="C21:C23"/>
    <mergeCell ref="D21:D26"/>
    <mergeCell ref="E13:E16"/>
    <mergeCell ref="E21:E23"/>
    <mergeCell ref="F24:F26"/>
    <mergeCell ref="F21:F23"/>
    <mergeCell ref="G21:G23"/>
    <mergeCell ref="G24:G26"/>
    <mergeCell ref="F13:F16"/>
    <mergeCell ref="G32:G33"/>
    <mergeCell ref="J6:J12"/>
    <mergeCell ref="G30:G31"/>
    <mergeCell ref="F30:F31"/>
    <mergeCell ref="J13:J16"/>
    <mergeCell ref="J17:J18"/>
    <mergeCell ref="J27:J31"/>
    <mergeCell ref="F27:F29"/>
    <mergeCell ref="G8:G9"/>
    <mergeCell ref="K27:K31"/>
    <mergeCell ref="K24:K26"/>
    <mergeCell ref="K17:K18"/>
    <mergeCell ref="K13:K16"/>
    <mergeCell ref="G27:G29"/>
    <mergeCell ref="H4:I4"/>
    <mergeCell ref="K19:K20"/>
    <mergeCell ref="J24:J26"/>
    <mergeCell ref="J19:J20"/>
    <mergeCell ref="J32:J33"/>
    <mergeCell ref="K32:K33"/>
    <mergeCell ref="O4:O5"/>
    <mergeCell ref="T4:T5"/>
    <mergeCell ref="U4:U5"/>
    <mergeCell ref="Q4:Q5"/>
    <mergeCell ref="K6:K12"/>
    <mergeCell ref="W4:W5"/>
    <mergeCell ref="V4:V5"/>
    <mergeCell ref="R4:R5"/>
    <mergeCell ref="S4:S5"/>
    <mergeCell ref="C17:C18"/>
    <mergeCell ref="D17:D18"/>
    <mergeCell ref="E17:E18"/>
    <mergeCell ref="F17:F18"/>
    <mergeCell ref="G17:G18"/>
    <mergeCell ref="L4:L5"/>
    <mergeCell ref="K4:K5"/>
    <mergeCell ref="F6:F12"/>
    <mergeCell ref="G13:G14"/>
    <mergeCell ref="P4:P5"/>
    <mergeCell ref="J4:J5"/>
    <mergeCell ref="M4:N4"/>
  </mergeCells>
  <phoneticPr fontId="35" type="noConversion"/>
  <pageMargins left="0.7" right="0.7" top="0.75" bottom="0.75" header="0.3" footer="0.3"/>
  <pageSetup paperSize="9" scale="13"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34"/>
  <sheetViews>
    <sheetView zoomScale="55" zoomScaleNormal="55" workbookViewId="0">
      <selection activeCell="M18" sqref="M18"/>
    </sheetView>
  </sheetViews>
  <sheetFormatPr defaultRowHeight="15"/>
  <cols>
    <col min="1" max="1" width="24.5703125" customWidth="1"/>
    <col min="2" max="2" width="17.7109375" customWidth="1"/>
    <col min="3" max="3" width="17.28515625" customWidth="1"/>
    <col min="4" max="4" width="15.28515625" customWidth="1"/>
    <col min="5" max="5" width="17.28515625" customWidth="1"/>
    <col min="6" max="6" width="14.71093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7109375" customWidth="1"/>
    <col min="17" max="17" width="37" customWidth="1"/>
    <col min="18" max="18" width="92.7109375" customWidth="1"/>
    <col min="19" max="19" width="81" customWidth="1"/>
    <col min="20" max="20" width="60.5703125" customWidth="1"/>
    <col min="21" max="21" width="14.28515625" style="112" bestFit="1" customWidth="1"/>
    <col min="22" max="23" width="8.7109375" style="112"/>
    <col min="24" max="24" width="10.42578125" bestFit="1" customWidth="1"/>
  </cols>
  <sheetData>
    <row r="1" spans="1:37">
      <c r="A1" s="9"/>
      <c r="L1" s="124"/>
    </row>
    <row r="4" spans="1:37" ht="15.75" thickBot="1">
      <c r="A4" s="9" t="s">
        <v>207</v>
      </c>
    </row>
    <row r="5" spans="1:37" ht="15" customHeight="1">
      <c r="A5" s="925" t="s">
        <v>213</v>
      </c>
      <c r="B5" s="866" t="s">
        <v>101</v>
      </c>
      <c r="C5" s="872" t="s">
        <v>102</v>
      </c>
      <c r="D5" s="920" t="s">
        <v>103</v>
      </c>
      <c r="E5" s="920"/>
      <c r="F5" s="920"/>
      <c r="G5" s="923" t="s">
        <v>104</v>
      </c>
      <c r="H5" s="921" t="s">
        <v>214</v>
      </c>
      <c r="I5" s="921"/>
      <c r="J5" s="920" t="s">
        <v>3</v>
      </c>
      <c r="K5" s="920" t="s">
        <v>2</v>
      </c>
      <c r="L5" s="920" t="s">
        <v>189</v>
      </c>
      <c r="M5" s="920" t="s">
        <v>215</v>
      </c>
      <c r="N5" s="920"/>
      <c r="O5" s="923" t="s">
        <v>192</v>
      </c>
      <c r="P5" s="920" t="s">
        <v>193</v>
      </c>
      <c r="Q5" s="920" t="s">
        <v>216</v>
      </c>
      <c r="R5" s="918" t="s">
        <v>217</v>
      </c>
      <c r="S5" s="135"/>
      <c r="T5" s="135"/>
      <c r="U5" s="176"/>
      <c r="V5" s="176"/>
      <c r="W5" s="176"/>
      <c r="X5" s="135"/>
      <c r="Y5" s="135"/>
      <c r="Z5" s="135"/>
      <c r="AA5" s="135"/>
      <c r="AB5" s="10"/>
      <c r="AC5" s="10"/>
      <c r="AD5" s="10"/>
      <c r="AE5" s="10"/>
      <c r="AF5" s="10"/>
      <c r="AG5" s="10"/>
      <c r="AH5" s="10"/>
      <c r="AI5" s="10"/>
      <c r="AJ5" s="10"/>
      <c r="AK5" s="10"/>
    </row>
    <row r="6" spans="1:37" ht="84" customHeight="1" thickBot="1">
      <c r="A6" s="926"/>
      <c r="B6" s="867"/>
      <c r="C6" s="873"/>
      <c r="D6" s="141" t="s">
        <v>114</v>
      </c>
      <c r="E6" s="142" t="s">
        <v>115</v>
      </c>
      <c r="F6" s="143" t="s">
        <v>218</v>
      </c>
      <c r="G6" s="924"/>
      <c r="H6" s="141" t="s">
        <v>187</v>
      </c>
      <c r="I6" s="141" t="s">
        <v>188</v>
      </c>
      <c r="J6" s="922"/>
      <c r="K6" s="922"/>
      <c r="L6" s="922"/>
      <c r="M6" s="141" t="s">
        <v>219</v>
      </c>
      <c r="N6" s="141" t="s">
        <v>220</v>
      </c>
      <c r="O6" s="924"/>
      <c r="P6" s="922"/>
      <c r="Q6" s="922"/>
      <c r="R6" s="919"/>
      <c r="S6" s="135"/>
      <c r="T6" s="135"/>
      <c r="U6" s="176"/>
      <c r="V6" s="176"/>
      <c r="W6" s="176"/>
      <c r="X6" s="135"/>
      <c r="Y6" s="135"/>
      <c r="Z6" s="135"/>
      <c r="AA6" s="135"/>
      <c r="AB6" s="10"/>
      <c r="AC6" s="10"/>
      <c r="AD6" s="10"/>
      <c r="AE6" s="10"/>
      <c r="AF6" s="10"/>
      <c r="AG6" s="10"/>
      <c r="AH6" s="10"/>
      <c r="AI6" s="10"/>
      <c r="AJ6" s="10"/>
      <c r="AK6" s="10"/>
    </row>
    <row r="7" spans="1:37" ht="42" hidden="1" customHeight="1">
      <c r="A7" s="912"/>
      <c r="B7" s="157"/>
      <c r="C7" s="903">
        <f>'[1]Intervencijų lėšos'!I8</f>
        <v>10000000</v>
      </c>
      <c r="D7" s="905" t="s">
        <v>150</v>
      </c>
      <c r="E7" s="907">
        <f>(C7*100/70)-C7</f>
        <v>4285714.2857142854</v>
      </c>
      <c r="F7" s="909">
        <f>C7+E7</f>
        <v>14285714.285714285</v>
      </c>
      <c r="G7" s="148">
        <f>F7</f>
        <v>14285714.285714285</v>
      </c>
      <c r="H7" s="149" t="s">
        <v>166</v>
      </c>
      <c r="I7" s="149" t="s">
        <v>194</v>
      </c>
      <c r="J7" s="150" t="s">
        <v>18</v>
      </c>
      <c r="K7" s="150" t="s">
        <v>17</v>
      </c>
      <c r="L7" s="149" t="s">
        <v>195</v>
      </c>
      <c r="M7" s="149"/>
      <c r="N7" s="149"/>
      <c r="O7" s="151"/>
      <c r="P7" s="149"/>
      <c r="Q7" s="149" t="s">
        <v>157</v>
      </c>
      <c r="R7" s="147"/>
      <c r="S7" s="135"/>
      <c r="T7" s="135"/>
      <c r="U7" s="176"/>
      <c r="V7" s="176"/>
      <c r="W7" s="176"/>
      <c r="X7" s="135"/>
      <c r="Y7" s="135"/>
      <c r="Z7" s="135"/>
      <c r="AA7" s="135"/>
      <c r="AB7" s="10"/>
      <c r="AC7" s="10"/>
      <c r="AD7" s="10"/>
      <c r="AE7" s="10"/>
      <c r="AF7" s="10"/>
      <c r="AG7" s="10"/>
      <c r="AH7" s="10"/>
      <c r="AI7" s="10"/>
      <c r="AJ7" s="10"/>
      <c r="AK7" s="10"/>
    </row>
    <row r="8" spans="1:37" ht="35.65" hidden="1" customHeight="1">
      <c r="A8" s="913"/>
      <c r="B8" s="158"/>
      <c r="C8" s="904"/>
      <c r="D8" s="906"/>
      <c r="E8" s="908"/>
      <c r="F8" s="904"/>
      <c r="G8" s="152"/>
      <c r="H8" s="153"/>
      <c r="I8" s="153"/>
      <c r="J8" s="153"/>
      <c r="K8" s="153"/>
      <c r="L8" s="153"/>
      <c r="M8" s="153"/>
      <c r="N8" s="153"/>
      <c r="O8" s="154"/>
      <c r="P8" s="153"/>
      <c r="Q8" s="153" t="s">
        <v>157</v>
      </c>
      <c r="R8" s="155"/>
      <c r="S8" s="135"/>
      <c r="T8" s="135"/>
      <c r="U8" s="176"/>
      <c r="V8" s="176"/>
      <c r="W8" s="176"/>
      <c r="X8" s="135"/>
      <c r="Y8" s="135"/>
      <c r="Z8" s="135"/>
      <c r="AA8" s="135"/>
      <c r="AB8" s="10"/>
      <c r="AC8" s="10"/>
      <c r="AD8" s="10"/>
      <c r="AE8" s="10"/>
      <c r="AF8" s="10"/>
      <c r="AG8" s="10"/>
      <c r="AH8" s="10"/>
      <c r="AI8" s="10"/>
      <c r="AJ8" s="10"/>
      <c r="AK8" s="10"/>
    </row>
    <row r="9" spans="1:37" s="115" customFormat="1" ht="90" customHeight="1">
      <c r="A9" s="1054" t="s">
        <v>427</v>
      </c>
      <c r="B9" s="1056">
        <f>F9</f>
        <v>11764705.882352941</v>
      </c>
      <c r="C9" s="1056">
        <v>10000000</v>
      </c>
      <c r="D9" s="1058" t="s">
        <v>428</v>
      </c>
      <c r="E9" s="1056">
        <f>C9/0.85*0.15</f>
        <v>1764705.882352941</v>
      </c>
      <c r="F9" s="1056">
        <f>C9+E9</f>
        <v>11764705.882352941</v>
      </c>
      <c r="G9" s="1056">
        <f>F9</f>
        <v>11764705.882352941</v>
      </c>
      <c r="H9" s="407" t="s">
        <v>429</v>
      </c>
      <c r="I9" s="240" t="s">
        <v>430</v>
      </c>
      <c r="J9" s="1060" t="s">
        <v>153</v>
      </c>
      <c r="K9" s="1058" t="s">
        <v>154</v>
      </c>
      <c r="L9" s="240" t="s">
        <v>328</v>
      </c>
      <c r="M9" s="240" t="s">
        <v>238</v>
      </c>
      <c r="N9" s="240" t="s">
        <v>156</v>
      </c>
      <c r="O9" s="408">
        <f>P9*0.1</f>
        <v>6.8000000000000007</v>
      </c>
      <c r="P9" s="240" t="s">
        <v>431</v>
      </c>
      <c r="Q9" s="240" t="s">
        <v>157</v>
      </c>
      <c r="R9" s="409" t="s">
        <v>432</v>
      </c>
      <c r="S9" s="422" t="s">
        <v>433</v>
      </c>
      <c r="T9" s="1062" t="s">
        <v>434</v>
      </c>
      <c r="U9" s="191"/>
      <c r="V9" s="191"/>
      <c r="W9" s="175"/>
      <c r="X9" s="175"/>
      <c r="Y9" s="113"/>
      <c r="Z9" s="113"/>
      <c r="AA9" s="113"/>
      <c r="AB9" s="114"/>
      <c r="AC9" s="114"/>
      <c r="AD9" s="114"/>
      <c r="AE9" s="114"/>
      <c r="AF9" s="114"/>
      <c r="AG9" s="114"/>
      <c r="AH9" s="114"/>
      <c r="AI9" s="114"/>
      <c r="AJ9" s="114"/>
      <c r="AK9" s="114"/>
    </row>
    <row r="10" spans="1:37" s="115" customFormat="1" ht="163.15" customHeight="1" thickBot="1">
      <c r="A10" s="1055"/>
      <c r="B10" s="1057"/>
      <c r="C10" s="1057"/>
      <c r="D10" s="1059"/>
      <c r="E10" s="1057"/>
      <c r="F10" s="1057"/>
      <c r="G10" s="1057"/>
      <c r="H10" s="410" t="s">
        <v>435</v>
      </c>
      <c r="I10" s="131" t="s">
        <v>436</v>
      </c>
      <c r="J10" s="1061"/>
      <c r="K10" s="1059"/>
      <c r="L10" s="131" t="s">
        <v>437</v>
      </c>
      <c r="M10" s="239">
        <f>369450*0.069</f>
        <v>25492.050000000003</v>
      </c>
      <c r="N10" s="131" t="s">
        <v>333</v>
      </c>
      <c r="O10" s="411" t="s">
        <v>127</v>
      </c>
      <c r="P10" s="239">
        <f>341224*0.128</f>
        <v>43676.671999999999</v>
      </c>
      <c r="Q10" s="131" t="s">
        <v>157</v>
      </c>
      <c r="R10" s="412" t="s">
        <v>438</v>
      </c>
      <c r="S10" s="423" t="s">
        <v>439</v>
      </c>
      <c r="T10" s="1062"/>
      <c r="U10" s="175"/>
      <c r="V10" s="175"/>
      <c r="W10" s="175"/>
      <c r="X10" s="113"/>
      <c r="Y10" s="113"/>
      <c r="Z10" s="113"/>
      <c r="AA10" s="113"/>
      <c r="AB10" s="114"/>
      <c r="AC10" s="114"/>
      <c r="AD10" s="114"/>
      <c r="AE10" s="114"/>
      <c r="AF10" s="114"/>
      <c r="AG10" s="114"/>
      <c r="AH10" s="114"/>
      <c r="AI10" s="114"/>
      <c r="AJ10" s="114"/>
      <c r="AK10" s="114"/>
    </row>
    <row r="11" spans="1:37" s="112" customFormat="1">
      <c r="A11"/>
      <c r="C11" s="112" t="e">
        <f>#REF!+#REF!</f>
        <v>#REF!</v>
      </c>
      <c r="D11"/>
      <c r="E11"/>
      <c r="F11"/>
      <c r="G11"/>
      <c r="H11"/>
      <c r="I11"/>
      <c r="J11"/>
      <c r="K11"/>
      <c r="L11"/>
      <c r="M11"/>
      <c r="N11"/>
      <c r="O11"/>
      <c r="P11"/>
      <c r="Q11"/>
      <c r="R11"/>
      <c r="S11"/>
      <c r="T11"/>
      <c r="X11"/>
      <c r="Y11"/>
      <c r="Z11"/>
      <c r="AA11"/>
      <c r="AB11"/>
      <c r="AC11"/>
      <c r="AD11"/>
      <c r="AE11"/>
      <c r="AF11"/>
      <c r="AG11"/>
      <c r="AH11"/>
      <c r="AI11"/>
      <c r="AJ11"/>
      <c r="AK11"/>
    </row>
    <row r="12" spans="1:37" s="112" customFormat="1">
      <c r="A12"/>
      <c r="B12"/>
      <c r="C12" s="112">
        <f>C9</f>
        <v>10000000</v>
      </c>
      <c r="D12"/>
      <c r="E12"/>
      <c r="F12"/>
      <c r="G12"/>
      <c r="H12"/>
      <c r="I12"/>
      <c r="J12"/>
      <c r="K12"/>
      <c r="L12"/>
      <c r="M12"/>
      <c r="N12"/>
      <c r="O12"/>
      <c r="P12"/>
      <c r="Q12"/>
      <c r="R12"/>
      <c r="S12"/>
      <c r="T12"/>
      <c r="X12"/>
      <c r="Y12"/>
      <c r="Z12"/>
      <c r="AA12"/>
      <c r="AB12"/>
      <c r="AC12"/>
      <c r="AD12"/>
      <c r="AE12"/>
      <c r="AF12"/>
      <c r="AG12"/>
      <c r="AH12"/>
      <c r="AI12"/>
      <c r="AJ12"/>
      <c r="AK12"/>
    </row>
    <row r="13" spans="1:37" s="112" customFormat="1">
      <c r="A13"/>
      <c r="B13"/>
      <c r="C13" s="112" t="e">
        <f>#REF!+#REF!</f>
        <v>#REF!</v>
      </c>
      <c r="D13"/>
      <c r="E13"/>
      <c r="F13"/>
      <c r="G13"/>
      <c r="H13"/>
      <c r="I13"/>
      <c r="J13"/>
      <c r="K13"/>
      <c r="L13"/>
      <c r="M13"/>
      <c r="N13"/>
      <c r="O13"/>
      <c r="P13"/>
      <c r="Q13"/>
      <c r="R13"/>
      <c r="S13"/>
      <c r="T13"/>
      <c r="X13"/>
      <c r="Y13"/>
      <c r="Z13"/>
      <c r="AA13"/>
      <c r="AB13"/>
      <c r="AC13"/>
      <c r="AD13"/>
      <c r="AE13"/>
      <c r="AF13"/>
      <c r="AG13"/>
      <c r="AH13"/>
      <c r="AI13"/>
      <c r="AJ13"/>
      <c r="AK13"/>
    </row>
    <row r="16" spans="1:37" ht="45">
      <c r="A16" s="14" t="s">
        <v>187</v>
      </c>
      <c r="B16" s="25" t="s">
        <v>188</v>
      </c>
      <c r="C16" s="14" t="s">
        <v>189</v>
      </c>
      <c r="D16" s="14" t="s">
        <v>190</v>
      </c>
      <c r="E16" s="14" t="s">
        <v>3</v>
      </c>
      <c r="F16" s="14" t="s">
        <v>2</v>
      </c>
      <c r="G16" s="14" t="s">
        <v>191</v>
      </c>
      <c r="H16" s="14" t="s">
        <v>192</v>
      </c>
      <c r="I16" s="14" t="s">
        <v>193</v>
      </c>
      <c r="J16" s="50"/>
      <c r="K16" s="49"/>
      <c r="N16" s="61"/>
      <c r="O16" s="61"/>
      <c r="T16" s="112"/>
      <c r="W16"/>
    </row>
    <row r="17" spans="1:37" s="112" customFormat="1" ht="45">
      <c r="A17" s="116" t="s">
        <v>429</v>
      </c>
      <c r="B17" s="133" t="s">
        <v>430</v>
      </c>
      <c r="C17" s="172" t="s">
        <v>328</v>
      </c>
      <c r="D17" s="171" t="str">
        <f>M9</f>
        <v>0</v>
      </c>
      <c r="E17" s="133" t="str">
        <f>J9</f>
        <v>Midle- west Lithuania region</v>
      </c>
      <c r="F17" s="133" t="str">
        <f>K9</f>
        <v>ERDF</v>
      </c>
      <c r="G17" s="13">
        <v>2021</v>
      </c>
      <c r="H17" s="128">
        <f>O9</f>
        <v>6.8000000000000007</v>
      </c>
      <c r="I17" s="128" t="str">
        <f>P9</f>
        <v xml:space="preserve">68             </v>
      </c>
      <c r="J17" s="744"/>
      <c r="K17"/>
      <c r="L17"/>
      <c r="M17"/>
      <c r="N17"/>
      <c r="O17"/>
      <c r="P17"/>
      <c r="Q17"/>
      <c r="R17"/>
      <c r="S17"/>
      <c r="T17"/>
      <c r="X17"/>
      <c r="Y17"/>
      <c r="Z17"/>
      <c r="AA17"/>
      <c r="AB17"/>
      <c r="AC17"/>
      <c r="AD17"/>
      <c r="AE17"/>
      <c r="AF17"/>
      <c r="AG17"/>
      <c r="AH17"/>
      <c r="AI17"/>
      <c r="AJ17"/>
      <c r="AK17"/>
    </row>
    <row r="18" spans="1:37" s="112" customFormat="1" ht="45">
      <c r="A18" s="116" t="s">
        <v>435</v>
      </c>
      <c r="B18" s="133" t="s">
        <v>436</v>
      </c>
      <c r="C18" s="116" t="str">
        <f>L10</f>
        <v>Users/Year</v>
      </c>
      <c r="D18" s="128">
        <f>M10</f>
        <v>25492.050000000003</v>
      </c>
      <c r="E18" s="13" t="s">
        <v>196</v>
      </c>
      <c r="F18" s="13" t="s">
        <v>17</v>
      </c>
      <c r="G18" s="13">
        <v>2021</v>
      </c>
      <c r="H18" s="171" t="str">
        <f>O10</f>
        <v>n/a</v>
      </c>
      <c r="I18" s="128">
        <f>P10</f>
        <v>43676.671999999999</v>
      </c>
      <c r="J18" s="744"/>
      <c r="K18"/>
      <c r="L18"/>
      <c r="M18"/>
      <c r="N18"/>
      <c r="O18"/>
      <c r="P18"/>
      <c r="Q18"/>
      <c r="R18"/>
      <c r="S18"/>
      <c r="T18"/>
      <c r="X18"/>
      <c r="Y18"/>
      <c r="Z18"/>
      <c r="AA18"/>
      <c r="AB18"/>
      <c r="AC18"/>
      <c r="AD18"/>
      <c r="AE18"/>
      <c r="AF18"/>
      <c r="AG18"/>
      <c r="AH18"/>
      <c r="AI18"/>
      <c r="AJ18"/>
      <c r="AK18"/>
    </row>
    <row r="19" spans="1:37" s="112" customFormat="1">
      <c r="A19" s="3"/>
      <c r="B19" s="3"/>
      <c r="C19" s="3"/>
      <c r="D19" s="4"/>
      <c r="E19" s="3"/>
      <c r="F19" s="3"/>
      <c r="G19" s="3"/>
      <c r="H19" s="3"/>
      <c r="I19" s="3"/>
      <c r="J19" s="744"/>
      <c r="K19"/>
      <c r="L19"/>
      <c r="M19"/>
      <c r="N19"/>
      <c r="O19"/>
      <c r="P19"/>
      <c r="Q19"/>
      <c r="R19"/>
      <c r="S19"/>
      <c r="T19"/>
      <c r="X19"/>
      <c r="Y19"/>
      <c r="Z19"/>
      <c r="AA19"/>
      <c r="AB19"/>
      <c r="AC19"/>
      <c r="AD19"/>
      <c r="AE19"/>
      <c r="AF19"/>
      <c r="AG19"/>
      <c r="AH19"/>
      <c r="AI19"/>
      <c r="AJ19"/>
      <c r="AK19"/>
    </row>
    <row r="20" spans="1:37" s="112" customFormat="1">
      <c r="A20" s="3"/>
      <c r="B20" s="3"/>
      <c r="C20" s="3"/>
      <c r="D20" s="4"/>
      <c r="E20" s="3"/>
      <c r="F20" s="3"/>
      <c r="G20" s="3"/>
      <c r="H20" s="3"/>
      <c r="I20" s="3"/>
      <c r="J20" s="744"/>
      <c r="K20"/>
      <c r="L20"/>
      <c r="M20"/>
      <c r="N20"/>
      <c r="O20"/>
      <c r="P20"/>
      <c r="Q20"/>
      <c r="R20"/>
      <c r="S20"/>
      <c r="T20"/>
      <c r="X20"/>
      <c r="Y20"/>
      <c r="Z20"/>
      <c r="AA20"/>
      <c r="AB20"/>
      <c r="AC20"/>
      <c r="AD20"/>
      <c r="AE20"/>
      <c r="AF20"/>
      <c r="AG20"/>
      <c r="AH20"/>
      <c r="AI20"/>
      <c r="AJ20"/>
      <c r="AK20"/>
    </row>
    <row r="21" spans="1:37" s="112" customFormat="1">
      <c r="A21" s="3"/>
      <c r="B21" s="3"/>
      <c r="C21" s="3"/>
      <c r="D21" s="4"/>
      <c r="E21" s="3"/>
      <c r="F21" s="3"/>
      <c r="G21" s="3"/>
      <c r="H21" s="3"/>
      <c r="I21" s="3"/>
      <c r="J21" s="744"/>
      <c r="K21"/>
      <c r="L21"/>
      <c r="M21"/>
      <c r="N21"/>
      <c r="O21"/>
      <c r="P21"/>
      <c r="Q21"/>
      <c r="R21"/>
      <c r="S21"/>
      <c r="T21"/>
      <c r="X21"/>
      <c r="Y21"/>
      <c r="Z21"/>
      <c r="AA21"/>
      <c r="AB21"/>
      <c r="AC21"/>
      <c r="AD21"/>
      <c r="AE21"/>
      <c r="AF21"/>
      <c r="AG21"/>
      <c r="AH21"/>
      <c r="AI21"/>
      <c r="AJ21"/>
      <c r="AK21"/>
    </row>
    <row r="22" spans="1:37">
      <c r="A22" s="3"/>
      <c r="B22" s="3"/>
      <c r="C22" s="3"/>
      <c r="D22" s="4"/>
      <c r="E22" s="3"/>
      <c r="F22" s="3"/>
      <c r="G22" s="3"/>
      <c r="H22" s="3"/>
      <c r="I22" s="3"/>
      <c r="J22" s="744"/>
    </row>
    <row r="23" spans="1:37">
      <c r="A23" s="3"/>
      <c r="B23" s="3"/>
      <c r="C23" s="3"/>
      <c r="D23" s="4"/>
      <c r="E23" s="3"/>
      <c r="F23" s="3"/>
      <c r="G23" s="3"/>
      <c r="H23" s="3"/>
      <c r="I23" s="3"/>
      <c r="J23" s="744"/>
    </row>
    <row r="24" spans="1:37">
      <c r="A24" s="3"/>
      <c r="B24" s="3"/>
      <c r="C24" s="3"/>
      <c r="D24" s="4"/>
      <c r="E24" s="3"/>
      <c r="F24" s="3"/>
      <c r="G24" s="3"/>
      <c r="H24" s="3"/>
      <c r="I24" s="3"/>
      <c r="J24" s="744"/>
    </row>
    <row r="25" spans="1:37">
      <c r="A25" s="3"/>
      <c r="B25" s="3"/>
      <c r="C25" s="3"/>
      <c r="D25" s="4"/>
      <c r="E25" s="3"/>
      <c r="F25" s="3"/>
      <c r="G25" s="3"/>
      <c r="H25" s="3"/>
      <c r="I25" s="3"/>
      <c r="J25" s="744"/>
    </row>
    <row r="26" spans="1:37">
      <c r="D26" s="112"/>
    </row>
    <row r="27" spans="1:37">
      <c r="D27" s="112"/>
    </row>
    <row r="28" spans="1:37">
      <c r="D28" s="112"/>
    </row>
    <row r="29" spans="1:37">
      <c r="D29" s="112"/>
    </row>
    <row r="30" spans="1:37">
      <c r="D30" s="112"/>
    </row>
    <row r="31" spans="1:37">
      <c r="D31" s="112"/>
    </row>
    <row r="32" spans="1:37">
      <c r="D32" s="112"/>
    </row>
    <row r="33" spans="4:4">
      <c r="D33" s="112"/>
    </row>
    <row r="34" spans="4:4">
      <c r="D34" s="112"/>
    </row>
  </sheetData>
  <mergeCells count="30">
    <mergeCell ref="G9:G10"/>
    <mergeCell ref="J9:J10"/>
    <mergeCell ref="K9:K10"/>
    <mergeCell ref="T9:T10"/>
    <mergeCell ref="J17:J25"/>
    <mergeCell ref="C7:C8"/>
    <mergeCell ref="D7:D8"/>
    <mergeCell ref="E7:E8"/>
    <mergeCell ref="F7:F8"/>
    <mergeCell ref="A9:A10"/>
    <mergeCell ref="B9:B10"/>
    <mergeCell ref="C9:C10"/>
    <mergeCell ref="D9:D10"/>
    <mergeCell ref="E9:E10"/>
    <mergeCell ref="F9:F10"/>
    <mergeCell ref="A7:A8"/>
    <mergeCell ref="Q5:Q6"/>
    <mergeCell ref="R5:R6"/>
    <mergeCell ref="J5:J6"/>
    <mergeCell ref="K5:K6"/>
    <mergeCell ref="L5:L6"/>
    <mergeCell ref="M5:N5"/>
    <mergeCell ref="O5:O6"/>
    <mergeCell ref="P5:P6"/>
    <mergeCell ref="H5:I5"/>
    <mergeCell ref="A5:A6"/>
    <mergeCell ref="B5:B6"/>
    <mergeCell ref="C5:C6"/>
    <mergeCell ref="D5:F5"/>
    <mergeCell ref="G5:G6"/>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08C7A-EC59-41EC-A112-895AA1CE3A8A}">
  <sheetPr>
    <tabColor rgb="FFFFFF00"/>
  </sheetPr>
  <dimension ref="A1:F21"/>
  <sheetViews>
    <sheetView workbookViewId="0"/>
  </sheetViews>
  <sheetFormatPr defaultColWidth="9.28515625" defaultRowHeight="12.75"/>
  <cols>
    <col min="1" max="1" width="9.28515625" style="445"/>
    <col min="2" max="2" width="29" style="445" customWidth="1"/>
    <col min="3" max="3" width="62.28515625" style="445" customWidth="1"/>
    <col min="4" max="5" width="9.28515625" style="445"/>
    <col min="6" max="6" width="73.42578125" style="445" customWidth="1"/>
    <col min="7" max="16384" width="9.28515625" style="445"/>
  </cols>
  <sheetData>
    <row r="1" spans="1:6">
      <c r="A1" s="446" t="s">
        <v>440</v>
      </c>
      <c r="B1" s="446" t="s">
        <v>441</v>
      </c>
      <c r="C1" s="446" t="s">
        <v>442</v>
      </c>
    </row>
    <row r="2" spans="1:6">
      <c r="A2" s="447">
        <v>0</v>
      </c>
      <c r="B2" s="447" t="s">
        <v>443</v>
      </c>
      <c r="C2" s="447" t="s">
        <v>444</v>
      </c>
    </row>
    <row r="3" spans="1:6">
      <c r="A3" s="447">
        <v>1</v>
      </c>
      <c r="B3" s="446" t="s">
        <v>422</v>
      </c>
      <c r="C3" s="446" t="s">
        <v>445</v>
      </c>
    </row>
    <row r="4" spans="1:6" ht="26.25" customHeight="1">
      <c r="A4" s="447">
        <v>2</v>
      </c>
      <c r="B4" s="447" t="s">
        <v>423</v>
      </c>
      <c r="C4" s="483" t="s">
        <v>446</v>
      </c>
    </row>
    <row r="5" spans="1:6">
      <c r="A5" s="447">
        <v>3</v>
      </c>
      <c r="B5" s="447" t="s">
        <v>447</v>
      </c>
      <c r="C5" s="447" t="s">
        <v>174</v>
      </c>
    </row>
    <row r="6" spans="1:6">
      <c r="A6" s="447">
        <v>4</v>
      </c>
      <c r="B6" s="447" t="s">
        <v>448</v>
      </c>
      <c r="C6" s="447" t="s">
        <v>449</v>
      </c>
    </row>
    <row r="7" spans="1:6">
      <c r="A7" s="447">
        <v>5</v>
      </c>
      <c r="B7" s="447" t="s">
        <v>109</v>
      </c>
      <c r="C7" s="449">
        <v>0</v>
      </c>
    </row>
    <row r="8" spans="1:6">
      <c r="A8" s="447">
        <v>6</v>
      </c>
      <c r="B8" s="447" t="s">
        <v>110</v>
      </c>
      <c r="C8" s="447" t="s">
        <v>450</v>
      </c>
    </row>
    <row r="9" spans="1:6">
      <c r="A9" s="447">
        <v>7</v>
      </c>
      <c r="B9" s="447" t="s">
        <v>111</v>
      </c>
      <c r="C9" s="447" t="s">
        <v>451</v>
      </c>
    </row>
    <row r="10" spans="1:6">
      <c r="A10" s="447">
        <v>8</v>
      </c>
      <c r="B10" s="447" t="s">
        <v>452</v>
      </c>
      <c r="C10" s="447" t="s">
        <v>453</v>
      </c>
    </row>
    <row r="11" spans="1:6">
      <c r="A11" s="447">
        <v>9</v>
      </c>
      <c r="B11" s="447" t="s">
        <v>454</v>
      </c>
      <c r="C11" s="484" t="s">
        <v>455</v>
      </c>
    </row>
    <row r="12" spans="1:6" ht="30.75" customHeight="1">
      <c r="A12" s="1063">
        <v>10</v>
      </c>
      <c r="B12" s="1064" t="s">
        <v>456</v>
      </c>
      <c r="C12" s="486" t="s">
        <v>457</v>
      </c>
      <c r="F12" s="474"/>
    </row>
    <row r="13" spans="1:6" ht="51.75" customHeight="1">
      <c r="A13" s="1063"/>
      <c r="B13" s="1064"/>
      <c r="C13" s="485" t="s">
        <v>458</v>
      </c>
      <c r="F13" s="474"/>
    </row>
    <row r="14" spans="1:6">
      <c r="A14" s="447">
        <v>11</v>
      </c>
      <c r="B14" s="447" t="s">
        <v>459</v>
      </c>
      <c r="C14" s="447" t="s">
        <v>157</v>
      </c>
    </row>
    <row r="15" spans="1:6">
      <c r="A15" s="447">
        <v>12</v>
      </c>
      <c r="B15" s="447" t="s">
        <v>460</v>
      </c>
      <c r="C15" s="447" t="s">
        <v>461</v>
      </c>
    </row>
    <row r="16" spans="1:6">
      <c r="A16" s="447">
        <v>13</v>
      </c>
      <c r="B16" s="447" t="s">
        <v>462</v>
      </c>
      <c r="C16" s="448"/>
    </row>
    <row r="17" spans="1:3" ht="19.5" customHeight="1">
      <c r="A17" s="1063">
        <v>14</v>
      </c>
      <c r="B17" s="1063" t="s">
        <v>463</v>
      </c>
      <c r="C17" s="448" t="s">
        <v>464</v>
      </c>
    </row>
    <row r="18" spans="1:3" ht="43.5" customHeight="1">
      <c r="A18" s="1063"/>
      <c r="B18" s="1063"/>
      <c r="C18" s="448" t="s">
        <v>517</v>
      </c>
    </row>
    <row r="19" spans="1:3">
      <c r="A19" s="447">
        <v>15</v>
      </c>
      <c r="B19" s="447" t="s">
        <v>466</v>
      </c>
      <c r="C19" s="448"/>
    </row>
    <row r="20" spans="1:3">
      <c r="A20" s="447">
        <v>16</v>
      </c>
      <c r="B20" s="447" t="s">
        <v>467</v>
      </c>
      <c r="C20" s="447"/>
    </row>
    <row r="21" spans="1:3">
      <c r="A21" s="447">
        <v>17</v>
      </c>
      <c r="B21" s="447" t="s">
        <v>468</v>
      </c>
      <c r="C21" s="448"/>
    </row>
  </sheetData>
  <mergeCells count="4">
    <mergeCell ref="A12:A13"/>
    <mergeCell ref="B12:B13"/>
    <mergeCell ref="A17:A18"/>
    <mergeCell ref="B17:B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2"/>
  <sheetViews>
    <sheetView workbookViewId="0">
      <selection activeCell="C13" sqref="C13"/>
    </sheetView>
  </sheetViews>
  <sheetFormatPr defaultColWidth="9.28515625" defaultRowHeight="12.75"/>
  <cols>
    <col min="1" max="1" width="9.28515625" style="445"/>
    <col min="2" max="2" width="24.7109375" style="445" customWidth="1"/>
    <col min="3" max="3" width="53.5703125" style="445" customWidth="1"/>
    <col min="4" max="16384" width="9.28515625" style="445"/>
  </cols>
  <sheetData>
    <row r="1" spans="1:3">
      <c r="A1" s="439" t="s">
        <v>440</v>
      </c>
      <c r="B1" s="440" t="s">
        <v>441</v>
      </c>
      <c r="C1" s="440" t="s">
        <v>442</v>
      </c>
    </row>
    <row r="2" spans="1:3">
      <c r="A2" s="441">
        <v>0</v>
      </c>
      <c r="B2" s="442" t="s">
        <v>443</v>
      </c>
      <c r="C2" s="442" t="s">
        <v>444</v>
      </c>
    </row>
    <row r="3" spans="1:3">
      <c r="A3" s="441">
        <v>1</v>
      </c>
      <c r="B3" s="440" t="s">
        <v>422</v>
      </c>
      <c r="C3" s="440" t="s">
        <v>469</v>
      </c>
    </row>
    <row r="4" spans="1:3" ht="38.25">
      <c r="A4" s="441">
        <v>2</v>
      </c>
      <c r="B4" s="440" t="s">
        <v>423</v>
      </c>
      <c r="C4" s="443" t="s">
        <v>470</v>
      </c>
    </row>
    <row r="5" spans="1:3">
      <c r="A5" s="441">
        <v>3</v>
      </c>
      <c r="B5" s="442" t="s">
        <v>447</v>
      </c>
      <c r="C5" s="442" t="s">
        <v>174</v>
      </c>
    </row>
    <row r="6" spans="1:3">
      <c r="A6" s="441">
        <v>4</v>
      </c>
      <c r="B6" s="442" t="s">
        <v>448</v>
      </c>
      <c r="C6" s="442" t="s">
        <v>449</v>
      </c>
    </row>
    <row r="7" spans="1:3">
      <c r="A7" s="441">
        <v>5</v>
      </c>
      <c r="B7" s="442" t="s">
        <v>109</v>
      </c>
      <c r="C7" s="444">
        <v>0</v>
      </c>
    </row>
    <row r="8" spans="1:3">
      <c r="A8" s="441">
        <v>6</v>
      </c>
      <c r="B8" s="442" t="s">
        <v>110</v>
      </c>
      <c r="C8" s="442" t="s">
        <v>450</v>
      </c>
    </row>
    <row r="9" spans="1:3">
      <c r="A9" s="441">
        <v>7</v>
      </c>
      <c r="B9" s="442" t="s">
        <v>111</v>
      </c>
      <c r="C9" s="442" t="s">
        <v>451</v>
      </c>
    </row>
    <row r="10" spans="1:3">
      <c r="A10" s="441">
        <v>8</v>
      </c>
      <c r="B10" s="442" t="s">
        <v>452</v>
      </c>
      <c r="C10" s="442" t="s">
        <v>453</v>
      </c>
    </row>
    <row r="11" spans="1:3">
      <c r="A11" s="441">
        <v>9</v>
      </c>
      <c r="B11" s="442" t="s">
        <v>454</v>
      </c>
      <c r="C11" s="442" t="s">
        <v>455</v>
      </c>
    </row>
    <row r="12" spans="1:3" ht="41.25" customHeight="1">
      <c r="A12" s="1065">
        <v>10</v>
      </c>
      <c r="B12" s="1066" t="s">
        <v>456</v>
      </c>
      <c r="C12" s="443" t="s">
        <v>471</v>
      </c>
    </row>
    <row r="13" spans="1:3" ht="91.5" customHeight="1">
      <c r="A13" s="1065"/>
      <c r="B13" s="1066"/>
      <c r="C13" s="443" t="s">
        <v>472</v>
      </c>
    </row>
    <row r="14" spans="1:3" ht="100.5" customHeight="1">
      <c r="A14" s="1065"/>
      <c r="B14" s="1066"/>
      <c r="C14" s="443" t="s">
        <v>473</v>
      </c>
    </row>
    <row r="15" spans="1:3">
      <c r="A15" s="441">
        <v>11</v>
      </c>
      <c r="B15" s="442" t="s">
        <v>459</v>
      </c>
      <c r="C15" s="442" t="s">
        <v>157</v>
      </c>
    </row>
    <row r="16" spans="1:3">
      <c r="A16" s="441">
        <v>12</v>
      </c>
      <c r="B16" s="442" t="s">
        <v>460</v>
      </c>
      <c r="C16" s="442" t="s">
        <v>461</v>
      </c>
    </row>
    <row r="17" spans="1:3">
      <c r="A17" s="441">
        <v>13</v>
      </c>
      <c r="B17" s="442" t="s">
        <v>462</v>
      </c>
      <c r="C17" s="443"/>
    </row>
    <row r="18" spans="1:3" ht="29.25" customHeight="1">
      <c r="A18" s="1065">
        <v>14</v>
      </c>
      <c r="B18" s="1066" t="s">
        <v>463</v>
      </c>
      <c r="C18" s="443" t="s">
        <v>464</v>
      </c>
    </row>
    <row r="19" spans="1:3" ht="34.5" customHeight="1">
      <c r="A19" s="1065"/>
      <c r="B19" s="1066"/>
      <c r="C19" s="443" t="s">
        <v>465</v>
      </c>
    </row>
    <row r="20" spans="1:3">
      <c r="A20" s="441">
        <v>15</v>
      </c>
      <c r="B20" s="442" t="s">
        <v>466</v>
      </c>
      <c r="C20" s="443"/>
    </row>
    <row r="21" spans="1:3">
      <c r="A21" s="441">
        <v>16</v>
      </c>
      <c r="B21" s="442" t="s">
        <v>467</v>
      </c>
      <c r="C21" s="442"/>
    </row>
    <row r="22" spans="1:3">
      <c r="A22" s="441">
        <v>17</v>
      </c>
      <c r="B22" s="442" t="s">
        <v>468</v>
      </c>
      <c r="C22" s="443"/>
    </row>
  </sheetData>
  <mergeCells count="4">
    <mergeCell ref="A12:A14"/>
    <mergeCell ref="B12:B14"/>
    <mergeCell ref="A18:A19"/>
    <mergeCell ref="B18:B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3"/>
  <sheetViews>
    <sheetView topLeftCell="A4" workbookViewId="0">
      <selection activeCell="C16" sqref="C16"/>
    </sheetView>
  </sheetViews>
  <sheetFormatPr defaultColWidth="9.28515625" defaultRowHeight="15"/>
  <cols>
    <col min="1" max="1" width="9.5703125" style="438" customWidth="1"/>
    <col min="2" max="2" width="15.28515625" style="438" customWidth="1"/>
    <col min="3" max="3" width="53" style="438" customWidth="1"/>
    <col min="4" max="16384" width="9.28515625" style="438"/>
  </cols>
  <sheetData>
    <row r="1" spans="1:3">
      <c r="A1" s="446" t="s">
        <v>440</v>
      </c>
      <c r="B1" s="446" t="s">
        <v>441</v>
      </c>
      <c r="C1" s="446" t="s">
        <v>442</v>
      </c>
    </row>
    <row r="2" spans="1:3">
      <c r="A2" s="447">
        <v>0</v>
      </c>
      <c r="B2" s="447" t="s">
        <v>443</v>
      </c>
      <c r="C2" s="447" t="s">
        <v>444</v>
      </c>
    </row>
    <row r="3" spans="1:3">
      <c r="A3" s="447">
        <v>1</v>
      </c>
      <c r="B3" s="446" t="s">
        <v>422</v>
      </c>
      <c r="C3" s="446" t="s">
        <v>474</v>
      </c>
    </row>
    <row r="4" spans="1:3" ht="25.5">
      <c r="A4" s="447">
        <v>2</v>
      </c>
      <c r="B4" s="446" t="s">
        <v>423</v>
      </c>
      <c r="C4" s="448" t="s">
        <v>352</v>
      </c>
    </row>
    <row r="5" spans="1:3">
      <c r="A5" s="447">
        <v>3</v>
      </c>
      <c r="B5" s="447" t="s">
        <v>447</v>
      </c>
      <c r="C5" s="447" t="s">
        <v>353</v>
      </c>
    </row>
    <row r="6" spans="1:3">
      <c r="A6" s="447">
        <v>4</v>
      </c>
      <c r="B6" s="447" t="s">
        <v>448</v>
      </c>
      <c r="C6" s="447" t="s">
        <v>475</v>
      </c>
    </row>
    <row r="7" spans="1:3">
      <c r="A7" s="447">
        <v>5</v>
      </c>
      <c r="B7" s="447" t="s">
        <v>109</v>
      </c>
      <c r="C7" s="447" t="s">
        <v>451</v>
      </c>
    </row>
    <row r="8" spans="1:3">
      <c r="A8" s="447">
        <v>6</v>
      </c>
      <c r="B8" s="447" t="s">
        <v>110</v>
      </c>
      <c r="C8" s="447" t="s">
        <v>476</v>
      </c>
    </row>
    <row r="9" spans="1:3">
      <c r="A9" s="447">
        <v>7</v>
      </c>
      <c r="B9" s="447" t="s">
        <v>111</v>
      </c>
      <c r="C9" s="447" t="s">
        <v>450</v>
      </c>
    </row>
    <row r="10" spans="1:3">
      <c r="A10" s="447">
        <v>8</v>
      </c>
      <c r="B10" s="447" t="s">
        <v>452</v>
      </c>
      <c r="C10" s="447" t="s">
        <v>453</v>
      </c>
    </row>
    <row r="11" spans="1:3">
      <c r="A11" s="447">
        <v>9</v>
      </c>
      <c r="B11" s="447" t="s">
        <v>454</v>
      </c>
      <c r="C11" s="447" t="s">
        <v>455</v>
      </c>
    </row>
    <row r="12" spans="1:3" ht="41.25" customHeight="1">
      <c r="A12" s="1063">
        <v>10</v>
      </c>
      <c r="B12" s="1063" t="s">
        <v>456</v>
      </c>
      <c r="C12" s="448" t="s">
        <v>477</v>
      </c>
    </row>
    <row r="13" spans="1:3" ht="63.75" customHeight="1">
      <c r="A13" s="1063"/>
      <c r="B13" s="1063"/>
      <c r="C13" s="448" t="s">
        <v>478</v>
      </c>
    </row>
    <row r="14" spans="1:3" ht="45" customHeight="1">
      <c r="A14" s="1063"/>
      <c r="B14" s="1063"/>
      <c r="C14" s="448" t="s">
        <v>479</v>
      </c>
    </row>
    <row r="15" spans="1:3" ht="224.25" customHeight="1">
      <c r="A15" s="1063"/>
      <c r="B15" s="1063"/>
      <c r="C15" s="448" t="s">
        <v>480</v>
      </c>
    </row>
    <row r="16" spans="1:3">
      <c r="A16" s="447">
        <v>11</v>
      </c>
      <c r="B16" s="447" t="s">
        <v>459</v>
      </c>
      <c r="C16" s="447" t="s">
        <v>481</v>
      </c>
    </row>
    <row r="17" spans="1:3">
      <c r="A17" s="447">
        <v>12</v>
      </c>
      <c r="B17" s="447" t="s">
        <v>460</v>
      </c>
      <c r="C17" s="447" t="s">
        <v>482</v>
      </c>
    </row>
    <row r="18" spans="1:3">
      <c r="A18" s="447">
        <v>13</v>
      </c>
      <c r="B18" s="447" t="s">
        <v>462</v>
      </c>
      <c r="C18" s="448"/>
    </row>
    <row r="19" spans="1:3" ht="35.25" customHeight="1">
      <c r="A19" s="1063">
        <v>14</v>
      </c>
      <c r="B19" s="1063" t="s">
        <v>463</v>
      </c>
      <c r="C19" s="448" t="s">
        <v>464</v>
      </c>
    </row>
    <row r="20" spans="1:3" ht="39.75" customHeight="1">
      <c r="A20" s="1063"/>
      <c r="B20" s="1063"/>
      <c r="C20" s="448" t="s">
        <v>483</v>
      </c>
    </row>
    <row r="21" spans="1:3">
      <c r="A21" s="447">
        <v>15</v>
      </c>
      <c r="B21" s="447" t="s">
        <v>466</v>
      </c>
      <c r="C21" s="448"/>
    </row>
    <row r="22" spans="1:3">
      <c r="A22" s="447">
        <v>16</v>
      </c>
      <c r="B22" s="447" t="s">
        <v>467</v>
      </c>
      <c r="C22" s="447"/>
    </row>
    <row r="23" spans="1:3">
      <c r="A23" s="447">
        <v>17</v>
      </c>
      <c r="B23" s="447" t="s">
        <v>468</v>
      </c>
      <c r="C23" s="448"/>
    </row>
  </sheetData>
  <mergeCells count="4">
    <mergeCell ref="A12:A15"/>
    <mergeCell ref="B12:B15"/>
    <mergeCell ref="A19:A20"/>
    <mergeCell ref="B19:B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81fd638-8a79-487e-a46d-07287f5b4855">
      <Terms xmlns="http://schemas.microsoft.com/office/infopath/2007/PartnerControls"/>
    </lcf76f155ced4ddcb4097134ff3c332f>
    <TaxCatchAll xmlns="d85cbc99-f6b0-4a9d-b5df-b86cb7c130d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79CDE09278D729409DE1B0AFBAC2379E" ma:contentTypeVersion="14" ma:contentTypeDescription="Kurkite naują dokumentą." ma:contentTypeScope="" ma:versionID="a8abc293ebe1a50b1f29cec188107bd9">
  <xsd:schema xmlns:xsd="http://www.w3.org/2001/XMLSchema" xmlns:xs="http://www.w3.org/2001/XMLSchema" xmlns:p="http://schemas.microsoft.com/office/2006/metadata/properties" xmlns:ns2="181fd638-8a79-487e-a46d-07287f5b4855" xmlns:ns3="d85cbc99-f6b0-4a9d-b5df-b86cb7c130d4" targetNamespace="http://schemas.microsoft.com/office/2006/metadata/properties" ma:root="true" ma:fieldsID="fec1fbc09ceded7fbfea6fd9427df285" ns2:_="" ns3:_="">
    <xsd:import namespace="181fd638-8a79-487e-a46d-07287f5b4855"/>
    <xsd:import namespace="d85cbc99-f6b0-4a9d-b5df-b86cb7c130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1fd638-8a79-487e-a46d-07287f5b48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3fb0d60-6f00-4212-b98d-2e07146e5b5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5cbc99-f6b0-4a9d-b5df-b86cb7c130d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f9929918-091b-48d6-97cb-111e89901dff}" ma:internalName="TaxCatchAll" ma:showField="CatchAllData" ma:web="d85cbc99-f6b0-4a9d-b5df-b86cb7c130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BCD59C-3D1C-483C-9021-D00697B5C99D}">
  <ds:schemaRefs>
    <ds:schemaRef ds:uri="http://purl.org/dc/terms/"/>
    <ds:schemaRef ds:uri="181fd638-8a79-487e-a46d-07287f5b4855"/>
    <ds:schemaRef ds:uri="http://schemas.microsoft.com/office/2006/metadata/properties"/>
    <ds:schemaRef ds:uri="http://schemas.microsoft.com/office/2006/documentManagement/types"/>
    <ds:schemaRef ds:uri="d85cbc99-f6b0-4a9d-b5df-b86cb7c130d4"/>
    <ds:schemaRef ds:uri="http://purl.org/dc/elements/1.1/"/>
    <ds:schemaRef ds:uri="http://www.w3.org/XML/1998/namespace"/>
    <ds:schemaRef ds:uri="http://schemas.microsoft.com/office/infopath/2007/PartnerControl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FE0265FC-D0F6-40D0-BCBB-D7FDEB271D59}">
  <ds:schemaRefs>
    <ds:schemaRef ds:uri="http://schemas.microsoft.com/sharepoint/v3/contenttype/forms"/>
  </ds:schemaRefs>
</ds:datastoreItem>
</file>

<file path=customXml/itemProps3.xml><?xml version="1.0" encoding="utf-8"?>
<ds:datastoreItem xmlns:ds="http://schemas.openxmlformats.org/officeDocument/2006/customXml" ds:itemID="{FDB44005-0AE7-4C49-8D67-0C3085C9D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1fd638-8a79-487e-a46d-07287f5b4855"/>
    <ds:schemaRef ds:uri="d85cbc99-f6b0-4a9d-b5df-b86cb7c130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16</vt:i4>
      </vt:variant>
    </vt:vector>
  </HeadingPairs>
  <TitlesOfParts>
    <vt:vector size="16" baseType="lpstr">
      <vt:lpstr>Intervencijų lėšos (2)</vt:lpstr>
      <vt:lpstr>2PO 2.2</vt:lpstr>
      <vt:lpstr>2PO 2.8</vt:lpstr>
      <vt:lpstr>3PO 3.1</vt:lpstr>
      <vt:lpstr>3.1.</vt:lpstr>
      <vt:lpstr>5PO</vt:lpstr>
      <vt:lpstr>F. Specific output 3.1.2</vt:lpstr>
      <vt:lpstr>F Specific output 3.1.1 (1)</vt:lpstr>
      <vt:lpstr>F Specific result 3.1.1 (1)</vt:lpstr>
      <vt:lpstr>F Specific output 3.1.1 (3)</vt:lpstr>
      <vt:lpstr>F Specific result 3.1.1 (3)</vt:lpstr>
      <vt:lpstr>F Specific output 3.1.1 (4)</vt:lpstr>
      <vt:lpstr>F Specific result 3.1.1 (4)</vt:lpstr>
      <vt:lpstr>F Specific output 3.1.2 (1)</vt:lpstr>
      <vt:lpstr>F Specific result 3.1.1 (2)</vt:lpstr>
      <vt:lpstr>F Specific result 3.1.2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2025-12-16T11:44:07Z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0x01010079CDE09278D729409DE1B0AFBAC2379E</vt:lpwstr>
  </property>
  <property fmtid="{D5CDD505-2E9C-101B-9397-08002B2CF9AE}" pid="3" name="MediaServiceImageTags">
    <vt:lpwstr/>
  </property>
</Properties>
</file>