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8F8A6AC0-78C7-4EDF-AF99-A8E64DB4A64D}" xr6:coauthVersionLast="47" xr6:coauthVersionMax="47" xr10:uidLastSave="{00000000-0000-0000-0000-000000000000}"/>
  <bookViews>
    <workbookView xWindow="-120" yWindow="-120" windowWidth="29040" windowHeight="15720" firstSheet="1" activeTab="1" xr2:uid="{00000000-000D-0000-FFFF-FFFF00000000}"/>
  </bookViews>
  <sheets>
    <sheet name="Intervencijų lėšos (2)" sheetId="17" state="hidden" r:id="rId1"/>
    <sheet name="2.8 (8.1)" sheetId="12" r:id="rId2"/>
    <sheet name="3PO 3.2" sheetId="14" state="hidden" r:id="rId3"/>
    <sheet name="3PO 3.3" sheetId="15" state="hidden" r:id="rId4"/>
    <sheet name="5PO" sheetId="18" state="hidden" r:id="rId5"/>
    <sheet name="F  Specific output 8.1 (1)" sheetId="19" r:id="rId6"/>
    <sheet name="F  Specific output 8.1 (2)" sheetId="20" r:id="rId7"/>
    <sheet name="F  Specific output 8.1 (3)" sheetId="23" r:id="rId8"/>
    <sheet name="F  Specific output 8.1 (4)" sheetId="24" r:id="rId9"/>
  </sheets>
  <externalReferences>
    <externalReference r:id="rId10"/>
  </externalReferences>
  <definedNames>
    <definedName name="_xlnm._FilterDatabase" localSheetId="1" hidden="1">'2.8 (8.1)'!$A$5:$AE$29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2" l="1"/>
  <c r="D53" i="12" s="1"/>
  <c r="D54" i="12" s="1"/>
  <c r="D35" i="12"/>
  <c r="H51" i="12"/>
  <c r="E21" i="12"/>
  <c r="E26" i="12"/>
  <c r="E24" i="12"/>
  <c r="E18" i="12"/>
  <c r="E16" i="12"/>
  <c r="E14" i="12"/>
  <c r="E10" i="12"/>
  <c r="E6" i="12"/>
  <c r="H39" i="12"/>
  <c r="H52" i="12"/>
  <c r="I34" i="12"/>
  <c r="C14" i="12"/>
  <c r="C21" i="12" l="1"/>
  <c r="C26" i="12"/>
  <c r="C24" i="12"/>
  <c r="C18" i="12"/>
  <c r="C16" i="12"/>
  <c r="C10" i="12"/>
  <c r="C6" i="12"/>
  <c r="P28" i="12"/>
  <c r="M28" i="12"/>
  <c r="I52" i="12" l="1"/>
  <c r="I51" i="12"/>
  <c r="I49" i="12"/>
  <c r="I48" i="12"/>
  <c r="I50" i="12"/>
  <c r="I47" i="12"/>
  <c r="I46" i="12"/>
  <c r="I45" i="12"/>
  <c r="I44" i="12"/>
  <c r="I43" i="12"/>
  <c r="I42" i="12"/>
  <c r="I41" i="12"/>
  <c r="I40" i="12"/>
  <c r="I39" i="12"/>
  <c r="I38" i="12"/>
  <c r="I37" i="12"/>
  <c r="I36" i="12"/>
  <c r="I35" i="12"/>
  <c r="I33" i="12"/>
  <c r="I53" i="12" l="1"/>
  <c r="I54" i="12" s="1"/>
  <c r="H50" i="12"/>
  <c r="H47" i="12"/>
  <c r="C29" i="12"/>
  <c r="C28" i="12"/>
  <c r="H53" i="12" l="1"/>
  <c r="C30" i="12"/>
  <c r="O13" i="12" l="1"/>
  <c r="F21" i="12" l="1"/>
  <c r="G21" i="12" s="1"/>
  <c r="F26" i="12"/>
  <c r="G26" i="12" s="1"/>
  <c r="F16" i="12"/>
  <c r="G16" i="12" s="1"/>
  <c r="F14" i="12"/>
  <c r="G14" i="12" s="1"/>
  <c r="E28" i="12" l="1"/>
  <c r="F10" i="12"/>
  <c r="F24" i="12"/>
  <c r="G24" i="12" s="1"/>
  <c r="G10" i="12" l="1"/>
  <c r="G28" i="12" s="1"/>
  <c r="F28" i="12"/>
  <c r="H18" i="18"/>
  <c r="C18" i="18"/>
  <c r="I17" i="18"/>
  <c r="F17" i="18"/>
  <c r="E17" i="18"/>
  <c r="D17" i="18"/>
  <c r="C12" i="18"/>
  <c r="P10" i="18"/>
  <c r="I18" i="18" s="1"/>
  <c r="M10" i="18"/>
  <c r="D18" i="18" s="1"/>
  <c r="O9" i="18"/>
  <c r="H17" i="18" s="1"/>
  <c r="E9" i="18"/>
  <c r="F9" i="18" s="1"/>
  <c r="G9" i="18" s="1"/>
  <c r="C7" i="18"/>
  <c r="C13" i="18"/>
  <c r="E7" i="18" l="1"/>
  <c r="F7" i="18" s="1"/>
  <c r="G7" i="18" s="1"/>
  <c r="C11" i="18"/>
  <c r="B9" i="18"/>
  <c r="J3" i="17" l="1"/>
  <c r="P13" i="15" l="1"/>
  <c r="M30" i="14" l="1"/>
  <c r="I44" i="14" l="1"/>
  <c r="I43" i="14"/>
  <c r="I22" i="15"/>
  <c r="O21" i="14" l="1"/>
  <c r="C27" i="14"/>
  <c r="C24" i="14"/>
  <c r="C21" i="14"/>
  <c r="C18" i="14"/>
  <c r="M9" i="15" l="1"/>
  <c r="P9" i="15"/>
  <c r="M8" i="15"/>
  <c r="P8" i="15"/>
  <c r="C12" i="15"/>
  <c r="C7" i="15"/>
  <c r="J32" i="17"/>
  <c r="J31" i="17"/>
  <c r="J30" i="17"/>
  <c r="I5" i="17"/>
  <c r="I3" i="17"/>
  <c r="P4" i="17" s="1"/>
  <c r="I4" i="17"/>
  <c r="I7" i="17"/>
  <c r="P5" i="17" s="1"/>
  <c r="I9" i="17"/>
  <c r="P20" i="17" s="1"/>
  <c r="I13" i="17"/>
  <c r="I15" i="17"/>
  <c r="I17" i="17"/>
  <c r="J17" i="17" s="1"/>
  <c r="I18" i="17"/>
  <c r="J18" i="17" s="1"/>
  <c r="S18" i="17"/>
  <c r="I19" i="17"/>
  <c r="J19" i="17" s="1"/>
  <c r="S19" i="17"/>
  <c r="T19" i="17" s="1"/>
  <c r="I24" i="17"/>
  <c r="J24" i="17" s="1"/>
  <c r="I25" i="17"/>
  <c r="N25" i="17"/>
  <c r="N27" i="17"/>
  <c r="H30" i="17"/>
  <c r="H31" i="17"/>
  <c r="H32" i="17"/>
  <c r="H33" i="17"/>
  <c r="H38" i="17"/>
  <c r="H47" i="17" s="1"/>
  <c r="H39" i="17"/>
  <c r="H40" i="17"/>
  <c r="H42" i="17"/>
  <c r="H43" i="17"/>
  <c r="H44" i="17"/>
  <c r="H45" i="17"/>
  <c r="H50" i="17" l="1"/>
  <c r="K30" i="17"/>
  <c r="H48" i="17"/>
  <c r="I30" i="17"/>
  <c r="I33" i="17"/>
  <c r="H49" i="17"/>
  <c r="J33" i="17"/>
  <c r="K32" i="17" s="1"/>
  <c r="K34" i="17" s="1"/>
  <c r="I31" i="17"/>
  <c r="N18" i="17"/>
  <c r="I32" i="17"/>
  <c r="P21" i="17"/>
  <c r="I34" i="17" l="1"/>
  <c r="J34" i="17"/>
  <c r="P10" i="14"/>
  <c r="I38" i="14" s="1"/>
  <c r="M10" i="14"/>
  <c r="C31" i="14" l="1"/>
  <c r="I39" i="14"/>
  <c r="M15" i="14" l="1"/>
  <c r="D38" i="14" s="1"/>
  <c r="P30" i="14"/>
  <c r="M9" i="14"/>
  <c r="P9" i="14"/>
  <c r="I36" i="14" s="1"/>
  <c r="O10" i="15" l="1"/>
  <c r="H20" i="15" s="1"/>
  <c r="O12" i="15"/>
  <c r="E8" i="14" l="1"/>
  <c r="C14" i="15" l="1"/>
  <c r="D44" i="14" l="1"/>
  <c r="D21" i="15"/>
  <c r="D19" i="15"/>
  <c r="D42" i="14"/>
  <c r="E16" i="14" l="1"/>
  <c r="F16" i="14" s="1"/>
  <c r="G16" i="14" s="1"/>
  <c r="H23" i="15" l="1"/>
  <c r="I23" i="15"/>
  <c r="D23" i="15"/>
  <c r="H22" i="15"/>
  <c r="D22" i="15"/>
  <c r="H21" i="15"/>
  <c r="I21" i="15"/>
  <c r="I20" i="15"/>
  <c r="D20" i="15"/>
  <c r="H19" i="15"/>
  <c r="I19" i="15"/>
  <c r="C19" i="15"/>
  <c r="H18" i="15"/>
  <c r="I18" i="15"/>
  <c r="D18" i="15"/>
  <c r="D17" i="15"/>
  <c r="H47" i="14"/>
  <c r="I47" i="14"/>
  <c r="D47" i="14"/>
  <c r="I46" i="14"/>
  <c r="H46" i="14"/>
  <c r="D46" i="14"/>
  <c r="D45" i="14"/>
  <c r="D43" i="14"/>
  <c r="D41" i="14"/>
  <c r="I40" i="14"/>
  <c r="D40" i="14"/>
  <c r="D39" i="14"/>
  <c r="H37" i="14" l="1"/>
  <c r="D37" i="14"/>
  <c r="H36" i="14"/>
  <c r="D36" i="14"/>
  <c r="H35" i="14"/>
  <c r="D35" i="14"/>
  <c r="E18" i="14" l="1"/>
  <c r="E12" i="15" l="1"/>
  <c r="E29" i="14" l="1"/>
  <c r="E27" i="14" l="1"/>
  <c r="E24" i="14"/>
  <c r="E21" i="14"/>
  <c r="F21" i="14" s="1"/>
  <c r="G21" i="14" s="1"/>
  <c r="E12" i="14"/>
  <c r="F8" i="14"/>
  <c r="E7" i="15"/>
  <c r="P8" i="14" l="1"/>
  <c r="G8" i="14"/>
  <c r="P11" i="14"/>
  <c r="B8" i="14"/>
  <c r="F29" i="14"/>
  <c r="F18" i="14"/>
  <c r="F27" i="14"/>
  <c r="G27" i="14" s="1"/>
  <c r="P27" i="14" s="1"/>
  <c r="F24" i="14"/>
  <c r="G24" i="14" s="1"/>
  <c r="P24" i="14" s="1"/>
  <c r="F12" i="14"/>
  <c r="F12" i="15"/>
  <c r="G12" i="15" s="1"/>
  <c r="F7" i="15"/>
  <c r="O27" i="14" l="1"/>
  <c r="H45" i="14" s="1"/>
  <c r="I45" i="14"/>
  <c r="I42" i="14"/>
  <c r="O24" i="14"/>
  <c r="H42" i="14" s="1"/>
  <c r="O11" i="14"/>
  <c r="G29" i="14"/>
  <c r="B29" i="14"/>
  <c r="G7" i="15"/>
  <c r="P7" i="15" s="1"/>
  <c r="B7" i="15"/>
  <c r="G12" i="14"/>
  <c r="B12" i="14"/>
  <c r="G18" i="14"/>
  <c r="P18" i="14" s="1"/>
  <c r="B18" i="14"/>
  <c r="O18" i="14" l="1"/>
  <c r="H41" i="14" s="1"/>
  <c r="I41" i="14"/>
  <c r="P12" i="14"/>
  <c r="I35" i="14" s="1"/>
  <c r="P14" i="14"/>
  <c r="I37" i="14" s="1"/>
  <c r="O7" i="15"/>
  <c r="H17" i="15" s="1"/>
  <c r="I17" i="15"/>
  <c r="E29" i="12"/>
  <c r="E30" i="12" s="1"/>
  <c r="F18" i="12"/>
  <c r="G18" i="12" s="1"/>
  <c r="F6" i="12" l="1"/>
  <c r="F29" i="12" s="1"/>
  <c r="F30" i="12" s="1"/>
  <c r="G6" i="12" l="1"/>
  <c r="G29" i="12" s="1"/>
  <c r="G30" i="12" s="1"/>
  <c r="B6" i="12"/>
  <c r="O9" i="12"/>
  <c r="O28" i="12" s="1"/>
  <c r="H5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3" authorId="0" shapeId="0" xr:uid="{00000000-0006-0000-0000-000001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shapeId="0" xr:uid="{00000000-0006-0000-0000-000002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shapeId="0" xr:uid="{00000000-0006-0000-00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shapeId="0" xr:uid="{00000000-0006-0000-0000-000004000000}">
      <text>
        <r>
          <rPr>
            <b/>
            <sz val="9"/>
            <color indexed="81"/>
            <rFont val="Tahoma"/>
            <family val="2"/>
            <charset val="186"/>
          </rPr>
          <t>Autorius:</t>
        </r>
        <r>
          <rPr>
            <sz val="9"/>
            <color indexed="81"/>
            <rFont val="Tahoma"/>
            <family val="2"/>
            <charset val="186"/>
          </rPr>
          <t xml:space="preserve">
Iškeliama į 5PO - 2020-12-10</t>
        </r>
      </text>
    </comment>
    <comment ref="I9" authorId="0" shapeId="0" xr:uid="{00000000-0006-0000-0000-000005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shapeId="0" xr:uid="{00000000-0006-0000-0000-000006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shapeId="0" xr:uid="{00000000-0006-0000-0000-000007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shapeId="0" xr:uid="{00000000-0006-0000-0000-000008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G6" authorId="0" shapeId="0" xr:uid="{00000000-0006-0000-0200-000001000000}">
      <text>
        <r>
          <rPr>
            <b/>
            <sz val="9"/>
            <color indexed="81"/>
            <rFont val="Tahoma"/>
            <family val="2"/>
            <charset val="186"/>
          </rPr>
          <t>Autorius:</t>
        </r>
        <r>
          <rPr>
            <sz val="9"/>
            <color indexed="81"/>
            <rFont val="Tahoma"/>
            <family val="2"/>
            <charset val="186"/>
          </rPr>
          <t xml:space="preserve">
čia taip pat turi būti EU+LT dalis</t>
        </r>
      </text>
    </comment>
    <comment ref="J6" authorId="0" shapeId="0" xr:uid="{00000000-0006-0000-0200-000002000000}">
      <text>
        <r>
          <rPr>
            <b/>
            <sz val="9"/>
            <color indexed="81"/>
            <rFont val="Tahoma"/>
            <family val="2"/>
            <charset val="186"/>
          </rPr>
          <t>Autorius:</t>
        </r>
        <r>
          <rPr>
            <sz val="9"/>
            <color indexed="81"/>
            <rFont val="Tahoma"/>
            <family val="2"/>
            <charset val="186"/>
          </rPr>
          <t xml:space="preserve">
Visa LT galima tik Saf</t>
        </r>
      </text>
    </comment>
    <comment ref="K6" authorId="0" shapeId="0" xr:uid="{00000000-0006-0000-0200-000003000000}">
      <text>
        <r>
          <rPr>
            <b/>
            <sz val="9"/>
            <color indexed="81"/>
            <rFont val="Tahoma"/>
            <family val="2"/>
            <charset val="186"/>
          </rPr>
          <t>Autorius:</t>
        </r>
        <r>
          <rPr>
            <sz val="9"/>
            <color indexed="81"/>
            <rFont val="Tahoma"/>
            <family val="2"/>
            <charset val="186"/>
          </rPr>
          <t xml:space="preserve">
ERPF turi būti išskaidytas į Capital region ir Mid-West Region. Taip pat išskaidyti turi būti ir rodikliai per regionų kategorijas</t>
        </r>
      </text>
    </comment>
    <comment ref="M6" authorId="0" shapeId="0" xr:uid="{00000000-0006-0000-0200-000004000000}">
      <text>
        <r>
          <rPr>
            <b/>
            <sz val="9"/>
            <color indexed="81"/>
            <rFont val="Tahoma"/>
            <family val="2"/>
            <charset val="186"/>
          </rPr>
          <t>Autorius:</t>
        </r>
        <r>
          <rPr>
            <sz val="9"/>
            <color indexed="81"/>
            <rFont val="Tahoma"/>
            <family val="2"/>
            <charset val="186"/>
          </rPr>
          <t xml:space="preserve">
reikia užpildyti</t>
        </r>
      </text>
    </comment>
    <comment ref="Q6" authorId="0" shapeId="0" xr:uid="{00000000-0006-0000-0200-000005000000}">
      <text>
        <r>
          <rPr>
            <b/>
            <sz val="9"/>
            <color indexed="81"/>
            <rFont val="Tahoma"/>
            <family val="2"/>
            <charset val="186"/>
          </rPr>
          <t>Autorius:</t>
        </r>
        <r>
          <rPr>
            <sz val="9"/>
            <color indexed="81"/>
            <rFont val="Tahoma"/>
            <family val="2"/>
            <charset val="186"/>
          </rPr>
          <t xml:space="preserve">
reikia užpildyti</t>
        </r>
      </text>
    </comment>
    <comment ref="R6" authorId="0" shapeId="0" xr:uid="{00000000-0006-0000-0200-000006000000}">
      <text>
        <r>
          <rPr>
            <b/>
            <sz val="9"/>
            <color indexed="81"/>
            <rFont val="Tahoma"/>
            <family val="2"/>
            <charset val="186"/>
          </rPr>
          <t>Autorius:</t>
        </r>
        <r>
          <rPr>
            <sz val="9"/>
            <color indexed="81"/>
            <rFont val="Tahoma"/>
            <family val="2"/>
            <charset val="186"/>
          </rPr>
          <t xml:space="preserve">
Pagrindimai turi būti anglų kalba. Pagrindimuose trūksta informacijos kodėl nustatytas toks įkainis</t>
        </r>
      </text>
    </comment>
    <comment ref="E7" authorId="0" shapeId="0" xr:uid="{00000000-0006-0000-0200-000007000000}">
      <text>
        <r>
          <rPr>
            <b/>
            <sz val="9"/>
            <color indexed="81"/>
            <rFont val="Tahoma"/>
            <family val="2"/>
            <charset val="186"/>
          </rPr>
          <t>Autorius:</t>
        </r>
        <r>
          <rPr>
            <sz val="9"/>
            <color indexed="81"/>
            <rFont val="Tahoma"/>
            <family val="2"/>
            <charset val="186"/>
          </rPr>
          <t xml:space="preserve">
turi būti užpildyta</t>
        </r>
      </text>
    </comment>
    <comment ref="F7" authorId="0" shapeId="0" xr:uid="{00000000-0006-0000-0200-000008000000}">
      <text>
        <r>
          <rPr>
            <b/>
            <sz val="9"/>
            <color indexed="81"/>
            <rFont val="Tahoma"/>
            <family val="2"/>
            <charset val="186"/>
          </rPr>
          <t>Autorius:</t>
        </r>
        <r>
          <rPr>
            <sz val="9"/>
            <color indexed="81"/>
            <rFont val="Tahoma"/>
            <family val="2"/>
            <charset val="186"/>
          </rPr>
          <t xml:space="preserve">
čia turi būti EU+LT dalis. Suprantu, kad čia nurodyta tik EU dlais?</t>
        </r>
      </text>
    </comment>
    <comment ref="A8" authorId="0" shapeId="0" xr:uid="{00000000-0006-0000-0200-000009000000}">
      <text>
        <r>
          <rPr>
            <b/>
            <sz val="9"/>
            <color indexed="81"/>
            <rFont val="Tahoma"/>
            <family val="2"/>
            <charset val="186"/>
          </rPr>
          <t>Autorius:
diegti intelektines transporto sistemas (ITS), gerinti aplinkosauginius parametrus ir didinti eismo saugą TEN-T tinklo geležinkeliuose, užtikrinant sąveiką su kitais TEN-T tinklo koridoriais ir kitų transporto rūšių infrastruktūra. Numatoma plėsti ir tobulinti antrųjų kelių tinklą, tobulinti pagrindinių geležinkelių linijų infrastruktūrą, didinti geležinkelių transporto elektrifikavimą bei diegti modernias eismo valdymo sistemas. Numatoma modernizuoti geležinkelių transporto infrastruktūrą, užtikrinant eismo saugumą pervažose ir vieno lygio sankirtose, jas padarant saugesnėmis arba jas eliminuojant. Taip pat, siekiant sumažinti žmonių sveikatai žalingą triukšmo poveikį, numatomos triukšmo mažinimo priemonių, tokių kaip triukšmą slopinančių sienučių, geležinkelių tinkle įrengimas. Prioritetą numatoma teikti geležinkelių kelių elektrifikavimui bei saugos priemonių diegimui, saugaus eismo užtikrinimui geležinkelių tinkle. Taip pat bus atsižvelgiama į TEN-T pagrindinio geležinkelių tinklo tobulinimo ir plėtros poreikį, siekiant užtikrinti, kad TEN-T pagrindinio geležinkelių tinklo infrastruktūra Lietuvoje atitiktų TEN-T gairėse (Reglamentas Nr. 1315/2013) nustatytus reikalavimus. Ši veikla bus įgyvendinama visoje Lietuvoje.</t>
        </r>
      </text>
    </comment>
    <comment ref="E8" authorId="0" shapeId="0" xr:uid="{00000000-0006-0000-0200-00000A000000}">
      <text>
        <r>
          <rPr>
            <b/>
            <sz val="9"/>
            <color indexed="81"/>
            <rFont val="Tahoma"/>
            <family val="2"/>
            <charset val="186"/>
          </rPr>
          <t>Autorius:</t>
        </r>
        <r>
          <rPr>
            <sz val="9"/>
            <color indexed="81"/>
            <rFont val="Tahoma"/>
            <family val="2"/>
            <charset val="186"/>
          </rPr>
          <t xml:space="preserve">
Jus paskaiciavote 70, as randu, kad 85 proc.</t>
        </r>
      </text>
    </comment>
    <comment ref="I8" authorId="0" shapeId="0" xr:uid="{00000000-0006-0000-0200-00000B000000}">
      <text>
        <r>
          <rPr>
            <b/>
            <sz val="9"/>
            <color indexed="81"/>
            <rFont val="Tahoma"/>
            <family val="2"/>
            <charset val="186"/>
          </rPr>
          <t>Autorius:</t>
        </r>
        <r>
          <rPr>
            <sz val="9"/>
            <color indexed="81"/>
            <rFont val="Tahoma"/>
            <family val="2"/>
            <charset val="186"/>
          </rPr>
          <t xml:space="preserve">
irasykite angliskai</t>
        </r>
      </text>
    </comment>
    <comment ref="N8" authorId="0" shapeId="0" xr:uid="{00000000-0006-0000-0200-00000C000000}">
      <text>
        <r>
          <rPr>
            <b/>
            <sz val="9"/>
            <color indexed="81"/>
            <rFont val="Tahoma"/>
            <family val="2"/>
            <charset val="186"/>
          </rPr>
          <t>Autorius:</t>
        </r>
        <r>
          <rPr>
            <sz val="9"/>
            <color indexed="81"/>
            <rFont val="Tahoma"/>
            <family val="2"/>
            <charset val="186"/>
          </rPr>
          <t xml:space="preserve">
n/a</t>
        </r>
      </text>
    </comment>
    <comment ref="O8" authorId="0" shapeId="0" xr:uid="{00000000-0006-0000-0200-00000D000000}">
      <text>
        <r>
          <rPr>
            <b/>
            <sz val="9"/>
            <color indexed="81"/>
            <rFont val="Tahoma"/>
            <family val="2"/>
            <charset val="186"/>
          </rPr>
          <t>Autorius:</t>
        </r>
        <r>
          <rPr>
            <sz val="9"/>
            <color indexed="81"/>
            <rFont val="Tahoma"/>
            <family val="2"/>
            <charset val="186"/>
          </rPr>
          <t xml:space="preserve">
kodel nenumatote tarpines?
</t>
        </r>
        <r>
          <rPr>
            <b/>
            <sz val="9"/>
            <color indexed="81"/>
            <rFont val="Tahoma"/>
            <family val="2"/>
            <charset val="186"/>
          </rPr>
          <t>Vaida Kazlauskienė:</t>
        </r>
        <r>
          <rPr>
            <sz val="9"/>
            <color indexed="81"/>
            <rFont val="Tahoma"/>
            <family val="2"/>
            <charset val="186"/>
          </rPr>
          <t xml:space="preserve"> Neplanuojama, nes veiklą planuojama pradėti 2024 m. </t>
        </r>
      </text>
    </comment>
    <comment ref="I9" authorId="0" shapeId="0" xr:uid="{00000000-0006-0000-0200-00000E000000}">
      <text>
        <r>
          <rPr>
            <b/>
            <sz val="9"/>
            <color indexed="81"/>
            <rFont val="Tahoma"/>
            <family val="2"/>
            <charset val="186"/>
          </rPr>
          <t>Autorius:</t>
        </r>
        <r>
          <rPr>
            <sz val="9"/>
            <color indexed="81"/>
            <rFont val="Tahoma"/>
            <family val="2"/>
            <charset val="186"/>
          </rPr>
          <t xml:space="preserve">
irasykite angliskai</t>
        </r>
      </text>
    </comment>
    <comment ref="M9" authorId="0" shapeId="0" xr:uid="{00000000-0006-0000-0200-00000F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rail line in the year before the intervention starts, and it </t>
        </r>
        <r>
          <rPr>
            <b/>
            <sz val="9"/>
            <color indexed="81"/>
            <rFont val="Tahoma"/>
            <family val="2"/>
            <charset val="186"/>
          </rPr>
          <t>can be zero for new rail lines.
Cia tik anujimems?
Bet RCO49 kalba apie rekonstruotus ir modernizuotus</t>
        </r>
      </text>
    </comment>
    <comment ref="O9" authorId="0" shapeId="0" xr:uid="{00000000-0006-0000-0200-000010000000}">
      <text>
        <r>
          <rPr>
            <b/>
            <sz val="9"/>
            <color indexed="81"/>
            <rFont val="Tahoma"/>
            <family val="2"/>
            <charset val="186"/>
          </rPr>
          <t>Autorius:</t>
        </r>
        <r>
          <rPr>
            <sz val="9"/>
            <color indexed="81"/>
            <rFont val="Tahoma"/>
            <family val="2"/>
            <charset val="186"/>
          </rPr>
          <t xml:space="preserve">
n/a</t>
        </r>
      </text>
    </comment>
    <comment ref="H10" authorId="0" shapeId="0" xr:uid="{00000000-0006-0000-0200-000011000000}">
      <text>
        <r>
          <rPr>
            <b/>
            <sz val="9"/>
            <color indexed="81"/>
            <rFont val="Tahoma"/>
            <family val="2"/>
            <charset val="186"/>
          </rPr>
          <t>Autorius:</t>
        </r>
        <r>
          <rPr>
            <sz val="9"/>
            <color indexed="81"/>
            <rFont val="Tahoma"/>
            <family val="2"/>
            <charset val="186"/>
          </rPr>
          <t xml:space="preserve">
produkto?</t>
        </r>
      </text>
    </comment>
    <comment ref="H11" authorId="0" shapeId="0" xr:uid="{00000000-0006-0000-0200-000012000000}">
      <text>
        <r>
          <rPr>
            <b/>
            <sz val="9"/>
            <color indexed="81"/>
            <rFont val="Tahoma"/>
            <family val="2"/>
            <charset val="186"/>
          </rPr>
          <t>Autorius:</t>
        </r>
        <r>
          <rPr>
            <sz val="9"/>
            <color indexed="81"/>
            <rFont val="Tahoma"/>
            <family val="2"/>
            <charset val="186"/>
          </rPr>
          <t xml:space="preserve">
produkto?</t>
        </r>
      </text>
    </comment>
    <comment ref="E12" authorId="0" shapeId="0" xr:uid="{00000000-0006-0000-0200-000013000000}">
      <text>
        <r>
          <rPr>
            <b/>
            <sz val="9"/>
            <color indexed="81"/>
            <rFont val="Tahoma"/>
            <family val="2"/>
            <charset val="186"/>
          </rPr>
          <t>Autorius:</t>
        </r>
        <r>
          <rPr>
            <sz val="9"/>
            <color indexed="81"/>
            <rFont val="Tahoma"/>
            <family val="2"/>
            <charset val="186"/>
          </rPr>
          <t xml:space="preserve">
Jus paskaiciavote 70, as randu, kad 85 proc.</t>
        </r>
      </text>
    </comment>
    <comment ref="N12" authorId="0" shapeId="0" xr:uid="{00000000-0006-0000-0200-000014000000}">
      <text>
        <r>
          <rPr>
            <b/>
            <sz val="9"/>
            <color indexed="81"/>
            <rFont val="Tahoma"/>
            <family val="2"/>
            <charset val="186"/>
          </rPr>
          <t>Autorius:</t>
        </r>
        <r>
          <rPr>
            <sz val="9"/>
            <color indexed="81"/>
            <rFont val="Tahoma"/>
            <family val="2"/>
            <charset val="186"/>
          </rPr>
          <t xml:space="preserve">
n/a</t>
        </r>
      </text>
    </comment>
    <comment ref="O12" authorId="0" shapeId="0" xr:uid="{00000000-0006-0000-0200-000015000000}">
      <text>
        <r>
          <rPr>
            <b/>
            <sz val="9"/>
            <color indexed="81"/>
            <rFont val="Tahoma"/>
            <family val="2"/>
            <charset val="186"/>
          </rPr>
          <t>Autorius:</t>
        </r>
        <r>
          <rPr>
            <sz val="9"/>
            <color indexed="81"/>
            <rFont val="Tahoma"/>
            <family val="2"/>
            <charset val="186"/>
          </rPr>
          <t xml:space="preserve">
kodel nera tarpines?
</t>
        </r>
        <r>
          <rPr>
            <b/>
            <sz val="9"/>
            <color indexed="81"/>
            <rFont val="Tahoma"/>
            <family val="2"/>
            <charset val="186"/>
          </rPr>
          <t xml:space="preserve">Vaida Kazlauskienė: </t>
        </r>
        <r>
          <rPr>
            <sz val="9"/>
            <color indexed="81"/>
            <rFont val="Tahoma"/>
            <family val="2"/>
            <charset val="186"/>
          </rPr>
          <t>ik 2024m. vyks techninės dokumentacijos parengimas, nespės užaktuoti.</t>
        </r>
      </text>
    </comment>
    <comment ref="M13" authorId="0" shapeId="0" xr:uid="{00000000-0006-0000-0200-000016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rail line in the year before the intervention starts, and it can be zero for new rail lines.
Cia tik anujimems?
Bet RCO49 kalba apie rekonstruotus ir modernizuotus
</t>
        </r>
        <r>
          <rPr>
            <b/>
            <sz val="9"/>
            <color indexed="81"/>
            <rFont val="Tahoma"/>
            <family val="2"/>
            <charset val="186"/>
          </rPr>
          <t>Vaida Kazlauskienė</t>
        </r>
        <r>
          <rPr>
            <sz val="9"/>
            <color indexed="81"/>
            <rFont val="Tahoma"/>
            <family val="2"/>
            <charset val="186"/>
          </rPr>
          <t>: planuojamu rekosntruoti ruožu keleivių vežimas šiuo metu nevykdomas.</t>
        </r>
      </text>
    </comment>
    <comment ref="H14" authorId="0" shapeId="0" xr:uid="{00000000-0006-0000-0200-000017000000}">
      <text>
        <r>
          <rPr>
            <b/>
            <sz val="9"/>
            <color indexed="81"/>
            <rFont val="Tahoma"/>
            <family val="2"/>
            <charset val="186"/>
          </rPr>
          <t>Autorius:</t>
        </r>
        <r>
          <rPr>
            <sz val="9"/>
            <color indexed="81"/>
            <rFont val="Tahoma"/>
            <family val="2"/>
            <charset val="186"/>
          </rPr>
          <t xml:space="preserve">
produkto?</t>
        </r>
      </text>
    </comment>
    <comment ref="H15" authorId="0" shapeId="0" xr:uid="{00000000-0006-0000-0200-000018000000}">
      <text>
        <r>
          <rPr>
            <b/>
            <sz val="9"/>
            <color indexed="81"/>
            <rFont val="Tahoma"/>
            <family val="2"/>
            <charset val="186"/>
          </rPr>
          <t>Autorius:</t>
        </r>
        <r>
          <rPr>
            <sz val="9"/>
            <color indexed="81"/>
            <rFont val="Tahoma"/>
            <family val="2"/>
            <charset val="186"/>
          </rPr>
          <t xml:space="preserve">
rezultato?</t>
        </r>
      </text>
    </comment>
    <comment ref="L15" authorId="0" shapeId="0" xr:uid="{00000000-0006-0000-0200-000019000000}">
      <text>
        <r>
          <rPr>
            <b/>
            <sz val="9"/>
            <color indexed="81"/>
            <rFont val="Tahoma"/>
            <family val="2"/>
            <charset val="186"/>
          </rPr>
          <t>Autorius:</t>
        </r>
        <r>
          <rPr>
            <sz val="9"/>
            <color indexed="81"/>
            <rFont val="Tahoma"/>
            <family val="2"/>
            <charset val="186"/>
          </rPr>
          <t xml:space="preserve">
per metus?</t>
        </r>
      </text>
    </comment>
    <comment ref="H16" authorId="0" shapeId="0" xr:uid="{00000000-0006-0000-0200-00001A000000}">
      <text>
        <r>
          <rPr>
            <b/>
            <sz val="9"/>
            <color indexed="81"/>
            <rFont val="Tahoma"/>
            <family val="2"/>
            <charset val="186"/>
          </rPr>
          <t>Autorius:</t>
        </r>
        <r>
          <rPr>
            <sz val="9"/>
            <color indexed="81"/>
            <rFont val="Tahoma"/>
            <family val="2"/>
            <charset val="186"/>
          </rPr>
          <t xml:space="preserve">
produkto ar rezultato?</t>
        </r>
      </text>
    </comment>
    <comment ref="O16" authorId="0" shapeId="0" xr:uid="{00000000-0006-0000-0200-00001B000000}">
      <text>
        <r>
          <rPr>
            <b/>
            <sz val="9"/>
            <color indexed="81"/>
            <rFont val="Tahoma"/>
            <family val="2"/>
            <charset val="186"/>
          </rPr>
          <t>Autorius:</t>
        </r>
        <r>
          <rPr>
            <sz val="9"/>
            <color indexed="81"/>
            <rFont val="Tahoma"/>
            <family val="2"/>
            <charset val="186"/>
          </rPr>
          <t xml:space="preserve">
n/a</t>
        </r>
      </text>
    </comment>
    <comment ref="H17" authorId="0" shapeId="0" xr:uid="{00000000-0006-0000-0200-00001C000000}">
      <text>
        <r>
          <rPr>
            <b/>
            <sz val="9"/>
            <color indexed="81"/>
            <rFont val="Tahoma"/>
            <family val="2"/>
            <charset val="186"/>
          </rPr>
          <t>Autorius:</t>
        </r>
        <r>
          <rPr>
            <sz val="9"/>
            <color indexed="81"/>
            <rFont val="Tahoma"/>
            <family val="2"/>
            <charset val="186"/>
          </rPr>
          <t xml:space="preserve">
produkto ar rezultato?</t>
        </r>
      </text>
    </comment>
    <comment ref="O17" authorId="0" shapeId="0" xr:uid="{00000000-0006-0000-0200-00001D000000}">
      <text>
        <r>
          <rPr>
            <b/>
            <sz val="9"/>
            <color indexed="81"/>
            <rFont val="Tahoma"/>
            <family val="2"/>
            <charset val="186"/>
          </rPr>
          <t>Autorius:</t>
        </r>
        <r>
          <rPr>
            <sz val="9"/>
            <color indexed="81"/>
            <rFont val="Tahoma"/>
            <family val="2"/>
            <charset val="186"/>
          </rPr>
          <t xml:space="preserve">
n/a</t>
        </r>
      </text>
    </comment>
    <comment ref="A18" authorId="0" shapeId="0" xr:uid="{00000000-0006-0000-0200-00001E000000}">
      <text>
        <r>
          <rPr>
            <b/>
            <sz val="9"/>
            <color indexed="81"/>
            <rFont val="Tahoma"/>
            <family val="2"/>
            <charset val="186"/>
          </rPr>
          <t>Autorius:
diegti ITS, eismo saugumo ir aplinkosaugines priemones, kad būtų pasiekti TEN-T kelių techniniai parametrai, kurie tenkintų kelių transporto apkrovimo reikalavimus, užtikrintų tinkamą TEN-T tinklo pralaidumą ir eismo saugumą. Numatoma tęsti TEN-T tinklo kelių transporto infrastruktūros modernizavimą ir plėtrą, kelių transporto eismo saugos ir aplinkosauginių parametrų didinimą, TEN-T tinklo kelių, su jais susijusių privažiuojamųjų ir tiesioginių jungiamųjų kelių rekonstrukciją ir plėtrą, įskaitant miestų ir miestelių aplinkkelių tiesimą, intelektinių kelių transporto sistemų diegimą. Siekiant užtikrinti „naudotojas moka“ ir „teršėjas moka“ principų įgyvendinimą, numatoma įdiegti elektroninę atstuminę rinkliavos sistemą. Prioritetas bus teikiamas TEN -T pagrindinio kelių tinklo tobulinimui ir plėtrai, siekiant užtikrinti, kad TEN-T kelių infrastruktūra Lietuvoje atitiktų TEN-T gairėse (Reglamentas Nr. 1315/2013) nustatytus reikalavimus ir eismo saugai keliuose užtikrinti. Ši veikla bus įgyvendinama visoje Lietuvoj</t>
        </r>
        <r>
          <rPr>
            <sz val="9"/>
            <color indexed="81"/>
            <rFont val="Tahoma"/>
            <family val="2"/>
            <charset val="186"/>
          </rPr>
          <t xml:space="preserve">e. </t>
        </r>
      </text>
    </comment>
    <comment ref="E18" authorId="0" shapeId="0" xr:uid="{00000000-0006-0000-0200-00001F000000}">
      <text>
        <r>
          <rPr>
            <b/>
            <sz val="9"/>
            <color indexed="81"/>
            <rFont val="Tahoma"/>
            <family val="2"/>
            <charset val="186"/>
          </rPr>
          <t>Autorius:</t>
        </r>
        <r>
          <rPr>
            <sz val="9"/>
            <color indexed="81"/>
            <rFont val="Tahoma"/>
            <family val="2"/>
            <charset val="186"/>
          </rPr>
          <t xml:space="preserve">
Jus paskaiciavote 70, as randu, kad 85 proc.</t>
        </r>
      </text>
    </comment>
    <comment ref="I18" authorId="0" shapeId="0" xr:uid="{00000000-0006-0000-0200-000020000000}">
      <text>
        <r>
          <rPr>
            <b/>
            <sz val="9"/>
            <color indexed="81"/>
            <rFont val="Tahoma"/>
            <family val="2"/>
            <charset val="186"/>
          </rPr>
          <t>Autorius:</t>
        </r>
        <r>
          <rPr>
            <sz val="9"/>
            <color indexed="81"/>
            <rFont val="Tahoma"/>
            <family val="2"/>
            <charset val="186"/>
          </rPr>
          <t xml:space="preserve">
irasykite angliskai</t>
        </r>
      </text>
    </comment>
    <comment ref="N18" authorId="0" shapeId="0" xr:uid="{00000000-0006-0000-0200-000021000000}">
      <text>
        <r>
          <rPr>
            <b/>
            <sz val="9"/>
            <color indexed="81"/>
            <rFont val="Tahoma"/>
            <family val="2"/>
            <charset val="186"/>
          </rPr>
          <t>Autorius:</t>
        </r>
        <r>
          <rPr>
            <sz val="9"/>
            <color indexed="81"/>
            <rFont val="Tahoma"/>
            <family val="2"/>
            <charset val="186"/>
          </rPr>
          <t xml:space="preserve">
produkto rodikliams n/a</t>
        </r>
      </text>
    </comment>
    <comment ref="O18" authorId="0" shapeId="0" xr:uid="{00000000-0006-0000-0200-000022000000}">
      <text>
        <r>
          <rPr>
            <b/>
            <sz val="9"/>
            <color indexed="81"/>
            <rFont val="Tahoma"/>
            <family val="2"/>
            <charset val="186"/>
          </rPr>
          <t>Autorius:</t>
        </r>
        <r>
          <rPr>
            <sz val="9"/>
            <color indexed="81"/>
            <rFont val="Tahoma"/>
            <family val="2"/>
            <charset val="186"/>
          </rPr>
          <t xml:space="preserve">
kodel neplanuojate tarpines?</t>
        </r>
      </text>
    </comment>
    <comment ref="I19" authorId="0" shapeId="0" xr:uid="{00000000-0006-0000-0200-000023000000}">
      <text>
        <r>
          <rPr>
            <b/>
            <sz val="9"/>
            <color indexed="81"/>
            <rFont val="Tahoma"/>
            <family val="2"/>
            <charset val="186"/>
          </rPr>
          <t>Autorius:</t>
        </r>
        <r>
          <rPr>
            <sz val="9"/>
            <color indexed="81"/>
            <rFont val="Tahoma"/>
            <family val="2"/>
            <charset val="186"/>
          </rPr>
          <t xml:space="preserve">
irasykite angliskai</t>
        </r>
      </text>
    </comment>
    <comment ref="M19" authorId="0" shapeId="0" xr:uid="{00000000-0006-0000-0200-000024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t>
        </r>
        <r>
          <rPr>
            <b/>
            <sz val="9"/>
            <color indexed="81"/>
            <rFont val="Tahoma"/>
            <family val="2"/>
            <charset val="186"/>
          </rPr>
          <t>can be zero for new roads.
Tai galima daryti prielaida, kad bus tik nauji?</t>
        </r>
      </text>
    </comment>
    <comment ref="O19" authorId="0" shapeId="0" xr:uid="{00000000-0006-0000-0200-000025000000}">
      <text>
        <r>
          <rPr>
            <b/>
            <sz val="9"/>
            <color indexed="81"/>
            <rFont val="Tahoma"/>
            <family val="2"/>
            <charset val="186"/>
          </rPr>
          <t>Autorius:</t>
        </r>
        <r>
          <rPr>
            <sz val="9"/>
            <color indexed="81"/>
            <rFont val="Tahoma"/>
            <family val="2"/>
            <charset val="186"/>
          </rPr>
          <t xml:space="preserve">
n/a</t>
        </r>
      </text>
    </comment>
    <comment ref="I20" authorId="0" shapeId="0" xr:uid="{00000000-0006-0000-0200-000026000000}">
      <text>
        <r>
          <rPr>
            <b/>
            <sz val="9"/>
            <color indexed="81"/>
            <rFont val="Tahoma"/>
            <family val="2"/>
            <charset val="186"/>
          </rPr>
          <t>Autorius:</t>
        </r>
        <r>
          <rPr>
            <sz val="9"/>
            <color indexed="81"/>
            <rFont val="Tahoma"/>
            <family val="2"/>
            <charset val="186"/>
          </rPr>
          <t xml:space="preserve">
irasykite angliskai</t>
        </r>
      </text>
    </comment>
    <comment ref="O20" authorId="0" shapeId="0" xr:uid="{00000000-0006-0000-0200-000027000000}">
      <text>
        <r>
          <rPr>
            <b/>
            <sz val="9"/>
            <color indexed="81"/>
            <rFont val="Tahoma"/>
            <family val="2"/>
            <charset val="186"/>
          </rPr>
          <t>Autorius:</t>
        </r>
        <r>
          <rPr>
            <sz val="9"/>
            <color indexed="81"/>
            <rFont val="Tahoma"/>
            <family val="2"/>
            <charset val="186"/>
          </rPr>
          <t xml:space="preserve">
n/a</t>
        </r>
      </text>
    </comment>
    <comment ref="E21" authorId="0" shapeId="0" xr:uid="{00000000-0006-0000-0200-000028000000}">
      <text>
        <r>
          <rPr>
            <b/>
            <sz val="9"/>
            <color indexed="81"/>
            <rFont val="Tahoma"/>
            <family val="2"/>
            <charset val="186"/>
          </rPr>
          <t>Autorius:</t>
        </r>
        <r>
          <rPr>
            <sz val="9"/>
            <color indexed="81"/>
            <rFont val="Tahoma"/>
            <family val="2"/>
            <charset val="186"/>
          </rPr>
          <t xml:space="preserve">
Jus paskaiciavote 70, as randu, kad 85 proc.</t>
        </r>
      </text>
    </comment>
    <comment ref="I21" authorId="0" shapeId="0" xr:uid="{00000000-0006-0000-0200-000029000000}">
      <text>
        <r>
          <rPr>
            <b/>
            <sz val="9"/>
            <color indexed="81"/>
            <rFont val="Tahoma"/>
            <family val="2"/>
            <charset val="186"/>
          </rPr>
          <t>Autorius:</t>
        </r>
        <r>
          <rPr>
            <sz val="9"/>
            <color indexed="81"/>
            <rFont val="Tahoma"/>
            <family val="2"/>
            <charset val="186"/>
          </rPr>
          <t xml:space="preserve">
irasykite angliskai</t>
        </r>
      </text>
    </comment>
    <comment ref="N21" authorId="0" shapeId="0" xr:uid="{00000000-0006-0000-0200-00002A000000}">
      <text>
        <r>
          <rPr>
            <b/>
            <sz val="9"/>
            <color indexed="81"/>
            <rFont val="Tahoma"/>
            <family val="2"/>
            <charset val="186"/>
          </rPr>
          <t>Autorius:</t>
        </r>
        <r>
          <rPr>
            <sz val="9"/>
            <color indexed="81"/>
            <rFont val="Tahoma"/>
            <family val="2"/>
            <charset val="186"/>
          </rPr>
          <t xml:space="preserve">
n/a</t>
        </r>
      </text>
    </comment>
    <comment ref="O21" authorId="0" shapeId="0" xr:uid="{00000000-0006-0000-0200-00002B000000}">
      <text>
        <r>
          <rPr>
            <b/>
            <sz val="9"/>
            <color indexed="81"/>
            <rFont val="Tahoma"/>
            <family val="2"/>
            <charset val="186"/>
          </rPr>
          <t>Autorius:</t>
        </r>
        <r>
          <rPr>
            <sz val="9"/>
            <color indexed="81"/>
            <rFont val="Tahoma"/>
            <family val="2"/>
            <charset val="186"/>
          </rPr>
          <t xml:space="preserve">
kodel neplanuojate tarpines?</t>
        </r>
      </text>
    </comment>
    <comment ref="I22" authorId="0" shapeId="0" xr:uid="{00000000-0006-0000-0200-00002C000000}">
      <text>
        <r>
          <rPr>
            <b/>
            <sz val="9"/>
            <color indexed="81"/>
            <rFont val="Tahoma"/>
            <family val="2"/>
            <charset val="186"/>
          </rPr>
          <t>Autorius:</t>
        </r>
        <r>
          <rPr>
            <sz val="9"/>
            <color indexed="81"/>
            <rFont val="Tahoma"/>
            <family val="2"/>
            <charset val="186"/>
          </rPr>
          <t xml:space="preserve">
irasykite angliskai</t>
        </r>
      </text>
    </comment>
    <comment ref="M22" authorId="0" shapeId="0" xr:uid="{00000000-0006-0000-0200-00002D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can be zero for new roads.
Tai galima daryti prielaida, kad bus tik nauji?
Bet RCO45 yra tik rekonstruoti ir modernizuoti?</t>
        </r>
      </text>
    </comment>
    <comment ref="O22" authorId="0" shapeId="0" xr:uid="{00000000-0006-0000-0200-00002E000000}">
      <text>
        <r>
          <rPr>
            <b/>
            <sz val="9"/>
            <color indexed="81"/>
            <rFont val="Tahoma"/>
            <family val="2"/>
            <charset val="186"/>
          </rPr>
          <t>Autorius:</t>
        </r>
        <r>
          <rPr>
            <sz val="9"/>
            <color indexed="81"/>
            <rFont val="Tahoma"/>
            <family val="2"/>
            <charset val="186"/>
          </rPr>
          <t xml:space="preserve">
n/a</t>
        </r>
      </text>
    </comment>
    <comment ref="I23" authorId="0" shapeId="0" xr:uid="{00000000-0006-0000-0200-00002F000000}">
      <text>
        <r>
          <rPr>
            <b/>
            <sz val="9"/>
            <color indexed="81"/>
            <rFont val="Tahoma"/>
            <family val="2"/>
            <charset val="186"/>
          </rPr>
          <t>Autorius:</t>
        </r>
        <r>
          <rPr>
            <sz val="9"/>
            <color indexed="81"/>
            <rFont val="Tahoma"/>
            <family val="2"/>
            <charset val="186"/>
          </rPr>
          <t xml:space="preserve">
irasykite angliskai</t>
        </r>
      </text>
    </comment>
    <comment ref="O23" authorId="0" shapeId="0" xr:uid="{00000000-0006-0000-0200-000030000000}">
      <text>
        <r>
          <rPr>
            <b/>
            <sz val="9"/>
            <color indexed="81"/>
            <rFont val="Tahoma"/>
            <family val="2"/>
            <charset val="186"/>
          </rPr>
          <t>Autorius:</t>
        </r>
        <r>
          <rPr>
            <sz val="9"/>
            <color indexed="81"/>
            <rFont val="Tahoma"/>
            <family val="2"/>
            <charset val="186"/>
          </rPr>
          <t xml:space="preserve">
n/a</t>
        </r>
      </text>
    </comment>
    <comment ref="E24" authorId="0" shapeId="0" xr:uid="{00000000-0006-0000-0200-000031000000}">
      <text>
        <r>
          <rPr>
            <b/>
            <sz val="9"/>
            <color indexed="81"/>
            <rFont val="Tahoma"/>
            <family val="2"/>
            <charset val="186"/>
          </rPr>
          <t>Autorius:</t>
        </r>
        <r>
          <rPr>
            <sz val="9"/>
            <color indexed="81"/>
            <rFont val="Tahoma"/>
            <family val="2"/>
            <charset val="186"/>
          </rPr>
          <t xml:space="preserve">
Jus paskaiciavote 70, as randu, kad 85 proc.</t>
        </r>
      </text>
    </comment>
    <comment ref="I24" authorId="0" shapeId="0" xr:uid="{00000000-0006-0000-0200-000032000000}">
      <text>
        <r>
          <rPr>
            <b/>
            <sz val="9"/>
            <color indexed="81"/>
            <rFont val="Tahoma"/>
            <family val="2"/>
            <charset val="186"/>
          </rPr>
          <t>Autorius:</t>
        </r>
        <r>
          <rPr>
            <sz val="9"/>
            <color indexed="81"/>
            <rFont val="Tahoma"/>
            <family val="2"/>
            <charset val="186"/>
          </rPr>
          <t xml:space="preserve">
irasykite angliskai</t>
        </r>
      </text>
    </comment>
    <comment ref="N24" authorId="0" shapeId="0" xr:uid="{00000000-0006-0000-0200-000033000000}">
      <text>
        <r>
          <rPr>
            <b/>
            <sz val="9"/>
            <color indexed="81"/>
            <rFont val="Tahoma"/>
            <family val="2"/>
            <charset val="186"/>
          </rPr>
          <t>Autorius:</t>
        </r>
        <r>
          <rPr>
            <sz val="9"/>
            <color indexed="81"/>
            <rFont val="Tahoma"/>
            <family val="2"/>
            <charset val="186"/>
          </rPr>
          <t xml:space="preserve">
n/a</t>
        </r>
      </text>
    </comment>
    <comment ref="O24" authorId="0" shapeId="0" xr:uid="{00000000-0006-0000-0200-000034000000}">
      <text>
        <r>
          <rPr>
            <b/>
            <sz val="9"/>
            <color indexed="81"/>
            <rFont val="Tahoma"/>
            <family val="2"/>
            <charset val="186"/>
          </rPr>
          <t>Autorius:</t>
        </r>
        <r>
          <rPr>
            <sz val="9"/>
            <color indexed="81"/>
            <rFont val="Tahoma"/>
            <family val="2"/>
            <charset val="186"/>
          </rPr>
          <t xml:space="preserve">
kosel neplanuojate tarines?</t>
        </r>
      </text>
    </comment>
    <comment ref="I25" authorId="0" shapeId="0" xr:uid="{00000000-0006-0000-0200-000035000000}">
      <text>
        <r>
          <rPr>
            <b/>
            <sz val="9"/>
            <color indexed="81"/>
            <rFont val="Tahoma"/>
            <family val="2"/>
            <charset val="186"/>
          </rPr>
          <t>Autorius:</t>
        </r>
        <r>
          <rPr>
            <sz val="9"/>
            <color indexed="81"/>
            <rFont val="Tahoma"/>
            <family val="2"/>
            <charset val="186"/>
          </rPr>
          <t xml:space="preserve">
irasykite angliskai</t>
        </r>
      </text>
    </comment>
    <comment ref="M25" authorId="0" shapeId="0" xr:uid="{00000000-0006-0000-0200-000036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can be zero for new roads.
Tai galima daryti prielaida, kad bus tik nauji?
Bet RCO45 yra tik rekonstruoti ir modernizuoti?</t>
        </r>
      </text>
    </comment>
    <comment ref="O25" authorId="0" shapeId="0" xr:uid="{00000000-0006-0000-0200-000037000000}">
      <text>
        <r>
          <rPr>
            <b/>
            <sz val="9"/>
            <color indexed="81"/>
            <rFont val="Tahoma"/>
            <family val="2"/>
            <charset val="186"/>
          </rPr>
          <t>Autorius:</t>
        </r>
        <r>
          <rPr>
            <sz val="9"/>
            <color indexed="81"/>
            <rFont val="Tahoma"/>
            <family val="2"/>
            <charset val="186"/>
          </rPr>
          <t xml:space="preserve">
n/a</t>
        </r>
      </text>
    </comment>
    <comment ref="I26" authorId="0" shapeId="0" xr:uid="{00000000-0006-0000-0200-000038000000}">
      <text>
        <r>
          <rPr>
            <b/>
            <sz val="9"/>
            <color indexed="81"/>
            <rFont val="Tahoma"/>
            <family val="2"/>
            <charset val="186"/>
          </rPr>
          <t>Autorius:</t>
        </r>
        <r>
          <rPr>
            <sz val="9"/>
            <color indexed="81"/>
            <rFont val="Tahoma"/>
            <family val="2"/>
            <charset val="186"/>
          </rPr>
          <t xml:space="preserve">
irasykite angliskai</t>
        </r>
      </text>
    </comment>
    <comment ref="O26" authorId="0" shapeId="0" xr:uid="{00000000-0006-0000-0200-000039000000}">
      <text>
        <r>
          <rPr>
            <b/>
            <sz val="9"/>
            <color indexed="81"/>
            <rFont val="Tahoma"/>
            <family val="2"/>
            <charset val="186"/>
          </rPr>
          <t>Autorius:</t>
        </r>
        <r>
          <rPr>
            <sz val="9"/>
            <color indexed="81"/>
            <rFont val="Tahoma"/>
            <family val="2"/>
            <charset val="186"/>
          </rPr>
          <t xml:space="preserve">
n/a</t>
        </r>
      </text>
    </comment>
    <comment ref="E27" authorId="0" shapeId="0" xr:uid="{00000000-0006-0000-0200-00003A000000}">
      <text>
        <r>
          <rPr>
            <b/>
            <sz val="9"/>
            <color indexed="81"/>
            <rFont val="Tahoma"/>
            <family val="2"/>
            <charset val="186"/>
          </rPr>
          <t>Autorius:</t>
        </r>
        <r>
          <rPr>
            <sz val="9"/>
            <color indexed="81"/>
            <rFont val="Tahoma"/>
            <family val="2"/>
            <charset val="186"/>
          </rPr>
          <t xml:space="preserve">
Jus paskaiciavote 70, as randu, kad 85 proc.</t>
        </r>
      </text>
    </comment>
    <comment ref="M27" authorId="0" shapeId="0" xr:uid="{00000000-0006-0000-0200-00003B000000}">
      <text>
        <r>
          <rPr>
            <b/>
            <sz val="9"/>
            <color indexed="81"/>
            <rFont val="Tahoma"/>
            <family val="2"/>
            <charset val="186"/>
          </rPr>
          <t>Autorius:</t>
        </r>
        <r>
          <rPr>
            <sz val="9"/>
            <color indexed="81"/>
            <rFont val="Tahoma"/>
            <family val="2"/>
            <charset val="186"/>
          </rPr>
          <t xml:space="preserve">
uzpildykite</t>
        </r>
      </text>
    </comment>
    <comment ref="N27" authorId="0" shapeId="0" xr:uid="{00000000-0006-0000-0200-00003C000000}">
      <text>
        <r>
          <rPr>
            <b/>
            <sz val="9"/>
            <color indexed="81"/>
            <rFont val="Tahoma"/>
            <family val="2"/>
            <charset val="186"/>
          </rPr>
          <t>Autorius:</t>
        </r>
        <r>
          <rPr>
            <sz val="9"/>
            <color indexed="81"/>
            <rFont val="Tahoma"/>
            <family val="2"/>
            <charset val="186"/>
          </rPr>
          <t xml:space="preserve">
n/a</t>
        </r>
      </text>
    </comment>
    <comment ref="R27" authorId="0" shapeId="0" xr:uid="{00000000-0006-0000-0200-00003D000000}">
      <text>
        <r>
          <rPr>
            <b/>
            <sz val="9"/>
            <color indexed="81"/>
            <rFont val="Tahoma"/>
            <family val="2"/>
            <charset val="186"/>
          </rPr>
          <t>Autorius:</t>
        </r>
        <r>
          <rPr>
            <sz val="9"/>
            <color indexed="81"/>
            <rFont val="Tahoma"/>
            <family val="2"/>
            <charset val="186"/>
          </rPr>
          <t xml:space="preserve">
kuo remiantis apskaiciuotas ikainis? 2014-2020 patirtimi? Taip ir parasykite.
Patiklsinkite siektina reiksme pagal ES+BF. Kai suvedziau 85 proc. Gaunu kitokia bendra suma (74,4 mln.)</t>
        </r>
      </text>
    </comment>
    <comment ref="A29" authorId="0" shapeId="0" xr:uid="{00000000-0006-0000-0200-00003E000000}">
      <text>
        <r>
          <rPr>
            <b/>
            <sz val="9"/>
            <color indexed="81"/>
            <rFont val="Tahoma"/>
            <family val="2"/>
            <charset val="186"/>
          </rPr>
          <t>Autorius:
įskaitant multimodalinio transporto terminalus ir miest</t>
        </r>
        <r>
          <rPr>
            <sz val="9"/>
            <color indexed="81"/>
            <rFont val="Tahoma"/>
            <family val="2"/>
            <charset val="186"/>
          </rPr>
          <t>ų</t>
        </r>
        <r>
          <rPr>
            <b/>
            <sz val="9"/>
            <color indexed="81"/>
            <rFont val="Tahoma"/>
            <family val="2"/>
            <charset val="186"/>
          </rPr>
          <t xml:space="preserve"> transporto mazgus, užtikrinant keleivinio ir krovininio skirtingų transporto rūšių infrastruktūros sujungimą, skirtingų transporto rūšių stočių sujungimą su regioninio bei vietinio eismo ir krovinių vežimo mieste infrastruktūra, įskaitant logistikos konsolidavimą ir skirstymo centrus. Ši veikla bus įgyvendinama visoje Lietuvoje.</t>
        </r>
      </text>
    </comment>
    <comment ref="E29" authorId="0" shapeId="0" xr:uid="{00000000-0006-0000-0200-00003F000000}">
      <text>
        <r>
          <rPr>
            <b/>
            <sz val="9"/>
            <color indexed="81"/>
            <rFont val="Tahoma"/>
            <family val="2"/>
            <charset val="186"/>
          </rPr>
          <t>Autorius:</t>
        </r>
        <r>
          <rPr>
            <sz val="9"/>
            <color indexed="81"/>
            <rFont val="Tahoma"/>
            <family val="2"/>
            <charset val="186"/>
          </rPr>
          <t xml:space="preserve">
Jus paskaiciavote 70, as randu, kad 85 proc.</t>
        </r>
      </text>
    </comment>
    <comment ref="I29" authorId="0" shapeId="0" xr:uid="{00000000-0006-0000-0200-000040000000}">
      <text>
        <r>
          <rPr>
            <b/>
            <sz val="9"/>
            <color indexed="81"/>
            <rFont val="Tahoma"/>
            <family val="2"/>
            <charset val="186"/>
          </rPr>
          <t>Autorius:</t>
        </r>
        <r>
          <rPr>
            <sz val="9"/>
            <color indexed="81"/>
            <rFont val="Tahoma"/>
            <family val="2"/>
            <charset val="186"/>
          </rPr>
          <t xml:space="preserve">
irasykite angliskai</t>
        </r>
      </text>
    </comment>
    <comment ref="L29" authorId="0" shapeId="0" xr:uid="{00000000-0006-0000-0200-000041000000}">
      <text>
        <r>
          <rPr>
            <b/>
            <sz val="9"/>
            <color indexed="81"/>
            <rFont val="Tahoma"/>
            <family val="2"/>
            <charset val="186"/>
          </rPr>
          <t>Autorius:</t>
        </r>
        <r>
          <rPr>
            <sz val="9"/>
            <color indexed="81"/>
            <rFont val="Tahoma"/>
            <family val="2"/>
            <charset val="186"/>
          </rPr>
          <t xml:space="preserve">
naujos?</t>
        </r>
      </text>
    </comment>
    <comment ref="N29" authorId="0" shapeId="0" xr:uid="{00000000-0006-0000-0200-000042000000}">
      <text>
        <r>
          <rPr>
            <b/>
            <sz val="9"/>
            <color indexed="81"/>
            <rFont val="Tahoma"/>
            <family val="2"/>
            <charset val="186"/>
          </rPr>
          <t>Autorius:</t>
        </r>
        <r>
          <rPr>
            <sz val="9"/>
            <color indexed="81"/>
            <rFont val="Tahoma"/>
            <family val="2"/>
            <charset val="186"/>
          </rPr>
          <t xml:space="preserve">
n/a</t>
        </r>
      </text>
    </comment>
    <comment ref="I30" authorId="0" shapeId="0" xr:uid="{00000000-0006-0000-0200-000043000000}">
      <text>
        <r>
          <rPr>
            <b/>
            <sz val="9"/>
            <color indexed="81"/>
            <rFont val="Tahoma"/>
            <family val="2"/>
            <charset val="186"/>
          </rPr>
          <t>Autorius:</t>
        </r>
        <r>
          <rPr>
            <sz val="9"/>
            <color indexed="81"/>
            <rFont val="Tahoma"/>
            <family val="2"/>
            <charset val="186"/>
          </rPr>
          <t xml:space="preserve">
irasykite angliskai</t>
        </r>
      </text>
    </comment>
    <comment ref="M30" authorId="0" shapeId="0" xr:uid="{00000000-0006-0000-0200-000044000000}">
      <text>
        <r>
          <rPr>
            <b/>
            <sz val="9"/>
            <color indexed="81"/>
            <rFont val="Tahoma"/>
            <family val="2"/>
            <charset val="186"/>
          </rPr>
          <t>Autorius:</t>
        </r>
        <r>
          <rPr>
            <sz val="9"/>
            <color indexed="81"/>
            <rFont val="Tahoma"/>
            <family val="2"/>
            <charset val="186"/>
          </rPr>
          <t xml:space="preserve">
The indicator baseline refers to the total freight weight transported on the respective rail line in the year before the intervention starts, and it can be zero for a new rail line.
Tai galima daryti prielaida, kad planuojama naujos?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A3" authorId="0" shapeId="0" xr:uid="{00000000-0006-0000-0300-000001000000}">
      <text>
        <r>
          <rPr>
            <b/>
            <sz val="9"/>
            <color indexed="81"/>
            <rFont val="Tahoma"/>
            <family val="2"/>
            <charset val="186"/>
          </rPr>
          <t>Autorius:</t>
        </r>
        <r>
          <rPr>
            <sz val="9"/>
            <color indexed="81"/>
            <rFont val="Tahoma"/>
            <family val="2"/>
            <charset val="186"/>
          </rPr>
          <t xml:space="preserve">
perkelta į 2.8</t>
        </r>
      </text>
    </comment>
    <comment ref="A7" authorId="0" shapeId="0" xr:uid="{00000000-0006-0000-0300-000002000000}">
      <text>
        <r>
          <rPr>
            <b/>
            <sz val="9"/>
            <color indexed="81"/>
            <rFont val="Tahoma"/>
            <family val="2"/>
            <charset val="186"/>
          </rPr>
          <t>Autorius:
gerinant jų techninius parametrus, didinti eismo saugą regioniniuose keliuose bei atitiktį aplinkosaugos reikalavimams, diegti ITS, užtikrinant tinkamus kelių techninius parametrus, padidinant jų pralaidumą ir eismo saugą. Bus įrengiami trūkstami aplinkkeliai, plėtojama savivaldybių susisiekimo infrastruktūra, diegiamos intelektines transporto sistemos ir inovatyvūs sprendimai. Siekiant pagerinti valstybinės reikšmės kelių techninius parametrus, daugeliu atveju regionuose bus tobulinami ir rekonstruojami keliai, tuo pačiu užtikrinant eismo saugą (įrengiant eismo saugos priemones), mažinant „juodųjų dėmių“ skaičių keliuose, užkertant kelią naujų „juodųjų dėmių“ atsiradimui, įrengiant transporto priemonių ir pėstiesiems skirtą infrastruktūrą, eliminuojant vieno lygio susikirtimus su geležinkeliu, bus diegiamos aplinkosaugos priemonės (triukšmo mažinimo priemonės, priemonės gyvūnų apsaugai). Ši veikla bus įgyvendinama visoje Lietuvoje.</t>
        </r>
      </text>
    </comment>
    <comment ref="N7" authorId="0" shapeId="0" xr:uid="{00000000-0006-0000-0300-000003000000}">
      <text>
        <r>
          <rPr>
            <b/>
            <sz val="9"/>
            <color indexed="81"/>
            <rFont val="Tahoma"/>
            <family val="2"/>
            <charset val="186"/>
          </rPr>
          <t>Autorius:</t>
        </r>
        <r>
          <rPr>
            <sz val="9"/>
            <color indexed="81"/>
            <rFont val="Tahoma"/>
            <family val="2"/>
            <charset val="186"/>
          </rPr>
          <t xml:space="preserve">
n/a</t>
        </r>
      </text>
    </comment>
    <comment ref="M8" authorId="0" shapeId="0" xr:uid="{00000000-0006-0000-0300-000004000000}">
      <text>
        <r>
          <rPr>
            <b/>
            <sz val="9"/>
            <color indexed="81"/>
            <rFont val="Tahoma"/>
            <family val="2"/>
            <charset val="186"/>
          </rPr>
          <t>Autorius:</t>
        </r>
        <r>
          <rPr>
            <sz val="9"/>
            <color indexed="81"/>
            <rFont val="Tahoma"/>
            <family val="2"/>
            <charset val="186"/>
          </rPr>
          <t xml:space="preserve">
irasykit pradine verte. 0 kaip suprantu gali buti naujiems keliams, bet jeigu renkates RCO046, tai ten nauju nera. Nauji gali buti pagal RCO44.</t>
        </r>
      </text>
    </comment>
    <comment ref="H10" authorId="0" shapeId="0" xr:uid="{00000000-0006-0000-0300-000005000000}">
      <text>
        <r>
          <rPr>
            <b/>
            <sz val="9"/>
            <color indexed="81"/>
            <rFont val="Tahoma"/>
            <family val="2"/>
            <charset val="186"/>
          </rPr>
          <t>Autorius:</t>
        </r>
        <r>
          <rPr>
            <sz val="9"/>
            <color indexed="81"/>
            <rFont val="Tahoma"/>
            <family val="2"/>
            <charset val="186"/>
          </rPr>
          <t xml:space="preserve">
produkto?</t>
        </r>
      </text>
    </comment>
    <comment ref="I10" authorId="0" shapeId="0" xr:uid="{00000000-0006-0000-0300-000006000000}">
      <text>
        <r>
          <rPr>
            <b/>
            <sz val="9"/>
            <color indexed="81"/>
            <rFont val="Tahoma"/>
            <family val="2"/>
            <charset val="186"/>
          </rPr>
          <t>Autorius:</t>
        </r>
        <r>
          <rPr>
            <sz val="9"/>
            <color indexed="81"/>
            <rFont val="Tahoma"/>
            <family val="2"/>
            <charset val="186"/>
          </rPr>
          <t xml:space="preserve">
Įdiegtos saugų eismą gerinančios ir
aplinkosaugos priemonės? Cia pie ta pati? Gal dabartine formuluote naudokite?</t>
        </r>
      </text>
    </comment>
    <comment ref="N10" authorId="0" shapeId="0" xr:uid="{00000000-0006-0000-0300-000007000000}">
      <text>
        <r>
          <rPr>
            <b/>
            <sz val="9"/>
            <color indexed="81"/>
            <rFont val="Tahoma"/>
            <family val="2"/>
            <charset val="186"/>
          </rPr>
          <t>Autorius:</t>
        </r>
        <r>
          <rPr>
            <sz val="9"/>
            <color indexed="81"/>
            <rFont val="Tahoma"/>
            <family val="2"/>
            <charset val="186"/>
          </rPr>
          <t xml:space="preserve">
produkto rodikliams n/a</t>
        </r>
      </text>
    </comment>
    <comment ref="P10" authorId="0" shapeId="0" xr:uid="{00000000-0006-0000-0300-000008000000}">
      <text>
        <r>
          <rPr>
            <b/>
            <sz val="9"/>
            <color indexed="81"/>
            <rFont val="Tahoma"/>
            <family val="2"/>
            <charset val="186"/>
          </rPr>
          <t>Autorius:</t>
        </r>
        <r>
          <rPr>
            <sz val="9"/>
            <color indexed="81"/>
            <rFont val="Tahoma"/>
            <family val="2"/>
            <charset val="186"/>
          </rPr>
          <t xml:space="preserve">
ar tikrai apvalinate I didesne puse?</t>
        </r>
      </text>
    </comment>
    <comment ref="H11" authorId="0" shapeId="0" xr:uid="{00000000-0006-0000-0300-000009000000}">
      <text>
        <r>
          <rPr>
            <b/>
            <sz val="9"/>
            <color indexed="81"/>
            <rFont val="Tahoma"/>
            <family val="2"/>
            <charset val="186"/>
          </rPr>
          <t>Autorius:</t>
        </r>
        <r>
          <rPr>
            <sz val="9"/>
            <color indexed="81"/>
            <rFont val="Tahoma"/>
            <family val="2"/>
            <charset val="186"/>
          </rPr>
          <t xml:space="preserve">
produkto?</t>
        </r>
      </text>
    </comment>
    <comment ref="I11" authorId="0" shapeId="0" xr:uid="{00000000-0006-0000-0300-00000A000000}">
      <text>
        <r>
          <rPr>
            <b/>
            <sz val="9"/>
            <color indexed="81"/>
            <rFont val="Tahoma"/>
            <family val="2"/>
            <charset val="186"/>
          </rPr>
          <t>Autorius:</t>
        </r>
        <r>
          <rPr>
            <sz val="9"/>
            <color indexed="81"/>
            <rFont val="Tahoma"/>
            <family val="2"/>
            <charset val="186"/>
          </rPr>
          <t xml:space="preserve">
cia gal per metus?</t>
        </r>
      </text>
    </comment>
    <comment ref="L11" authorId="0" shapeId="0" xr:uid="{00000000-0006-0000-0300-00000B000000}">
      <text>
        <r>
          <rPr>
            <b/>
            <sz val="9"/>
            <color indexed="81"/>
            <rFont val="Tahoma"/>
            <family val="2"/>
            <charset val="186"/>
          </rPr>
          <t>Autorius:</t>
        </r>
        <r>
          <rPr>
            <sz val="9"/>
            <color indexed="81"/>
            <rFont val="Tahoma"/>
            <family val="2"/>
            <charset val="186"/>
          </rPr>
          <t xml:space="preserve">
per metus?</t>
        </r>
      </text>
    </comment>
    <comment ref="D12" authorId="0" shapeId="0" xr:uid="{00000000-0006-0000-0300-00000C000000}">
      <text>
        <r>
          <rPr>
            <b/>
            <sz val="9"/>
            <color indexed="81"/>
            <rFont val="Tahoma"/>
            <family val="2"/>
            <charset val="186"/>
          </rPr>
          <t>Autorius:</t>
        </r>
        <r>
          <rPr>
            <sz val="9"/>
            <color indexed="81"/>
            <rFont val="Tahoma"/>
            <family val="2"/>
            <charset val="186"/>
          </rPr>
          <t xml:space="preserve">
EK rekomenduoja naudoti 2.8 uzdaviniui
</t>
        </r>
        <r>
          <rPr>
            <b/>
            <sz val="9"/>
            <color indexed="81"/>
            <rFont val="Tahoma"/>
            <family val="2"/>
            <charset val="186"/>
          </rPr>
          <t xml:space="preserve">Vaida Kazlauskienė:  </t>
        </r>
        <r>
          <rPr>
            <sz val="9"/>
            <color indexed="81"/>
            <rFont val="Tahoma"/>
            <family val="2"/>
            <charset val="186"/>
          </rPr>
          <t xml:space="preserve">Šiame uždavinyje dviračių infrastruktūra planuojama už miestų ribų.  EK komentaras: "cycling paths outside of the cities could be programmed under the PO3 SO 3.3." </t>
        </r>
      </text>
    </comment>
    <comment ref="H12" authorId="0" shapeId="0" xr:uid="{00000000-0006-0000-0300-00000D000000}">
      <text>
        <r>
          <rPr>
            <b/>
            <sz val="9"/>
            <color indexed="81"/>
            <rFont val="Tahoma"/>
            <family val="2"/>
            <charset val="186"/>
          </rPr>
          <t>Autorius:</t>
        </r>
        <r>
          <rPr>
            <sz val="9"/>
            <color indexed="81"/>
            <rFont val="Tahoma"/>
            <family val="2"/>
            <charset val="186"/>
          </rPr>
          <t xml:space="preserve">
pagal Fishes galima naudoti 2.8 uzdavinyje (objective SO 2.viii) Urban mobility
</t>
        </r>
        <r>
          <rPr>
            <b/>
            <sz val="9"/>
            <color indexed="81"/>
            <rFont val="Tahoma"/>
            <family val="2"/>
            <charset val="186"/>
          </rPr>
          <t xml:space="preserve">Vaida Kazlauskienė: </t>
        </r>
        <r>
          <rPr>
            <sz val="9"/>
            <color indexed="81"/>
            <rFont val="Tahoma"/>
            <family val="2"/>
            <charset val="186"/>
          </rPr>
          <t>EK komentaras:
"cycling paths outside of the cities could be programmed under the PO3 SO 3.3"</t>
        </r>
      </text>
    </comment>
    <comment ref="O12" authorId="0" shapeId="0" xr:uid="{00000000-0006-0000-0300-00000E000000}">
      <text>
        <r>
          <rPr>
            <b/>
            <sz val="9"/>
            <color indexed="81"/>
            <rFont val="Tahoma"/>
            <family val="2"/>
            <charset val="186"/>
          </rPr>
          <t>Autorius:</t>
        </r>
        <r>
          <rPr>
            <sz val="9"/>
            <color indexed="81"/>
            <rFont val="Tahoma"/>
            <family val="2"/>
            <charset val="186"/>
          </rPr>
          <t xml:space="preserve">
kodel cia rasote 0?</t>
        </r>
      </text>
    </comment>
    <comment ref="H13" authorId="0" shapeId="0" xr:uid="{00000000-0006-0000-0300-00000F000000}">
      <text>
        <r>
          <rPr>
            <b/>
            <sz val="9"/>
            <color indexed="81"/>
            <rFont val="Tahoma"/>
            <family val="2"/>
            <charset val="186"/>
          </rPr>
          <t>Autorius:</t>
        </r>
        <r>
          <rPr>
            <sz val="9"/>
            <color indexed="81"/>
            <rFont val="Tahoma"/>
            <family val="2"/>
            <charset val="186"/>
          </rPr>
          <t xml:space="preserve">
pagal Fishes galima naudoti 2.8 uzdavinyje (objective SO 2.viii) Urban mobility
</t>
        </r>
        <r>
          <rPr>
            <b/>
            <sz val="9"/>
            <color indexed="81"/>
            <rFont val="Tahoma"/>
            <family val="2"/>
            <charset val="186"/>
          </rPr>
          <t xml:space="preserve">
Vaida Kazlauskienė:</t>
        </r>
        <r>
          <rPr>
            <sz val="9"/>
            <color indexed="81"/>
            <rFont val="Tahoma"/>
            <family val="2"/>
            <charset val="186"/>
          </rPr>
          <t xml:space="preserve"> EK komentaras:
"cycling paths outside of the cities could be programmed under the PO3 SO 3.3"</t>
        </r>
      </text>
    </comment>
    <comment ref="L13" authorId="0" shapeId="0" xr:uid="{00000000-0006-0000-0300-000010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xml:space="preserve"> Naujausioje Jasper rodiklių apskaičiavimo metodikoje nurodyti patikslinti rodiklių matavimo vnt.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4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400-000002000000}">
      <text>
        <r>
          <rPr>
            <b/>
            <sz val="9"/>
            <color indexed="81"/>
            <rFont val="Tahoma"/>
            <family val="2"/>
            <charset val="186"/>
          </rPr>
          <t>Autorius:</t>
        </r>
        <r>
          <rPr>
            <sz val="9"/>
            <color indexed="81"/>
            <rFont val="Tahoma"/>
            <family val="2"/>
            <charset val="186"/>
          </rPr>
          <t xml:space="preserve">
ES+LT</t>
        </r>
      </text>
    </comment>
    <comment ref="C7" authorId="0" shapeId="0" xr:uid="{00000000-0006-0000-04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shapeId="0" xr:uid="{00000000-0006-0000-0400-00000400000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shapeId="0" xr:uid="{00000000-0006-0000-0400-000005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shapeId="0" xr:uid="{00000000-0006-0000-0400-000006000000}">
      <text>
        <r>
          <rPr>
            <b/>
            <sz val="9"/>
            <color indexed="81"/>
            <rFont val="Tahoma"/>
            <family val="2"/>
            <charset val="186"/>
          </rPr>
          <t>Autorius:</t>
        </r>
        <r>
          <rPr>
            <sz val="9"/>
            <color indexed="81"/>
            <rFont val="Tahoma"/>
            <family val="2"/>
            <charset val="186"/>
          </rPr>
          <t xml:space="preserve">
not required</t>
        </r>
      </text>
    </comment>
    <comment ref="C12" authorId="0" shapeId="0" xr:uid="{00000000-0006-0000-0400-000007000000}">
      <text>
        <r>
          <rPr>
            <b/>
            <sz val="9"/>
            <color indexed="81"/>
            <rFont val="Tahoma"/>
            <family val="2"/>
            <charset val="186"/>
          </rPr>
          <t>Autorius:</t>
        </r>
        <r>
          <rPr>
            <sz val="9"/>
            <color indexed="81"/>
            <rFont val="Tahoma"/>
            <family val="2"/>
            <charset val="186"/>
          </rPr>
          <t xml:space="preserve">
VVL</t>
        </r>
      </text>
    </comment>
    <comment ref="C13" authorId="0" shapeId="0" xr:uid="{00000000-0006-0000-0400-00000800000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<sst xmlns="http://schemas.openxmlformats.org/spreadsheetml/2006/main" count="1246" uniqueCount="436">
  <si>
    <t>4 lentelė. 1 matmuo. Intervencinių priemonių sritis</t>
  </si>
  <si>
    <t>Prioriteto Nr.</t>
  </si>
  <si>
    <t>Fondas</t>
  </si>
  <si>
    <t>Regiono kategorija</t>
  </si>
  <si>
    <t>Konkretus uždavinys</t>
  </si>
  <si>
    <t xml:space="preserve">Kodas </t>
  </si>
  <si>
    <t>Suma (EUR)</t>
  </si>
  <si>
    <t>po korekcijos 10.01 = LAKD</t>
  </si>
  <si>
    <t>po korekcijos 11-18</t>
  </si>
  <si>
    <t>2.2.3      2.2.4</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</si>
  <si>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</si>
  <si>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ERPF</t>
  </si>
  <si>
    <t>Vidurio Vakarų Lietuva</t>
  </si>
  <si>
    <t>2.2</t>
  </si>
  <si>
    <t>077</t>
  </si>
  <si>
    <t>077 Alternatyviųjų degalų infrastruktūra</t>
  </si>
  <si>
    <t xml:space="preserve">2 prioritetas ERPF         103 039 200                       2 prioritetas SaF           175 682 600              </t>
  </si>
  <si>
    <t>SaF</t>
  </si>
  <si>
    <t>-</t>
  </si>
  <si>
    <t>2.8.1</t>
  </si>
  <si>
    <t xml:space="preserve">Įgyvendinti Darnaus judumo planuose (angl. SUMP) numatytas darnaus judumo priemones miestuose bei rajonų savivaldybėse </t>
  </si>
  <si>
    <t>2.8</t>
  </si>
  <si>
    <t>073</t>
  </si>
  <si>
    <t>73 Švaraus miesto transporto infrastruktūra</t>
  </si>
  <si>
    <t>SAF</t>
  </si>
  <si>
    <t>2.8.2</t>
  </si>
  <si>
    <t>Skatinti gyventojus naudotis viešuoju transportu, Įsigyjantti AEI naudojančias vietinio susisiekimo viešojo transporto priemones</t>
  </si>
  <si>
    <t>074</t>
  </si>
  <si>
    <t>074 Švaraus miesto transporto riedmenys</t>
  </si>
  <si>
    <t xml:space="preserve">2.8.3. </t>
  </si>
  <si>
    <t>Plėtoti dviračių ir pėsčiųjų infrastruktūrą miestuose ir priemiesčiuose (savivaldybės)</t>
  </si>
  <si>
    <t>075</t>
  </si>
  <si>
    <t>075 Dviračių infrastruktūra</t>
  </si>
  <si>
    <t>3.1.1</t>
  </si>
  <si>
    <t>Plėtoti itin didelio pralaidumo plačiajuosčio ryšio tinklus, atitinkančius kibernetinio ir fizinio saugumo reikalavimus pagal atliktą investicinių poreikių analizę identifikuotuose „baltosiose dėmėse</t>
  </si>
  <si>
    <t>051</t>
  </si>
  <si>
    <t xml:space="preserve"> 051 IRT: itin didelio pajėgumo plačiajuosčio ryšio tinklas (pagrindinis / tranzitinis tinklas) </t>
  </si>
  <si>
    <t xml:space="preserve">3 prioritetas ERPF        110 017 360                 3 prioritetas SaF           406 290 000                   </t>
  </si>
  <si>
    <t>Sostinės regionas</t>
  </si>
  <si>
    <t>3.1</t>
  </si>
  <si>
    <t>052</t>
  </si>
  <si>
    <t>052 IRT: itin didelio pajėgumo plačiajuosčio ryšio tinklas (prieigos / vietinė linija, kurios efektyvumas lygus optinių skaidulinių kabelių įrenginiams iki paskirstymo taško aptarnaujamojoje vietoje daugiabučiuose pastatuose)</t>
  </si>
  <si>
    <t>053</t>
  </si>
  <si>
    <t xml:space="preserve">053 IRT: itin didelio pajėgumo plačiajuosčio ryšio tinklas (prieigos / vietinė linija, kurios efektyvumas lygus optinių skaidulinių kabelių įrenginiams iki paskirstymo taško aptarnaujamojoje vietoje namuose ir verslo patalpose)  </t>
  </si>
  <si>
    <t>054</t>
  </si>
  <si>
    <t xml:space="preserve">054 	IRT: itin didelio pajėgumo plačiajuosčio ryšio tinklas (prieigos / vietinė linija, kurios efektyvumas lygus optinių skaidulinių kabelių įrenginiams iki bazinės stoties pažangiam belaidžiam ryšiui) </t>
  </si>
  <si>
    <t>3.2.1</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</si>
  <si>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</si>
  <si>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t>
  </si>
  <si>
    <t>067</t>
  </si>
  <si>
    <t xml:space="preserve">067 Rekonstruoti ar pagerinti geležinkeliai – TEN-T pagrindinis tinklas </t>
  </si>
  <si>
    <t>068</t>
  </si>
  <si>
    <t>068 Rekonstruoti ar pagerinti geležinkeliai – TEN-T visuotinis tinklas</t>
  </si>
  <si>
    <t>070</t>
  </si>
  <si>
    <t>070 Transporto skaitmeninimas: geležinkelis</t>
  </si>
  <si>
    <t>3.2.2</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</si>
  <si>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</si>
  <si>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056</t>
  </si>
  <si>
    <t>056 Naujai nutiesti greitkeliai ir keliai – TEN-T pagrindinis tinklas</t>
  </si>
  <si>
    <t>060</t>
  </si>
  <si>
    <t>060 Rekonstruoti ar pagerinti greitkeliai ir keliai – TEN-T pagrindinis tinklas</t>
  </si>
  <si>
    <t>Saf</t>
  </si>
  <si>
    <t>061</t>
  </si>
  <si>
    <t>061 Rekonstruoti ar pagerinti greitkeliai ir keliai – TEN-T visuotinis tinklas</t>
  </si>
  <si>
    <t>063</t>
  </si>
  <si>
    <t>063 Transporto skaitmeninimas: kelias</t>
  </si>
  <si>
    <t>3.2.3</t>
  </si>
  <si>
    <t>plėtoti skirtingų transporto rūšių (daugiarūšio vežimo jungčių) sąveikos efektyvumą didinančią infrastruktūrą</t>
  </si>
  <si>
    <t>078</t>
  </si>
  <si>
    <t>078 Daugiarūšis transportas (TEN-T)</t>
  </si>
  <si>
    <t>3.3.1</t>
  </si>
  <si>
    <t xml:space="preserve">tiesti, atnaujinti tobulinti  ir rekonstruoti valstybinės reikšmės kelius (regionų jungtis su TEN-T tinklu), </t>
  </si>
  <si>
    <t>3.3</t>
  </si>
  <si>
    <t>062</t>
  </si>
  <si>
    <t>062 Kiti rekonstruoti ar pagerinti keliai (greitkeliai, nacionaliniai, regioniniai ar vietos keliai)</t>
  </si>
  <si>
    <t>3.3.2</t>
  </si>
  <si>
    <t xml:space="preserve">Plėtoti dviračių ir pėsčiųjų infrastruktūrą miestuose ir priemiesčiose, kurie neįgyvendina Darnaus judumo mieste planų. </t>
  </si>
  <si>
    <t>2ERPF</t>
  </si>
  <si>
    <t>2SaF</t>
  </si>
  <si>
    <t>3ERPF</t>
  </si>
  <si>
    <t>3SaF</t>
  </si>
  <si>
    <t>5 lentelė. 2 matmuo. Finansavimo forma</t>
  </si>
  <si>
    <t>02, 03, 04, 05</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</si>
  <si>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</si>
  <si>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01</t>
  </si>
  <si>
    <t>Dotacija</t>
  </si>
  <si>
    <t>6 lentelė. 3 matmuo. Teritorinės paramos paskirstymo priemonė ir teritorinė kryptis</t>
  </si>
  <si>
    <t>7 lentelė. 6 matmuo. ESF+ antrinės temos</t>
  </si>
  <si>
    <t>Specific priority – 8.</t>
  </si>
  <si>
    <t>Specific objective - 2.8 (8.1). promoting sustainable multimodal urban mobility, as part of transition to a net zero carbon economy (Tvarus judumas mieste)</t>
  </si>
  <si>
    <t>Ministry of transport</t>
  </si>
  <si>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</si>
  <si>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</si>
  <si>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</si>
  <si>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</si>
  <si>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</si>
  <si>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</si>
  <si>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</si>
  <si>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</si>
  <si>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</si>
  <si>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</si>
  <si>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</si>
  <si>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</si>
  <si>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</si>
  <si>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</si>
  <si>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</si>
  <si>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</si>
  <si>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</si>
  <si>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</si>
  <si>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</si>
  <si>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</si>
  <si>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</si>
  <si>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t xml:space="preserve"> 2.8.1 (8.1.1). Implement 18 Lithuanian major cities and resort DJPs whose preparation was funded by the EU 2014-2020 period, envisaged for sustainable mobility measures (Įgyvendinti 18 Lietuvos didžiųjų miestų ir kurortų DJMP, kurių parengimas buvo finansuotas ES 2014–2020 m. laikotarpio lėšomis, numatytas darnaus judumo priemones)</t>
  </si>
  <si>
    <t>081 Clean urban transport infrastructure (Švaraus miesto transporto infrastruktūra)</t>
  </si>
  <si>
    <t>RCO74</t>
  </si>
  <si>
    <t>Population covered by projects in the framework of strategies for integrated territorial development (gyventojai, kuriems taikomi projektai, vykdomi pagal integruotas teritorinio vystymo programas)</t>
  </si>
  <si>
    <t>Mid-West Region</t>
  </si>
  <si>
    <t>ERDF</t>
  </si>
  <si>
    <t>Persons</t>
  </si>
  <si>
    <t>0</t>
  </si>
  <si>
    <t>n/a</t>
  </si>
  <si>
    <t>Data from projects</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</si>
  <si>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</si>
  <si>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RCO75</t>
  </si>
  <si>
    <t>Strategies for integrated territorial development (integruotos teritorinio vystymo strategijos, kurioms suteikta parama)</t>
  </si>
  <si>
    <t>contributions to strategies</t>
  </si>
  <si>
    <t>2</t>
  </si>
  <si>
    <t>Managing Authority monitoring system</t>
  </si>
  <si>
    <t>RCR29</t>
  </si>
  <si>
    <t>Estimated greenhouse emissions (numatomas išmetamas šiltnamio efektą sukeliančių dujų kiekis)</t>
  </si>
  <si>
    <t>Tons of CO2eq/year (Tonos CO2 ekvivalentu per metus)</t>
  </si>
  <si>
    <t>2020</t>
  </si>
  <si>
    <t>Supported projects</t>
  </si>
  <si>
    <t>Specific output</t>
  </si>
  <si>
    <t>Sustainable mobility measures implemented (Įgyvendintos darnaus judumo priemones)</t>
  </si>
  <si>
    <t>Number</t>
  </si>
  <si>
    <t>The tariff of  1  implemented sustainable mobility measures protection is ~1 900 000 Eur is determined accoording to the data of projects implemented in 2014-2020 period by measure no. 04.5.1-TID-R-514 "Implementation of sustainable mobility measures" in Priority 4 "Promoting energy efficiency and the production and use of energy from renewable sources".   
The target value fot 2029 is calculated  59.429.651,76/1 900 000≈31. The planning of the implementation (including deadlines) of traffic safety improvement measures is carried out in the way of regional planning and is not influenced by the Ministry of Transport and Communications, it is assumed that  the milestone value will be 10 percent in 2024 (31 * 0.1≈3).</t>
  </si>
  <si>
    <t>special product</t>
  </si>
  <si>
    <t>Population covered by projects in the framework of strategies for integrated territorial development (gyventojai, kuriems taikomi projektai, vykdomi pagal integruotas teritorinio vystymo programas )</t>
  </si>
  <si>
    <t>Whole Lithuania</t>
  </si>
  <si>
    <t>CF</t>
  </si>
  <si>
    <t>Specific activities shall target groups living ir Vilnius urban area (only 1 possible strategy with territorial delivery mechanism 02). The value of the target indicator is determined on the assumption that the specific problems of each of the inhabitants of Vilnius city and suburbs be addressed by certain activities of the integrated strategy and when aggregating the final amount, double counting will be removed at the level of ITI. 
Therefore, the total number of the population covered is expected to be equal to 1 urban agglomeration – Vilnius city and suburbs (y2020 estimate based on 2020 pilot census data (1 km2 grid cell) and CORINE land cover change 2012-2018 data ~ 598 136 inh.) * 1 (expected population change rate) = 598 136 inh.
Therefore population per strategy = 598 136 inh. 
2024 target value = 0 due to the complexity of planning and implementation of integrated strategies (multiple sectors, multiple territories, multiple levels of governance).</t>
  </si>
  <si>
    <t>1</t>
  </si>
  <si>
    <t>Total expected number of eligible territorial strategies is equal to 1. As there is only one area in the Capital region for which a SUMP has been prepared and which is developing and will implement a Sustainable urban development strategy - namely - Vilnius city. Value of indicator 2024 "0", because achievement upon completion in the first supported projects.</t>
  </si>
  <si>
    <r>
      <t>The calculations of the indicator are performed on the basis of the calculations of National energy and climate action plan (NECP)  T24 measure "Reduction of traffic congestion through traffic management solutions". According to the data of measure the baseline value in 2020 is 954409,2 tCO2 eq/eyar. This value is  divided proportionally according to the number of sustainable mobility measures planned to be implemented in the regions  (~89 % (31 sustainable mobility measures implemented)  MWL and 11 %  (4 sustainable mobility measures implemented) WR).  The indicator baseline value is calculated 954409,2*0,11</t>
    </r>
    <r>
      <rPr>
        <sz val="11"/>
        <rFont val="Calibri"/>
        <family val="2"/>
        <charset val="186"/>
      </rPr>
      <t>≈104985</t>
    </r>
    <r>
      <rPr>
        <sz val="11"/>
        <rFont val="Calibri"/>
        <family val="2"/>
        <charset val="186"/>
        <scheme val="minor"/>
      </rPr>
      <t>. In T24 measure It is projected that in 2029 GHG  will be 530227,4 tCO2eq/year.  Therefore the target value for 2029 m is calculated  530227,4*0,11≈58325.</t>
    </r>
  </si>
  <si>
    <t>The tariff of  1  implemented sustainable mobility measures protection is ~1 900 000 Eur is determined accoording to the data of projects implemented in 2014-2020 period by measure  no. 04.5.1-TID-R-514 "Implementation of sustainable mobility measures" in Priority 4 "Promoting energy efficiency and the production and use of energy from renewable sources".  
The target value fot 2029 is calculated  7.058.823,53/1 900 000≈4.  The planning of the implementation (including deadlines) of traffic safety improvement measures is carried out in the way of regional planning and is not influenced by the Ministry of Transport and Communications, it is assumed that the milestone value will be 10 percent in 2024 (4 * 0.1≈0).</t>
  </si>
  <si>
    <r>
      <rPr>
        <b/>
        <sz val="11"/>
        <rFont val="Calibri"/>
        <family val="2"/>
        <scheme val="minor"/>
      </rPr>
      <t xml:space="preserve">086 </t>
    </r>
    <r>
      <rPr>
        <sz val="11"/>
        <rFont val="Calibri"/>
        <family val="2"/>
        <scheme val="minor"/>
      </rPr>
      <t>Alternative fuels infrastructure (Alternatyviųjų degalų infrastruktūra)</t>
    </r>
  </si>
  <si>
    <t>RCO59</t>
  </si>
  <si>
    <t>Alternative fuels infrastructure (refuelling/ recharging points)(alternatyviųjų degalų infrastruktūra (degalų papildymo / įkrovimo punktai)</t>
  </si>
  <si>
    <t>refuelling/recharging points</t>
  </si>
  <si>
    <r>
      <rPr>
        <b/>
        <sz val="11"/>
        <rFont val="Calibri"/>
        <family val="2"/>
        <scheme val="minor"/>
      </rPr>
      <t>082</t>
    </r>
    <r>
      <rPr>
        <sz val="11"/>
        <rFont val="Calibri"/>
        <family val="2"/>
        <scheme val="minor"/>
      </rPr>
      <t xml:space="preserve"> Clean urban transport rolling stock (Švaraus miesto transporto riedmenys)</t>
    </r>
  </si>
  <si>
    <t>RCO57</t>
  </si>
  <si>
    <t>Capacity of environmentally friendly rolling stock for collective public transport (kolektyviniam viešajam transportui skirtų ekologiškų riedmenų pajėgumai)</t>
  </si>
  <si>
    <t>Passengers</t>
  </si>
  <si>
    <t>It is planned to purchase 310 public vehicles powered by electricity or hydrogen (see special output "Zero-emissions vehicles for the collective public transport purshased" calculation methodology). Depending on the length of the vehicle, the average number of passenger seats is 90. The target value for 2029 is calculated 90 * 310 = 27.900.  According to the milestone value (31) of  special output indicator "Zero-emissions vehicles for the collective public transport purshased", the milsstone value in 2024 is calculated 90*31=2790.</t>
  </si>
  <si>
    <t>RCR62</t>
  </si>
  <si>
    <t>Annual users of new or modernised public transport (naujo arba modernizuoto viešojo transporto naudotojų skaičius per metus)</t>
  </si>
  <si>
    <t>users/year</t>
  </si>
  <si>
    <t>Statistikos departamentas/Department of Statistics</t>
  </si>
  <si>
    <t>In order to determine the planned value, the data of the Department of Statistics 2017-2019 (number of buses and number of transported passengers) were used. After evaluating static data, it was found that an average  1 bus carried 39.013 passengers per year (290.344.533 / 7.442≈39.013). The targer value for 2029 is calculated  39.013 * 310 (number of planned new buses, see special output "Zero-emissions vehicles for the collective public transport purshased" calculation methodology) ≈12.094.030.</t>
  </si>
  <si>
    <t>Zero-emissions vehicles for the collective public transport purshased (Įsigytos nulinės emisijos viešojo transporto priemonės)</t>
  </si>
  <si>
    <t>According to the latest market survey, the average price of 1 public vehicles powered by electricity  is about 500.000 Eur.  According to a review of online sources, 1 hydrogen-powered vehicle could cost the least  1 000 000 Eur. The application of hydrogen in the energy, transport and industry sectors is under analysis in Lithuania.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hydrogen-powered public transport vehicles, it is provided the oppurtunity of EU funding  for the purchase of hydrogen powered public transport vehicles in favorable circumstances. It is assumed that hydrogen-powered public vehicles could account  10 % of public transport vehicles planned to be purschased.
 The target value for 2029 is calculated 170.588.235,29/((0,90*500.000)+0,10*1.000.000)≈310.The planning of the implementation (including deadlines) of traffic safety improvement measures is carried out in the way of regional planning and is not influenced by the Ministry of Transport and Communications, it is assumed that the milestone value will be 10 percent in 2024  (310* 0.1 ≈31)</t>
  </si>
  <si>
    <t>It is planned to purchase 32 public vehicles powered by electricity or hydrogen (see special output "Zero-emissions vehicles for the collective public transport purshased" calculation methodology). Depending on the length of the vehicle, the average number of passenger seats is 90. The target value for 2029 is calculated 90 * 32 =2.880.  According to the milestone value (3) of  special output indicator "Zero-emissions vehicles for the collective public transport purshased", the milsstone value in 2024 is calculated 90*3=270.</t>
  </si>
  <si>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32 (number of planned new buses, see special output "Zero-emissions vehicles for the collective public transport purshased" calculation methodology) ≈1.248.416.</t>
  </si>
  <si>
    <r>
      <t xml:space="preserve">According to the latest market survey , the average price of 1 public vehicles powered by electricity  is about 500.000 Eur. According to a review of online sources, 1 hydrogen-powered vehicle could cost the least  1 000 000 Eur. The application of hydrogen in the energy, transport and industry sectors is under analysis in Lithuania.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hydrogen-powered public transport vehicles, it is provided the oppurtunity of EU funding   for the purchase of hydrogen powered public transport vehicles in favorable circumstances. It is assumed that hydrogen-powered public vehicles could account  10 % of public transport vehicles planned to be purschased. The target value for 2029 is calculated 17.647.058,82/((0,90*500.000)+0,10*1.000.000)≈32.The planning of the implementation (including deadlines) of traffic safety improvement measures is carried out in the way of regional planning and is not influenced by the Ministry of Transport and Communications, it is assumed that the milestone value will be 10 percent in 2024  (32* 0.1 </t>
    </r>
    <r>
      <rPr>
        <sz val="11"/>
        <rFont val="Calibri"/>
        <family val="2"/>
        <charset val="186"/>
      </rPr>
      <t>≈3</t>
    </r>
    <r>
      <rPr>
        <sz val="11"/>
        <rFont val="Calibri"/>
        <family val="2"/>
        <charset val="186"/>
        <scheme val="minor"/>
      </rPr>
      <t>)</t>
    </r>
  </si>
  <si>
    <r>
      <rPr>
        <b/>
        <sz val="11"/>
        <rFont val="Calibri"/>
        <family val="2"/>
        <charset val="186"/>
        <scheme val="minor"/>
      </rPr>
      <t>083</t>
    </r>
    <r>
      <rPr>
        <sz val="11"/>
        <rFont val="Calibri"/>
        <family val="2"/>
        <scheme val="minor"/>
      </rPr>
      <t xml:space="preserve"> Cycling infrastructure (Dviračių infrastruktūra)</t>
    </r>
  </si>
  <si>
    <t>RCO58</t>
  </si>
  <si>
    <t>Dedicated cycling infrastructure supported (dviračiams skirta infrastruktūra, kuriai suteikta parama)</t>
  </si>
  <si>
    <t>Km</t>
  </si>
  <si>
    <t xml:space="preserve"> The tariff of 1 km cycling infrastructure in the city - 450 000 Eur determined accoording to the data of projects implemented in 2014-2020 period by measure  no. 04.5.1-TID-R-516 "Reconstruction and development of pedestrian and bicycle paths" in Priority 4 "Promoting energy efficiency and the production and use of energy from renewable sources".
The target value for 2029 is calculated 91.176.470,59 / 450.000≈203. The planning of the implementation (including deadlines) of traffic safety improvement measures is carried out in the way of regional planning and is not influenced by the Ministry of Transport and Communications, it is assumed that   20 percent  will be reached in 2024 (203* 0.2 ≈41). </t>
  </si>
  <si>
    <t>RCR64</t>
  </si>
  <si>
    <t>Annual users of dedicated cycling infrastructure (dviračiams skirtos infrastruktūros naudotojų skaičius per metus)</t>
  </si>
  <si>
    <t>The number of cycle path users is calculated based on the current and planned modal split of medium-sized cities with DJMP. In 2018, a representative survey of the population of municipalities was conducted, during which it was established that the number of bicycle users is 5.6 per cent. The DJMP sets a target of 13.5 percent of bicycle users by 2030. The percentage change is evenly distributed over the loss, and is set at 6.9 percent in 2020 and 12.8 percent in 2029.The number of inhabitants of municipalities, which have SUMPS (middle-west region) is used to calculate the indicator. 
According to the data of the Center of Registers, the population of municipalities in 2020 was 1.222.002. The baseline in 2020 is calculated 1.222.002*0,069≈84.318. 
According to the forecast of the Department of Statistics due to the decrease in the number of inhabitants (7.6 per cent), in 2030 the population of municipalities will be 1.129.130 inhabitants. The target value for  2029 is calculated  1.129.130*0,128≈144.529.</t>
  </si>
  <si>
    <t>o</t>
  </si>
  <si>
    <t>MWR</t>
  </si>
  <si>
    <t>Indicator code</t>
  </si>
  <si>
    <t>Indicator name</t>
  </si>
  <si>
    <t>Indicator M.U.</t>
  </si>
  <si>
    <t>Indicator baseline value</t>
  </si>
  <si>
    <t>Indicator baseline year</t>
  </si>
  <si>
    <t xml:space="preserve">Milestone 2024 </t>
  </si>
  <si>
    <t>Konkretus uždavinys – 3.2. Kurti tvarų, atsparų klimato kaitai, pažangų, saugų ir įvairiarūšį transeuropinį transporto tinklą</t>
  </si>
  <si>
    <r>
      <t>finansavimo forma</t>
    </r>
    <r>
      <rPr>
        <sz val="11"/>
        <color theme="1"/>
        <rFont val="Times New Roman"/>
        <family val="1"/>
        <charset val="186"/>
      </rPr>
      <t xml:space="preserve"> – daliai veiklų įgyvendinti planuojama taikyti finansines priemones, atsižvelgiant į ex-ante vertinimo rezultatus. Kitai veiklų daliai, kurios negeneruoja pajamų bus naudojama subsidija dėl jos skatinamojo poveikio.</t>
    </r>
  </si>
  <si>
    <t>3.2.1. Tobulinti ir plėtoti TEN-T tinklo geležinkelių infrastruktūrą</t>
  </si>
  <si>
    <t>3.2.2. Tobulinti ir plėtoti TEN-T kelių tinklą</t>
  </si>
  <si>
    <t>3.2.3. Plėtoti skirtingų transporto rūšių (daugiarūšio vežimo jungčių) sąveikos efektyvumą didinančią infrastruktūrą</t>
  </si>
  <si>
    <t>SM</t>
  </si>
  <si>
    <t>Total allocation at action level (indicative)</t>
  </si>
  <si>
    <r>
      <t>allocation 2021-</t>
    </r>
    <r>
      <rPr>
        <b/>
        <sz val="11"/>
        <color theme="1"/>
        <rFont val="Calibri"/>
        <family val="2"/>
        <charset val="186"/>
        <scheme val="minor"/>
      </rPr>
      <t xml:space="preserve"> 2027 used for calculation of 2029 target </t>
    </r>
  </si>
  <si>
    <t xml:space="preserve">Target 2029 </t>
  </si>
  <si>
    <t>Value</t>
  </si>
  <si>
    <t>Year</t>
  </si>
  <si>
    <r>
      <rPr>
        <b/>
        <sz val="11"/>
        <color theme="1"/>
        <rFont val="Calibri"/>
        <family val="2"/>
        <charset val="186"/>
        <scheme val="minor"/>
      </rPr>
      <t>067</t>
    </r>
    <r>
      <rPr>
        <sz val="11"/>
        <color theme="1"/>
        <rFont val="Calibri"/>
        <family val="2"/>
        <scheme val="minor"/>
      </rPr>
      <t xml:space="preserve"> Reconstructed or modernised railways - TEN-T core network</t>
    </r>
  </si>
  <si>
    <t>RCO49</t>
  </si>
  <si>
    <t>Length of rail reconstructed or modernised - TENT-T</t>
  </si>
  <si>
    <t>2019</t>
  </si>
  <si>
    <r>
      <t xml:space="preserve"> Remiantis  šiuo metu  įgyvendinamo projekto duomenimis,  1 km kainuoja </t>
    </r>
    <r>
      <rPr>
        <sz val="11"/>
        <rFont val="Calibri"/>
        <family val="2"/>
      </rPr>
      <t>~</t>
    </r>
    <r>
      <rPr>
        <sz val="11"/>
        <rFont val="Calibri"/>
        <family val="2"/>
        <scheme val="minor"/>
      </rPr>
      <t xml:space="preserve"> 869 000 eurų (įvertinus kainos pokytį iki planuojamos rangos darbų pradžios (2024 m.) bei susijusias investicijas). Rodikliui skiriama 92,85 proc. intervencijos lėšų, todėl  planuojama 2029 m. siektina reikšmė apskaičiuojama 103882352,94*0,9285/869000</t>
    </r>
    <r>
      <rPr>
        <sz val="11"/>
        <rFont val="Calibri"/>
        <family val="2"/>
      </rPr>
      <t>≈</t>
    </r>
    <r>
      <rPr>
        <sz val="11"/>
        <rFont val="Calibri"/>
        <family val="2"/>
        <scheme val="minor"/>
      </rPr>
      <t xml:space="preserve"> 120. Tarpinė reikšmė neskaičiuojama, nes veiklą numatoma pradėti vykdyti 2024 m. </t>
    </r>
  </si>
  <si>
    <r>
      <t xml:space="preserve">After evaluating the completed projects of 2014-2020 period, the tariff of 1 km is  869 000  Eur (indexed by estimating the price change before the start of the planned works and related investments). 92.85 percent of intervension investments is allocated to this indicator.The target value for 2029 is calculated 103882352.94 * 0.9285 / 869000≈ 120. The milestone value is not calculated because the </t>
    </r>
    <r>
      <rPr>
        <sz val="11"/>
        <color rgb="FFFF0000"/>
        <rFont val="Calibri"/>
        <family val="2"/>
        <charset val="186"/>
        <scheme val="minor"/>
      </rPr>
      <t>project</t>
    </r>
    <r>
      <rPr>
        <sz val="11"/>
        <rFont val="Calibri"/>
        <family val="2"/>
        <charset val="186"/>
        <scheme val="minor"/>
      </rPr>
      <t xml:space="preserve"> is planned to start in 2024.</t>
    </r>
  </si>
  <si>
    <t>After evaluating the completed projects of 2014-2020 period, the tariff of 1 km is  1 000 000 Eur (indexed by estimating the price change before the start of the planned works).  77.26 percent of intervension investments is allocated to this indicator.  The target value for 2029 is calculated 103480882.35 * 0.7726 / 1000000 = 79.95. It is planned, that milestone value will be 20 percent in 2024 (79.95 * 0.2 = 15.99).  It should be noted that  the target value ​​have been calculated preliminarily, the final calculations should be available in  early 2021.</t>
  </si>
  <si>
    <t>RCR58</t>
  </si>
  <si>
    <t>Annual users of newly, built, upgraded, reconstructed or modernised railways</t>
  </si>
  <si>
    <t xml:space="preserve"> Rail passenger-km/year</t>
  </si>
  <si>
    <t>Data from railway service operators</t>
  </si>
  <si>
    <t xml:space="preserve"> Rodiklio reikšmė apskaičiuota kaip per metus planuojamo keleivių srauto ir RCO 49 rodiklio santykis. Keleivių skaičius apskaičiuojamas pagal faktiškai susudarančius ir planuojamus keleivių srautus/ parduotus ir numatomus parduoti bilietus. Duomenys rodiklio apskaičiavimui gaunami iš keleivių pervežimo operatoriaus. Prognozuojama, kad 2029 m. keleivių sk.  bus 1500000, todėl 2029 m. reikšmė apskaičiuojama 1500000/120=12500.  2019 m. yra  1127000 keleivių, todėl pradinė reikšmė 2019 m. skaičiuojama 1127000/120=9392. </t>
  </si>
  <si>
    <t>The value of the indicator is calculated as the ratio of the planned passenger traffic per year to the RCO 49 indicator. The number of passengers is calculated on the basis of the actual and planned passenger flows / tickets sold and expected to be sold. The data for the calculation of the indicator are obtained from the passenger transport operator. It is projected that t will be 1 500 000 passengers in 2029.  The target value for 2029 m is calculated as 1 500 000/120 = 12 500. There are 1 127 000 passengers in 2019. The baseline value 2019 is calculated  1127000/120 = 9392.</t>
  </si>
  <si>
    <t>Specialusis rezultato</t>
  </si>
  <si>
    <r>
      <t>Žuvusiųjų ir sužeistųjų geležinkelio pervažose skaičius/</t>
    </r>
    <r>
      <rPr>
        <sz val="11"/>
        <color rgb="FFFF0000"/>
        <rFont val="Calibri"/>
        <family val="2"/>
        <charset val="186"/>
        <scheme val="minor"/>
      </rPr>
      <t>Number of deaths and injuries at level crossings</t>
    </r>
  </si>
  <si>
    <t>Persons per year</t>
  </si>
  <si>
    <r>
      <t xml:space="preserve">Rodiklio pasiekimą reikia vertinti ne pagal atskirus projektus, o vertinant projektų visumą. Pradinė  bendra </t>
    </r>
    <r>
      <rPr>
        <sz val="11"/>
        <color rgb="FFFF0000"/>
        <rFont val="Calibri"/>
        <family val="2"/>
        <charset val="186"/>
        <scheme val="minor"/>
      </rPr>
      <t>yra</t>
    </r>
    <r>
      <rPr>
        <sz val="11"/>
        <rFont val="Calibri"/>
        <family val="2"/>
        <scheme val="minor"/>
      </rPr>
      <t xml:space="preserve"> reikšmė 5, planuojama bendra reikšmė  2029 m. yra  4, jos  proporcingai paskirstytos pagal suplanuotų saugų eismą gerinančių ir aplinkosaugos priemonių skaičių. Skaičiuojama, kad  2020 m. 5*0,62</t>
    </r>
    <r>
      <rPr>
        <sz val="11"/>
        <rFont val="Calibri"/>
        <family val="2"/>
      </rPr>
      <t xml:space="preserve">≈3, o </t>
    </r>
    <r>
      <rPr>
        <sz val="11"/>
        <rFont val="Calibri"/>
        <family val="2"/>
        <scheme val="minor"/>
      </rPr>
      <t>2029 m. bus 4*0,62</t>
    </r>
    <r>
      <rPr>
        <sz val="11"/>
        <rFont val="Calibri"/>
        <family val="2"/>
      </rPr>
      <t>≈2</t>
    </r>
    <r>
      <rPr>
        <sz val="7.7"/>
        <rFont val="Calibri"/>
        <family val="2"/>
      </rPr>
      <t>.</t>
    </r>
  </si>
  <si>
    <t>The achievement of the indicator should not be assessed in terms of individual projects, but in terms of the projects as a whole. The initial total value is 5, the planned total value in 2029. there are 4, they are distributed proportionally according to the number of planned traffic safety and environmental measures. It is estimated that in 2020 5 * 0.62≈3, and 2029 m. will be 4 * 0.62≈2.</t>
  </si>
  <si>
    <t>Specialusis produkto</t>
  </si>
  <si>
    <r>
      <t>Įdiegtos saugų eismą gerinančios ir aplinkosaugos priemonės geležinkeliuose/</t>
    </r>
    <r>
      <rPr>
        <sz val="11"/>
        <color rgb="FFFF0000"/>
        <rFont val="Calibri"/>
        <family val="2"/>
        <charset val="186"/>
        <scheme val="minor"/>
      </rPr>
      <t xml:space="preserve">Implemented traffic safety improvement and environmental protection measures </t>
    </r>
    <r>
      <rPr>
        <sz val="11"/>
        <color theme="1"/>
        <rFont val="Calibri"/>
        <family val="2"/>
        <scheme val="minor"/>
      </rPr>
      <t>in railways</t>
    </r>
  </si>
  <si>
    <r>
      <rPr>
        <sz val="11"/>
        <color rgb="FFFF0000"/>
        <rFont val="Calibri"/>
        <family val="2"/>
        <charset val="186"/>
        <scheme val="minor"/>
      </rPr>
      <t>Įvertinus 2014-2020 m.laikotarpyje įgyvendintus projektus</t>
    </r>
    <r>
      <rPr>
        <strike/>
        <sz val="11"/>
        <color rgb="FFFF0000"/>
        <rFont val="Calibri"/>
        <family val="2"/>
        <charset val="186"/>
        <scheme val="minor"/>
      </rPr>
      <t>,</t>
    </r>
    <r>
      <rPr>
        <strike/>
        <sz val="11"/>
        <rFont val="Calibri"/>
        <family val="2"/>
        <charset val="186"/>
        <scheme val="minor"/>
      </rPr>
      <t xml:space="preserve"> </t>
    </r>
    <r>
      <rPr>
        <sz val="11"/>
        <rFont val="Calibri"/>
        <family val="2"/>
        <scheme val="minor"/>
      </rPr>
      <t xml:space="preserve">1 saugų eismą gerinančios ir aplinkosaugos priemonės geležinkeliuose įkainis yra apie 1 000 000 eurų. </t>
    </r>
    <r>
      <rPr>
        <sz val="11"/>
        <color rgb="FFFF0000"/>
        <rFont val="Calibri"/>
        <family val="2"/>
        <charset val="186"/>
        <scheme val="minor"/>
      </rPr>
      <t xml:space="preserve">Rodikliui skiriama 7,15 proc. intervencijos lėšų, todėl  skaičiuojama, kad 2029 m. rodiklio reikšmė bus 111882352,94*0,0715/1000000=8. </t>
    </r>
  </si>
  <si>
    <r>
      <t xml:space="preserve">After evaluating the completed projects of 2014-2020 period, the tariff of 1implemented traffic safety improvement and environmental protection measures in railways is </t>
    </r>
    <r>
      <rPr>
        <sz val="11"/>
        <color rgb="FFFF0000"/>
        <rFont val="Calibri"/>
        <family val="2"/>
        <charset val="186"/>
      </rPr>
      <t>~</t>
    </r>
    <r>
      <rPr>
        <sz val="11"/>
        <color rgb="FFFF0000"/>
        <rFont val="Calibri"/>
        <family val="2"/>
        <charset val="186"/>
        <scheme val="minor"/>
      </rPr>
      <t xml:space="preserve"> 1 000 000 Eur. 7.15 percent of intervension investments is allocated to this indicator. The target value for 2029 is calculated  103882352.94 * 0.0715 / 1000000 = 8. it is planned, that the milestone value will be 10 percent in 2024 (8*0,1</t>
    </r>
    <r>
      <rPr>
        <sz val="11"/>
        <color rgb="FFFF0000"/>
        <rFont val="Calibri"/>
        <family val="2"/>
        <charset val="186"/>
      </rPr>
      <t>≈</t>
    </r>
    <r>
      <rPr>
        <sz val="7.7"/>
        <color rgb="FFFF0000"/>
        <rFont val="Calibri"/>
        <family val="2"/>
        <charset val="186"/>
      </rPr>
      <t>1).</t>
    </r>
  </si>
  <si>
    <r>
      <rPr>
        <b/>
        <sz val="11"/>
        <color theme="1"/>
        <rFont val="Calibri"/>
        <family val="2"/>
        <charset val="186"/>
        <scheme val="minor"/>
      </rPr>
      <t>068</t>
    </r>
    <r>
      <rPr>
        <sz val="11"/>
        <color theme="1"/>
        <rFont val="Calibri"/>
        <family val="2"/>
        <scheme val="minor"/>
      </rPr>
      <t xml:space="preserve"> Reconstructed or modernised railways - TEN-T comprehensive network</t>
    </r>
  </si>
  <si>
    <t>9</t>
  </si>
  <si>
    <r>
      <t>Įvetinus analogiškus įgyvendintus 2014-2020 m.  projektus, 1 km įkainis, indeksavus ir įvertinus kainų pokytį iki planuojamų darbų pradžios bei reikalingas investicijas, yra 1 406 000 eurų. Rodikliui skiriama 91,75 proc.  intervencijos lėšų, todėl skaičiuojama, kad  2029 m.  60576470,59*0,9175/1406000</t>
    </r>
    <r>
      <rPr>
        <sz val="11"/>
        <rFont val="Calibri"/>
        <family val="2"/>
      </rPr>
      <t>≈</t>
    </r>
    <r>
      <rPr>
        <sz val="11"/>
        <rFont val="Calibri"/>
        <family val="2"/>
        <scheme val="minor"/>
      </rPr>
      <t xml:space="preserve">40. </t>
    </r>
  </si>
  <si>
    <r>
      <t xml:space="preserve">After evaluating the completed projects of 2014-2020 period, the tariff of 1 km is 1 406 000  Eur (indexed by estimating the price change before the start of the planned works and related investments). 91.75 percent of intervension investments is allocated to this indicator.The target value for 2029 is calculated  60576470,59*0,9175/1406000≈40. </t>
    </r>
    <r>
      <rPr>
        <sz val="11"/>
        <color rgb="FFFF0000"/>
        <rFont val="Calibri"/>
        <family val="2"/>
        <charset val="186"/>
        <scheme val="minor"/>
      </rPr>
      <t>The milestone value i is not calculated bec</t>
    </r>
    <r>
      <rPr>
        <sz val="11"/>
        <rFont val="Calibri"/>
        <family val="2"/>
        <charset val="186"/>
        <scheme val="minor"/>
      </rPr>
      <t>ause the technical documentation will be prepared by 2024.</t>
    </r>
  </si>
  <si>
    <t>rail passenger-km/year</t>
  </si>
  <si>
    <t xml:space="preserve"> Rodiklio reikšmė apskaičiuota kaip per metus planuojamo keleivių srauto ir RCO 49 rodiklio santykis. Keleivių skaičius apskaičiuojamas pagal faktiškai susudarančius ir planuojamus keleivių srautus/ parduotus ir numatomus parduoti bilietus. Duomenys rodiklio apskaičiavimui gaunami iš keleivių pervežimo operatoriaus. Prognozuojama, kad 2029 m. keleivių sk.  bus 180000, todėl 2029 m. reikšmė apskaičiuojama 180000/40=4500. Pažymėtina, kad visą keleivių skaičių įtakos projekto įgyvendinimas, kadangi šiuo metu joks keleivių pervežimas esamu geležinkelio ruožu nevykdomas.</t>
  </si>
  <si>
    <t>The value of the indicator is calculated as the ratio of the planned passenger traffic per year to the RCO 49 indicator. The number of passengers is calculated on the basis of the actual and planned passenger flows / tickets sold and expected to be sold. The data for the calculation of the indicator are obtained from the passenger transport operator. It is projected that t will be  180 000 passengers in 2029. The target value for 2029 m is calculated 180 000/40=4 500. It should be noted that the implementation of the project will affect the total number of passengers, because passenger transportation is not performed in this rail section. For this reason the baseline value is not calculated.</t>
  </si>
  <si>
    <r>
      <t>Įdiegtos saugų eismą gerinančios ir
aplinkosaugos priemonės
geležinkeliuose /</t>
    </r>
    <r>
      <rPr>
        <sz val="11"/>
        <color rgb="FFFF0000"/>
        <rFont val="Calibri"/>
        <family val="2"/>
        <charset val="186"/>
        <scheme val="minor"/>
      </rPr>
      <t>Implementation of traffic safety improvement and environmental measures, of which at level crossings</t>
    </r>
  </si>
  <si>
    <r>
      <t xml:space="preserve">Rodikliui skiriama </t>
    </r>
    <r>
      <rPr>
        <sz val="11"/>
        <color rgb="FFFF0000"/>
        <rFont val="Calibri"/>
        <family val="2"/>
        <charset val="186"/>
        <scheme val="minor"/>
      </rPr>
      <t>8,25 proc.</t>
    </r>
    <r>
      <rPr>
        <sz val="11"/>
        <rFont val="Calibri"/>
        <family val="2"/>
        <scheme val="minor"/>
      </rPr>
      <t xml:space="preserve"> eurų intervencijos lėšų. 1 saugų eismą gerinančios ir aplinkosaugos priemonės geležinkeliuose įkainis yra apie 1 000 000 eurų. Skaičiuojama, kad 2029 m. rodiklio reikšmė bus </t>
    </r>
    <r>
      <rPr>
        <sz val="11"/>
        <color rgb="FFFF0000"/>
        <rFont val="Calibri"/>
        <family val="2"/>
        <charset val="186"/>
        <scheme val="minor"/>
      </rPr>
      <t>60576470,595*0,0825/1000000=5</t>
    </r>
    <r>
      <rPr>
        <sz val="11"/>
        <rFont val="Calibri"/>
        <family val="2"/>
        <scheme val="minor"/>
      </rPr>
      <t xml:space="preserve">. </t>
    </r>
  </si>
  <si>
    <t xml:space="preserve">
The indicator receives 8.25% of the intervention funds. The cost of 1 road safety and environmental measure on the railways is around € 1,000,000. It is estimated that the value of the indicator for 2029 m will be 60576470,595 * 0.0825 / 1000000 = 5.</t>
  </si>
  <si>
    <t>Žuvusiųjų ir sužeistųjų geležinkelio pervažose skaičius</t>
  </si>
  <si>
    <r>
      <t>Rodiklio pasiekimą reikia vertinti ne pagal atskirus projektus, o vertinant projektų visumą. Pradinė  bendra reikšmė 5, planuojama bendra reikšmė  2029 m. yra  4, jos  proporcingai paskirstytos pagal suplanuotų saugų eismą gerinančių ir aplinkosaugos priemonių skaičių. Skaičiuojama, kad  2020 m. 5*0,38</t>
    </r>
    <r>
      <rPr>
        <sz val="11"/>
        <rFont val="Calibri"/>
        <family val="2"/>
      </rPr>
      <t xml:space="preserve">≈2, o </t>
    </r>
    <r>
      <rPr>
        <sz val="11"/>
        <rFont val="Calibri"/>
        <family val="2"/>
        <scheme val="minor"/>
      </rPr>
      <t>2029 m. bus 4*0,38</t>
    </r>
    <r>
      <rPr>
        <sz val="11"/>
        <rFont val="Calibri"/>
        <family val="2"/>
      </rPr>
      <t>≈1</t>
    </r>
    <r>
      <rPr>
        <sz val="7.7"/>
        <rFont val="Calibri"/>
        <family val="2"/>
      </rPr>
      <t>.</t>
    </r>
  </si>
  <si>
    <t>The achievement of the indicator should not be assessed on the basis of individual projects, but on the basis of the projects as a whole. The initial total value is 5, the planned total value in 2029 is 4, they are distributed in proportion to the number of planned traffic safety and environmental measures. It is estimated that in 2019 m 5 * 0.38≈2, and in 2029 m will be 4 * 0.38≈1.</t>
  </si>
  <si>
    <t xml:space="preserve"> 070 Digitalisation of transport: rail</t>
  </si>
  <si>
    <t>Skaitmeninėmis planavimo priemonėmis padidintas traukinių pralaidumas</t>
  </si>
  <si>
    <t>twin unit</t>
  </si>
  <si>
    <t>35</t>
  </si>
  <si>
    <t>36</t>
  </si>
  <si>
    <t>IXB koridoriuje yra susiformavusios mažiausio traukinių pralaidumo vietos. Dėl jų eismo perplanavimas rankiniu būdu, iškilus būtinybei, iki šiol buvo vykdomas, likus 5 d. iki eismo pakeitimo momento. 2019 m. atšaukti 75 traukiniai, o kroviniai pervežti motorizuotu transportu dėl rankinio eismo planavimo trūkumų. Automatizavus planavimą būtų galima sumažinti laiko buferį, reikalingą traukinių eismo perplanavimui. Esant automatiniam planavimui, "paskutinės minutės" suplanavimas, anksčiau trukęs 5 dienas, būtų pakeistas į 1 val. planavimą. Tokiu būdu, sutaupyto laiko pakaktų, kad būtų galima paleisti 1 papildomą traukinių porą per parą, kurios poreikis nustatytas pagal faktiškai gautus ir planuojamus ateityje gauti operatorių paklausimus ir maksimalų faktinį ir galimą tinklo pralaidumą. Rodiklio pasiekimas planuojamas po projekto įgyvendinimo, pradėjus eksploatuoti atnaujintą eismo valdymo sistemą. Apskaičiuojant rodiklį, nevertintas traukinių pralaidumo didinimas dėl kitų LTG geležinkelio infrastruktūros plėtros, atnaujinimo ir modernizavimo projektų.</t>
  </si>
  <si>
    <t>Corridor IXB has the lowest train capacity. As a result, manual traffic re-planning, if necessary, has been carried out so far, with 5 days left. until the moment of traffic change. 2019 75 trains were canceled and freight was transported by motor vehicle due to shortcomings in manual traffic planning. Automating scheduling could reduce the time buffer required to reschedule train traffic. With automatic scheduling, a “last minute” schedule that used to last 5 days would be changed to 1 p.m. planning. In this way, the time saved would be sufficient to run 1 additional pair of trains per day, the need of which was determined on the basis of actual and planned future requests from operators and the maximum actual and potential network capacity. The achievement of the indicator is planned after the implementation of the project, when the updated traffic management system is put into operation. When calculating the indicator, the increase of train capacity due to other LTG railway infrastructure development, renewal and modernization projects was not taken into account.</t>
  </si>
  <si>
    <t>Modernizuotos intelektinės
transporto sistemos</t>
  </si>
  <si>
    <t>unit</t>
  </si>
  <si>
    <t xml:space="preserve">Numatoma modernizuoti esamą eismo valdymo sistemą, kurios modernizavimo projekto įgyvendinimo metu numatoma įdiegti instrumentus kurie sudarys galimybes duomenų mainams ir integracijoms su vežėjais, kuriems bus užtikrintos vienodos prie informacinės sistemos preigų sąlygos. Taip bus   užtikrintas  ES reglamento 2019/773 įgyvendinimas (kuriame nurodyti įsipareigojimai viešosios geležinkelio infrastruktūros valdytojui teikti informaciją vežėjui apie traukinių buvimo vietą). Papildomi funkcionalumai eismo valdymo realiu laiku modulyje leis patogiau pognozuoti ir valdyti traukinių judėjimą, tuo pačiu didinti eismo saugą.  Visi šie projekto įgyvendinimo metu numatomi įdiegti instrumentai sudarys prielaidas modernizuotos intelektinės transporto sistemos atsiradimui, kurios diegimui, įvertinus panačių projektų 2016 m. įkainius (apie  2 374 528 Eur), juos indeksavus pagal numatomą kainų pokytį (9 proc.) iki planuojamo planuojamo projekto pradžios (2022 m.), planuojama apie 2 588 235 eurų. </t>
  </si>
  <si>
    <t>It is planned to modernize the existing traffic management system, during the implementation of which the modernization project envisages the introduction of instruments that will enable data exchange and integration with carriers, which will ensure equal access to the information system. This will ensure the implementation of EU Regulation 2019/773 (which sets out obligations for the public infrastructure manager to provide information on the location of trains to the carrier). Additional functionalities in the real-time traffic management module will make it easier to forecast and control train movements, while increasing traffic safety. All these instruments envisaged during the implementation of the project will create preconditions for the emergence of a modernized intelligent transport system, the implementation of which, after evaluating similar projects in 2016. rates (about EUR 2,374,528), indexed according to the expected price change (9%) before the start of the planned project (2022), is planned to be about EUR 2,588,235.</t>
  </si>
  <si>
    <r>
      <rPr>
        <b/>
        <sz val="11"/>
        <color theme="1"/>
        <rFont val="Calibri"/>
        <family val="2"/>
        <charset val="186"/>
        <scheme val="minor"/>
      </rPr>
      <t>056</t>
    </r>
    <r>
      <rPr>
        <sz val="11"/>
        <color theme="1"/>
        <rFont val="Calibri"/>
        <family val="2"/>
        <scheme val="minor"/>
      </rPr>
      <t xml:space="preserve"> Newly built or upgraded motorways and roads - TEN-T core network</t>
    </r>
  </si>
  <si>
    <t>RCO43</t>
  </si>
  <si>
    <t>Length of new or upgraded roads - TEN-T</t>
  </si>
  <si>
    <r>
      <t xml:space="preserve">Įvertinus analogiškų projektų įgyvendinimą 2014-2020 m. laikotarpyje, 1 km kainuoja  vidutiniškai 7 500 000 eurų (indeksuotas įvertinus kainos pokytį iki planuojamų darbų pradžios). Todėl skaičiuojma, kad siektina 2029 m. reikšmė bus  </t>
    </r>
    <r>
      <rPr>
        <sz val="11"/>
        <color rgb="FFFF0000"/>
        <rFont val="Calibri"/>
        <family val="2"/>
        <charset val="186"/>
        <scheme val="minor"/>
      </rPr>
      <t>77094168,24</t>
    </r>
    <r>
      <rPr>
        <sz val="11"/>
        <rFont val="Calibri"/>
        <family val="2"/>
        <scheme val="minor"/>
      </rPr>
      <t xml:space="preserve">/7500000= 10,28. Planuojama, kad 2024 m. bus pasiekta 20 proc, todėl 10,28*0,2=2,06. </t>
    </r>
    <r>
      <rPr>
        <sz val="11"/>
        <color rgb="FFFF0000"/>
        <rFont val="Calibri"/>
        <family val="2"/>
        <charset val="186"/>
        <scheme val="minor"/>
      </rPr>
      <t xml:space="preserve"> Pradinė reikšmė neskaičiuojama, nes bus nauja kelio atkarpa</t>
    </r>
    <r>
      <rPr>
        <sz val="11"/>
        <rFont val="Calibri"/>
        <family val="2"/>
        <scheme val="minor"/>
      </rPr>
      <t xml:space="preserve">. Siektinos reikšmės paskaičiuotos preliminariai, galutiniai skaičiavimai turėtų paaiškėti 2020 m. pabaigoje arba 2021 m. pradžioje, patvirtinus suplanuotas lėšas. </t>
    </r>
  </si>
  <si>
    <t>After evaluating the completed projects of 2014-2020 period, the tariff of 1 km is  7 500 000 Eur (indexed by estimating the price change before the start of the planned works).  The target value for 2029 is calculated   77094168.24/7500000= 10.28. It is planned, that milestone value will be 20 percent in 2024 (10.28*0.2=2.06). The baseline value is not calculated because there vill be new road section. It should be noted that  the target value ​​have been calculated preliminarily, the final calculations should be available in  early 2021.</t>
  </si>
  <si>
    <t>RCR55</t>
  </si>
  <si>
    <t>Annual users of newly built, reconstructed, upgraded or modernised roads</t>
  </si>
  <si>
    <t>road passenger-km/year</t>
  </si>
  <si>
    <t xml:space="preserve">Siektina reikšmė paskaičiuota naudojantis Jaspers 2020-10-16 pasiūlyta metodika: [Passenger-km] = Σ nj=1 [AADTj] * [Lengthj] * Occupancy * 365. Todėl siektina 2029 m. reikšmė paskaičiuojama (9335x6,90x1,74x365)+(10967x3,38x1,75x365)=64585222. Pradinė reikšmė neskaičiuojama, nes bus naujos kelio atkarpa. Siektina reikšmė paskaičiuota preliminariai, galutiniai skaičiavimai turėtų paaiškėti 2020 m. pabaigoje arba 2021 m. pradžioje, patvirtinus suplanuotas lėšas. </t>
  </si>
  <si>
    <t>The target value is calculated using the methodology proposed by Jaspers on 16/10/2020: [Passenger-km] = Σ nj = 1 [AADTj] * [Lengthj] * Occupancy * 365. The target value for 2029 is calculated  (9 335x6.90x1.74x365)+(10 967x3.38x1.75x365)=64 585 222. Baseline value for 2019 is not calculated because RCO 43 is new road section.  It should be noted that  the target value ​​have been calculated preliminarily, the final calculations should be available in  early 2021.</t>
  </si>
  <si>
    <t>RCR56</t>
  </si>
  <si>
    <t>Time savings due to improved road infrastructures</t>
  </si>
  <si>
    <t>road passenger-hours/year</t>
  </si>
  <si>
    <t xml:space="preserve"> Siektina reikšmė paskaičiuota naudojantis Jaspers 2020-10-16 pasiūlyta metodika: [Saved Passenger-hours/year] =
Σ nj=1 ( [Lengthj b / Speedj b] – [Lengthj f/a / Speedj f/a)] )* Occupancy * AADTj f/a * DAYS. Todėl siektina 2029 m. reikšmė paskaičiuojama (6,67/76,60-6,67/104,50)x1,74x9335x365+(3,26/75,83-3,26/84,53)x1,75x10967x365=174719. Pradinė reikšmė neskaičiuojama, nes bus nauja kelio atkarpa. Siektina reikšmė paskaičiuota preliminariai, galutiniai skaičiavimai turėtų paaiškėti 2020 m. pabaigoje arba 2021 m. pradžioje, patvirtinus suplanuotas lėšas. </t>
  </si>
  <si>
    <t>The target value is calculated using the methodology proposed by Jaspers on 16/10/2020: [Saved Passenger-hours / year] =Σ nj=1 ( [Lengthj b / Speedj b] – [Lengthj f/a / Speedj f/a)] )* Occupancy * AADTj f/a * DAYS. The target value for 2029 is calculated (6.67/76.60-6.67/104,50)x1.74x9335x365+(3.26/75.83-3.26/84,53)x1.75x10967x365=174719. The Baseline value for 2019  is not calculated because RCO 43 is new road section. It should be noted that  the target value ​​have been calculated preliminarily, the final calculations should be available in  early 2021.</t>
  </si>
  <si>
    <r>
      <rPr>
        <b/>
        <sz val="11"/>
        <color theme="1"/>
        <rFont val="Calibri"/>
        <family val="2"/>
        <charset val="186"/>
        <scheme val="minor"/>
      </rPr>
      <t>060</t>
    </r>
    <r>
      <rPr>
        <sz val="11"/>
        <color theme="1"/>
        <rFont val="Calibri"/>
        <family val="2"/>
        <scheme val="minor"/>
      </rPr>
      <t xml:space="preserve"> Reconstructed or modernised motorways and roads - TEN-T core network</t>
    </r>
  </si>
  <si>
    <t>RCO45</t>
  </si>
  <si>
    <t>Length of roads reconstructed or modernised - TEN-T</t>
  </si>
  <si>
    <r>
      <t xml:space="preserve">Įvertinus analogiškų projektų įgyvendinimą 2014-2020 m. laikotarpyje, 1 km kainuoja  vidutiniškai 7 503 031 eurų (indeksuotas įvertinus kainos pokytį iki planuojamų darbų pradžios). Todėl skaičiuojama, kad siektina 2029 m. reikšmė bus  </t>
    </r>
    <r>
      <rPr>
        <sz val="11"/>
        <color rgb="FFFF0000"/>
        <rFont val="Calibri"/>
        <family val="2"/>
        <charset val="186"/>
        <scheme val="minor"/>
      </rPr>
      <t>173934358,82</t>
    </r>
    <r>
      <rPr>
        <sz val="11"/>
        <rFont val="Calibri"/>
        <family val="2"/>
        <scheme val="minor"/>
      </rPr>
      <t>/7503031= 23,19. Planuojama, kad 2024 m. bus pasiekta 20 proc, todėl 23,19*0,2</t>
    </r>
    <r>
      <rPr>
        <sz val="11"/>
        <rFont val="Calibri"/>
        <family val="2"/>
        <charset val="186"/>
      </rPr>
      <t>≈4,64</t>
    </r>
    <r>
      <rPr>
        <sz val="11"/>
        <rFont val="Calibri"/>
        <family val="2"/>
        <scheme val="minor"/>
      </rPr>
      <t xml:space="preserve">.  Siektinos reikšmės paskaičiuotos preliminariai, galutiniai skaičiavimai turėtų paaiškėti 2020 m. pabaigoje arba 2021 m. pradžioje, patvirtinus suplanuotas lėšas. </t>
    </r>
  </si>
  <si>
    <t>After evaluating the implementation of similar projects in the period of 2014-2020, 1 km costs on average 7,503,031 euros (indexed after estimating the price change before the start of the planned works). Therefore, it is estimated that the target value for 2029 m will be 173934358.82 / 7503031 = 23.19. It is planned that 20% will be achieved in 2024, therefore 23.19 * 0.2≈4.64. The target values ​​have been calculated tentatively, the final calculations should become clear in late 2020 or early 2021, when the planned funds are approved.</t>
  </si>
  <si>
    <t>road passenger-km/ year</t>
  </si>
  <si>
    <t xml:space="preserve">Siektina reikšmė paskaičiuota naudojantis Jaspers 2020-10-16 pasiūlyta metodika: [Passenger-km] = Σ nj=1 [AADTj] * [Lengthj] * Occupancy * 365. Todėl siektina 2029 m. reikšmė paskaičiuojama (12193x12,90x1,85x365)+(11107x5,35x1,74x365)+(11107x4,94x1,74x365)=178796103. Pradinė reikšmė 2019 m. apskaičiuojama (11595x12,90x1,85x365)+(10564x5,35x1,74x365)+(10564x4,94x1,74x365)=170038487. Siektina reikšmė paskaičiuota preliminariai, galutiniai skaičiavimai turėtų paaiškėti 2020 m. pabaigoje arba 2021 m. pradžioje, patvirtinus suplanuotas lėšas. </t>
  </si>
  <si>
    <t>The target value is calculated using the methodology proposed by Jaspers on 16/10/2020: [Passenger-km] = Σ nj = 1 [AADTj] * [Lengthj] * Occupancy * 365. The target value for 2029 is calculated (12193x12,90x1,85x365)+(11107x5,35x1,74x365)+(11107x4,94x1,74x365)=178796103. The baseline value for 2019 is calculated  (11595x12,90x1,85x365)+(10564x5,35x1,74x365)+(10564x4,94x1,74x365)=170038487.  It should be noted that  the target value ​​have been calculated preliminarily, the final calculations should be available in  early 2021.</t>
  </si>
  <si>
    <t>The target value is calculated using the methodology proposed by Jaspers on 16/10/2020: [Passenger-km] = Σ nj = 1 [AADTj] * [Lengthj] * Occupancy * 365. The target value for 2029 is calculated 726x79.95x1.74x365 = 36863554. The baseline value for 2019 is calculated 688x79.95x1.74x365 = 34934057.  It should be noted that  the target value ​​have been calculated preliminarily, the final calculations should be available in  early 2021.</t>
  </si>
  <si>
    <t xml:space="preserve">Siektina reikšmė paskaičiuota naudojantis Jaspers 2020-10-16 pasiūlyta metodika: [Saved Passenger-hours/year] =
Σ nj=1 ( [Lengthj b / Speedj b] – [Lengthj f/a / Speedj f/a)] )* Occupancy * AADTj f/a * DAYS. Todėl siektina 2029 m. reikšmė paskaičiuojama (12,90/82,91-12,90/106,48)x1,85x12193x365+(5,35/82,87-5,35/104,84)x1,74x11107x365+(4,94/82,87-4,94/104,84)x1,74x11107x365=467115.  Pradinė reikšmė 2019 m. apskaičiuojama (12,90/82,91)x1,85x11595x365+(5,35/82,87)x1,74x10564x365+(4,94/82,87)x1,74x10564x365=2051282. Siektina reikšmė paskaičiuota preliminariai, galutiniai skaičiavimai turėtų paaiškėti 2020 m. pabaigoje arba 2021 m. pradžioje, patvirtinus suplanuotas lėšas. </t>
  </si>
  <si>
    <t>The target value is calculated using the methodology proposed by Jaspers on 16/10/2020: [Saved Passenger-hours / year] =Σ nj=1 ( [Lengthj b / Speedj b] – [Lengthj f/a / Speedj f/a)] )* Occupancy * AADTj f/a * DAYS. The target value for 2029 is calculated (12,90/82,91-12,90/106,48)x1,85x12193x365+(5,35/82,87-5,35/104,84)x1,74x11107x365+(4,94/82,87-4,94/104,84)x1,74x11107x365=467115. The baseline value for 2019 is calculated  (12,90/82,91)x1,85x11595x365+(5,35/82,87)x1,74x10564x365+(4,94/82,87)x1,74x10564x365=2051282.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</si>
  <si>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(79.95 / 71.16-79.95 / 89.32) x1.74x726x365 = 105324. The baseline value for 2019 is calculated  (79.95 / 71.16) x1.74x688x365 = 490923.  It should be noted that  the target value ​​have been calculated preliminarily, the final calculations should be available in  early 2021.</t>
  </si>
  <si>
    <r>
      <rPr>
        <b/>
        <sz val="11"/>
        <color theme="1"/>
        <rFont val="Calibri"/>
        <family val="2"/>
        <charset val="186"/>
        <scheme val="minor"/>
      </rPr>
      <t>061</t>
    </r>
    <r>
      <rPr>
        <sz val="11"/>
        <color theme="1"/>
        <rFont val="Calibri"/>
        <family val="2"/>
        <scheme val="minor"/>
      </rPr>
      <t xml:space="preserve"> Reconstructed or modernised motorways and roads - TEN-T comprehensive network</t>
    </r>
  </si>
  <si>
    <t>8,92</t>
  </si>
  <si>
    <r>
      <t xml:space="preserve">Įvertinus to paties kelio atkarpos atliktų rekonstravimo darbų kainą, 1 km rekonstruoti kainuoja  vidutiniškai 3518162 eurų (indeksuouotas įvertinus kainos pokytį iki planuojamų darbų pradžios). Todėl skaičiuojama, kad siektina 2029 m. reikšmė bus  </t>
    </r>
    <r>
      <rPr>
        <sz val="11"/>
        <color rgb="FFFF0000"/>
        <rFont val="Calibri"/>
        <family val="2"/>
        <charset val="186"/>
        <scheme val="minor"/>
      </rPr>
      <t>31366951,76/3518162= 8,92</t>
    </r>
    <r>
      <rPr>
        <sz val="11"/>
        <rFont val="Calibri"/>
        <family val="2"/>
        <scheme val="minor"/>
      </rPr>
      <t>. Planuojama, kad 2024 m. bus pasiekta 20 proc, todėl 8,92*0,2</t>
    </r>
    <r>
      <rPr>
        <sz val="11"/>
        <rFont val="Calibri"/>
        <family val="2"/>
        <charset val="186"/>
      </rPr>
      <t>≈1,78</t>
    </r>
    <r>
      <rPr>
        <sz val="11"/>
        <rFont val="Calibri"/>
        <family val="2"/>
        <scheme val="minor"/>
      </rPr>
      <t xml:space="preserve">.  Siektinos reikšmės paskaičiuotos preliminariai, galutiniai skaičiavimai turėtų paaiškėti 2020 m. pabaigoje arba 2021 m. pradžioje, patvirtinus suplanuotas lėšas. </t>
    </r>
  </si>
  <si>
    <t xml:space="preserve">Siektina reikšmė paskaičiuota naudojantis Jaspers 2020-10-16 pasiūlyta metodika: [Passenger-km] = Σ nj=1 [AADTj] * [Lengthj] * Occupancy * 365. Todėl siektina 2029 m. reikšmė paskaičiuojama (6918x7,31x1,69x365)+(5037x1,61x1,73x365)=36315250. Pradinė reikšmė 2019 m. apskaičiuojama (6545x7,31x1,69x365)+(4766x1,61x1,73x365)=34357821. Siektina reikšmė paskaičiuota preliminariai, galutiniai skaičiavimai turėtų paaiškėti 2020 m. pabaigoje arba 2021 m. pradžioje, patvirtinus suplanuotas lėšas. </t>
  </si>
  <si>
    <t>The target value is calculated using the methodology proposed by Jaspers on 16/10/2020: [Passenger-km] = Σ nj = 1 [AADTj] * [Lengthj] * Occupancy * 365. The target value for 2029 is calculated (6918x7,31x1,69x365)+(5037x1,61x1,73x365)=36315250. The baseline value for 2019 is calculated (6545x7,31x1,69x365)+(4766x1,61x1,73x365)=34357821.  It should be noted that  the target value ​​have been calculated preliminarily, the final calculations should be available in  early 2021.</t>
  </si>
  <si>
    <t xml:space="preserve">Siektina reikšmė paskaičiuota naudojantis Jaspers 2020-10-16 pasiūlyta metodika: [Saved Passenger-hours/year] =
Σ nj=1 ( [Lengthj b / Speedj b] – [Lengthj f/a / Speedj f/a)] )* Occupancy * AADTj f/a * DAYS. Todėl siektina 2029 m. reikšmė paskaičiuojama (7,31/85,00-7,31/90,00)x1,69x6918x365+(1,61/39,00-1,61/46,00)x1,73x5037x365=40369.  Pradinė reikšmė 2019 m. apskaičiuojama (7,31/85,00)x1,69x6545x365+(1,61/39,00)x1,73x4766x365=471444. Siektina reikšmė paskaičiuota preliminariai, galutiniai skaičiavimai turėtų paaiškėti 2020 m. pabaigoje arba 2021 m. pradžioje, patvirtinus suplanuotas lėšas. </t>
  </si>
  <si>
    <t>The target value is calculated using the methodology proposed by Jaspers on 16/10/2020: [Saved Passenger-hours / year] =Σ nj=1 ( [Lengthj b / Speedj b] – [Lengthj f/a / Speedj f/a)] )* Occupancy * AADTj f/a * DAYS. The target value for 2029 is calculated (7.31/85.00-7.31/90.00)x1.69x6918x365+(1.61/39.00-1.61/46.00)x1.73x5037x365=40369. The baseline value for 2019 is calculated 7.31/85.00)x1.69x6545x365+(1.61/39.00)x1.73x4766x365=471444.  It should be noted that  the target value ​​have been calculated preliminarily, the final calculations should be available in  early 2021.</t>
  </si>
  <si>
    <r>
      <t xml:space="preserve"> </t>
    </r>
    <r>
      <rPr>
        <b/>
        <sz val="11"/>
        <color theme="1"/>
        <rFont val="Calibri"/>
        <family val="2"/>
        <charset val="186"/>
        <scheme val="minor"/>
      </rPr>
      <t>063</t>
    </r>
    <r>
      <rPr>
        <sz val="11"/>
        <color theme="1"/>
        <rFont val="Calibri"/>
        <family val="2"/>
        <scheme val="minor"/>
      </rPr>
      <t xml:space="preserve"> Digitalisation of transport: road</t>
    </r>
  </si>
  <si>
    <t>Specialusis</t>
  </si>
  <si>
    <t>Įdiegta automatizuotų greičio kontrolės punktų</t>
  </si>
  <si>
    <r>
      <t xml:space="preserve">Įvertinus analogiškų prietaisų pirkimus,  vidutinė 1 greičio kontrolės punkto kaina yra 40 000 eurų (indeksuota įvertinus kainos pokytį iki planuojamų pirkimų pradžios). Todėl skaičiuojama, kad siektina 2029 m. reikšmė bus  </t>
    </r>
    <r>
      <rPr>
        <sz val="11"/>
        <color theme="1"/>
        <rFont val="Calibri"/>
        <family val="2"/>
        <charset val="186"/>
        <scheme val="minor"/>
      </rPr>
      <t>27190470,06</t>
    </r>
    <r>
      <rPr>
        <sz val="11"/>
        <rFont val="Calibri"/>
        <family val="2"/>
        <scheme val="minor"/>
      </rPr>
      <t>/40000= 68. Planuojama, kad 2024 m. bus pasiekta 20 proc, todėl 68*0,2</t>
    </r>
    <r>
      <rPr>
        <sz val="11"/>
        <rFont val="Calibri"/>
        <family val="2"/>
        <charset val="186"/>
      </rPr>
      <t>≈14</t>
    </r>
    <r>
      <rPr>
        <sz val="11"/>
        <rFont val="Calibri"/>
        <family val="2"/>
        <scheme val="minor"/>
      </rPr>
      <t xml:space="preserve">.  Siektinos reikšmės paskaičiuotos preliminariai, galutiniai skaičiavimai turėtų paaiškėti 2020 m. pabaigoje arba 2021 m. pradžioje, patvirtinus suplanuotas lėšas. </t>
    </r>
  </si>
  <si>
    <r>
      <t>Žuvusiųjų  keliuose skaičius /</t>
    </r>
    <r>
      <rPr>
        <sz val="11"/>
        <color rgb="FFFF0000"/>
        <rFont val="Calibri"/>
        <family val="2"/>
        <charset val="186"/>
        <scheme val="minor"/>
      </rPr>
      <t>Number of roads traffic deaths</t>
    </r>
  </si>
  <si>
    <t>66</t>
  </si>
  <si>
    <t>30</t>
  </si>
  <si>
    <t xml:space="preserve">Duomenis imami iš Nacionalinio pažangos plano. Reikia vertinit visų projektų visumą: tiek pagerinus kelių infrastruktūrą, tiek įdiegus saugų eismą gerinančias priemones keliuose.  </t>
  </si>
  <si>
    <t>The target and the baseline values are taken from Nacional progress plan. It should be noted,  The achievement of the indicator will be influenced by the implementation of all road projects.</t>
  </si>
  <si>
    <r>
      <t xml:space="preserve"> </t>
    </r>
    <r>
      <rPr>
        <b/>
        <sz val="11"/>
        <color theme="1"/>
        <rFont val="Calibri"/>
        <family val="2"/>
        <charset val="186"/>
        <scheme val="minor"/>
      </rPr>
      <t>078</t>
    </r>
    <r>
      <rPr>
        <sz val="11"/>
        <color theme="1"/>
        <rFont val="Calibri"/>
        <family val="2"/>
        <scheme val="minor"/>
      </rPr>
      <t xml:space="preserve"> Multimodal transport (TEN-T)</t>
    </r>
  </si>
  <si>
    <t>RCO54</t>
  </si>
  <si>
    <t>New or modernised intermodal connections</t>
  </si>
  <si>
    <t>intermodal connections</t>
  </si>
  <si>
    <t>Rodiklio reikšmė nustatyta, atsižvelgiant į šiuo metu faktiškai esamas intermodalines jungtis, kurios projekto įgyvendinimo metu būtų modernizuotos. Įvertinus analogiškų  projektų įgyvendinimą, 1 intermodalinės jungties modernizavimas kainuoja apie 5 882353 eurų. Rodikliai paskaičiuoti kaip pokytis, vertinant su šiuo metu esamą ir, atitinkamai, 2024 m. bei 2029 m. planuojamą situaciją. Iki 2024 m. planuojama modernizuoti 1 intermodalinė jungtį, o 2029 m. - dar vieną intermodalinę jungtį. Tokiu būdu, iš viso iki 2029 m. numatomos modernizuoti 2-i intermodalinės jungtys.</t>
  </si>
  <si>
    <t>Krovinių vežimas intermodalinėmis jungtimis</t>
  </si>
  <si>
    <t>Rail tonne-connections/year</t>
  </si>
  <si>
    <t>Annual reporting by Infrastructure Manager/ operator.</t>
  </si>
  <si>
    <r>
      <t xml:space="preserve">Rodiklio reikšmė apskaičiuota, įvertinus esamų intermodalinių terminalų plėtros pasėkoje numatomą intermodalinių pajėgumų plėtrą bei su tuo susijusį planuojamą pervežamų krovinių tonažą per metus 1-ai intermodalinei jungčiai. Prognozuojamas scenarijus pagrįstas modernizuotos infrastruktūros naudojimo prielaidomis, apskaičiuotomis LTG terminalų plėtros strategijoje 2019-2030 m. </t>
    </r>
    <r>
      <rPr>
        <sz val="11"/>
        <color rgb="FFFF0000"/>
        <rFont val="Calibri"/>
        <family val="2"/>
        <charset val="186"/>
        <scheme val="minor"/>
      </rPr>
      <t xml:space="preserve"> 2029 m., modernizavus abi intermodalines jungtis - 950000 t/ m.</t>
    </r>
  </si>
  <si>
    <t>Rodiklio kodas</t>
  </si>
  <si>
    <t>Rodiklio pavadinimas</t>
  </si>
  <si>
    <t>Rodiklio matavimo vienetas</t>
  </si>
  <si>
    <t>Rodiklio pradinė reikšmė</t>
  </si>
  <si>
    <t>Rodiklio pradinės reikšmės metai</t>
  </si>
  <si>
    <t>Rodiklio tarpinė 2024 m. reikšmė</t>
  </si>
  <si>
    <t>Rodiklio siektina 2029 m. reikšmė</t>
  </si>
  <si>
    <t>Visa Lietuva</t>
  </si>
  <si>
    <t>Įdiegtos saugų eismą gerinančios ir aplinkosaugos priemonės geležinkeliuose</t>
  </si>
  <si>
    <t>Skaičius</t>
  </si>
  <si>
    <t>KM</t>
  </si>
  <si>
    <t>skaičius</t>
  </si>
  <si>
    <t>Freight transport on connections</t>
  </si>
  <si>
    <t>Konkretus uždavinys – 3.3. Kurti tvarų, atsparų klimato kaitai, pažangų, saugų ir įvairiarūšį nacionalinį, regiono ir vietos judumą, įskaitant geresnes galimybes naudotis (TEN-T) bei tarpvalstybinį judumą</t>
  </si>
  <si>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</si>
  <si>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t>3.3.1. Tobulinti ir rekonstruoti valstybinės reikšmės kelius (regionų jungtis su TEN-T tinklu),</t>
  </si>
  <si>
    <t>3.3.2. Plėtoti dviračių ir pėsčiųjų infrastruktūrą miestuose ir priemiesčiose, kurie neįgyvendina Darnaus judumo mieste planų</t>
  </si>
  <si>
    <t>Code</t>
  </si>
  <si>
    <t>Name</t>
  </si>
  <si>
    <r>
      <rPr>
        <b/>
        <sz val="11"/>
        <color theme="1"/>
        <rFont val="Calibri"/>
        <family val="2"/>
        <charset val="186"/>
        <scheme val="minor"/>
      </rPr>
      <t>062</t>
    </r>
    <r>
      <rPr>
        <sz val="11"/>
        <color theme="1"/>
        <rFont val="Calibri"/>
        <family val="2"/>
        <scheme val="minor"/>
      </rPr>
      <t xml:space="preserve"> Other reconstructed or modernised roads (motorway, national, regional or local)</t>
    </r>
  </si>
  <si>
    <t>RCO46</t>
  </si>
  <si>
    <r>
      <t xml:space="preserve">Length of roads reconstructed or modernised - </t>
    </r>
    <r>
      <rPr>
        <sz val="11"/>
        <color theme="1"/>
        <rFont val="Calibri"/>
        <family val="2"/>
        <scheme val="minor"/>
      </rPr>
      <t>non-TENT</t>
    </r>
  </si>
  <si>
    <t>Midle- west Lithuania region</t>
  </si>
  <si>
    <t>Įvertinus analogiškų projektų įgyvendinimą 2014-2020 m. laikotarpyje, 1 km kainuoja  vidutiniškai  1 000 000 eurų (indeksuotas įvertinus kainos pokytį iki planuojamų darbų pradžios). Šiam rodikliui skiriama apie 77,26 proc. Intervencijos lėšų, todėl skaičiuojama, kad 2029 m. siektina reikšmė bus 103480882,35*0,7726/1000000=79,95. Tarpinė 2024 m. reikšmė sudarys 20 proc., 79,95*0,2=15,99. Siektinos reikšmės paskaičiuotos preliminariai, galutiniai skaičiavimai turėtų paaiškėti 2021 m. pradžioje.</t>
  </si>
  <si>
    <t>After evaluating the completed projects of 2014-2020 period, the tariff of 1 km is  1 000 000 Eur (indexed by estimating the price change before the start of the planned works).  77.26 percent of intervension investments is allocated to this indicator.  The target value for 2029 is calculated 103480882.35 * 0.7726 / 1000000 = 79.95. It is planned, that the milestone value will be 20 percent in 2024 (79.95 * 0.2 = 15.99).  It should be noted that  values ​​have been calculated preliminarily, the final calculations should be available in  early 2021.</t>
  </si>
  <si>
    <t>Road passenger-km/ year</t>
  </si>
  <si>
    <t>Siektina reikšmė paskaičiuota naudojantis Jaspers 2020-10-16 pasiūlyta metodika: [Passenger-km] = Σ nj=1 [AADTj] * [Lengthj] * Occupancy * 365. Todėl siektina 2029 m. reikšmė paskaičiuojama 726x79,95x1,74x365=36863554. Pradinė reikšmė 2021 m. apskaičiuojama 688x79,95x1,74x365=34934057. Siektina reikšmė paskaičiuota preliminariai, galutiniai skaičiavimai turėtų paaiškėti  2021 m. pradžioje.</t>
  </si>
  <si>
    <t>Road passenger-hours/year</t>
  </si>
  <si>
    <r>
      <t xml:space="preserve">Siektina reikšmė paskaičiuota naudojantis Jaspers 2020-10-16 pasiūlyta metodika: [Saved Passenger-hours/year] =
Σ nj=1 ( [Lengthj b / Speedj b] – [Lengthj f/a / Speedj f/a)] )* Occupancy * AADTj f/a * DAYS. Todėl siektina 2029 m. reikšmė paskaičiuojama </t>
    </r>
    <r>
      <rPr>
        <sz val="11"/>
        <color rgb="FFFF0000"/>
        <rFont val="Calibri"/>
        <family val="2"/>
        <charset val="186"/>
        <scheme val="minor"/>
      </rPr>
      <t>(79,95/71,16-79,95/89,32)x1,74x726x365=105324</t>
    </r>
    <r>
      <rPr>
        <sz val="11"/>
        <color theme="1"/>
        <rFont val="Calibri"/>
        <family val="2"/>
        <scheme val="minor"/>
      </rPr>
      <t xml:space="preserve">.  Pradinė reikšmė 2021 m. apskaičiuojama </t>
    </r>
    <r>
      <rPr>
        <sz val="11"/>
        <color rgb="FFFF0000"/>
        <rFont val="Calibri"/>
        <family val="2"/>
        <charset val="186"/>
        <scheme val="minor"/>
      </rPr>
      <t>(79,95/71,16)x1,74x688x365=490923</t>
    </r>
    <r>
      <rPr>
        <sz val="11"/>
        <color theme="1"/>
        <rFont val="Calibri"/>
        <family val="2"/>
        <scheme val="minor"/>
      </rPr>
      <t xml:space="preserve">. Siektina reikšmė paskaičiuota preliminariai, galutiniai skaičiavimai turėtų paaiškėti 2020 m. pabaigoje arba 2021 m. pradžioje, patvirtinus suplanuotas lėšas. </t>
    </r>
  </si>
  <si>
    <r>
      <t>Įdiegtos saugų eismą gerinančios ir aplinkosaugos priemonės/</t>
    </r>
    <r>
      <rPr>
        <sz val="11"/>
        <color rgb="FFFF0000"/>
        <rFont val="Calibri"/>
        <family val="2"/>
        <charset val="186"/>
        <scheme val="minor"/>
      </rPr>
      <t xml:space="preserve">Implemented traffic safety improvement and environmental protection measures </t>
    </r>
  </si>
  <si>
    <t>14</t>
  </si>
  <si>
    <r>
      <t>Įvertinus 2014-2020 m. laikotarpiu įgyvendintus projektus, kainų pokytį, skaičiuojama, kad vienos saugos ir aplinkosaugos priemonės įkainis yra 1 650 000 eurų. Šioms priemonėms įgyvendinti skiriama apie 22,2 proc. Intervencijos lėšų, todėl skaičiuojama, kad 2029 siektina reikšmė bus 105976470,59*0,222/1650000</t>
    </r>
    <r>
      <rPr>
        <sz val="11"/>
        <color theme="1"/>
        <rFont val="Calibri"/>
        <family val="2"/>
        <charset val="186"/>
      </rPr>
      <t>≈</t>
    </r>
    <r>
      <rPr>
        <sz val="11"/>
        <color theme="1"/>
        <rFont val="Calibri"/>
        <family val="2"/>
        <scheme val="minor"/>
      </rPr>
      <t>14.  Tarpinė 2024 m. reikšmė sudarys 20 proc., 14*0,2</t>
    </r>
    <r>
      <rPr>
        <sz val="11"/>
        <color theme="1"/>
        <rFont val="Calibri"/>
        <family val="2"/>
        <charset val="186"/>
      </rPr>
      <t>≈</t>
    </r>
    <r>
      <rPr>
        <sz val="11"/>
        <color theme="1"/>
        <rFont val="Calibri"/>
        <family val="2"/>
        <scheme val="minor"/>
      </rPr>
      <t>3. Pažymėtina, kad planuojamos siektinos reikšmės pateiktos preliminariai, galutinės reikšmės bus žinomos 2020 m. pabaigoje arba 2021 m. pradžioje.</t>
    </r>
  </si>
  <si>
    <t>After evaluating the completed projects of 2014-2020 period, the price change, it is estimated that the cost of one safety and environmental measure is 1,650,000 euros. About 22.2% is allocated for the implementation of these measures. Intervention funds, so it is estimated that the target value for 2029 will be 105976470.59 * 0.222 / 1650000≈14. Interim 2024 the value will be 20%, 14 * 0.2≈3. It should be noted that the planned target values ​​are presented tentatively, the final values ​​will be known in late 2020 or early 2021.</t>
  </si>
  <si>
    <t xml:space="preserve">Žuvusiųjų  keliuose skaičius </t>
  </si>
  <si>
    <t>Number/year</t>
  </si>
  <si>
    <t xml:space="preserve">Duomenys imami iš Nacionalinio pažangos plano. Reikia vertinti visų projektų visumą. Pagerinus kelių infrastruktūrą, įdiegus saugų eismą gerinančias priemones keliuose.  </t>
  </si>
  <si>
    <t>075 Cycling infrastructure</t>
  </si>
  <si>
    <t>RCO 58</t>
  </si>
  <si>
    <t>Dedicated cycling infrastructure supported</t>
  </si>
  <si>
    <r>
      <t>Remiantis planuojamu dviračių takų tiesimo įkainiu – 300000 Eur/1 km (ankstesnių analogiškų projektų įkainis, indeksuotas įvertinus kainos pokytį iki planuojamos darbų pradžios), skaičiuojama, kad planuojama siektina reikšmė 2029 m. bus  11764705,88/300000</t>
    </r>
    <r>
      <rPr>
        <sz val="11"/>
        <color theme="1"/>
        <rFont val="Calibri"/>
        <family val="2"/>
        <charset val="186"/>
      </rPr>
      <t>≈</t>
    </r>
    <r>
      <rPr>
        <sz val="11"/>
        <color theme="1"/>
        <rFont val="Calibri"/>
        <family val="2"/>
        <charset val="186"/>
        <scheme val="minor"/>
      </rPr>
      <t>39,22. 2024 m. planuojama pasiekti 50 proc., 39,22*0,5</t>
    </r>
    <r>
      <rPr>
        <sz val="11"/>
        <color theme="1"/>
        <rFont val="Calibri"/>
        <family val="2"/>
        <charset val="186"/>
      </rPr>
      <t>=19,61</t>
    </r>
    <r>
      <rPr>
        <sz val="11"/>
        <color theme="1"/>
        <rFont val="Calibri"/>
        <family val="2"/>
        <charset val="186"/>
        <scheme val="minor"/>
      </rPr>
      <t>.  Pažymėtina, kad planuojamos siektinos reikšmės pateiktos preliminariai, galutinės reikšmės bus žinomos 2020 m. pabaigoje arba 2021 m. pradžioje.</t>
    </r>
  </si>
  <si>
    <r>
      <rPr>
        <sz val="11"/>
        <color rgb="FFFF0000"/>
        <rFont val="Calibri"/>
        <family val="2"/>
        <charset val="186"/>
        <scheme val="minor"/>
      </rPr>
      <t xml:space="preserve">Based on the planned cost of construction of bicycle paths - 300000 Eur / 1 km (the cost of previous similar projects, indexed after estimating the price change before the planned start of works), </t>
    </r>
    <r>
      <rPr>
        <sz val="11"/>
        <color rgb="FF202124"/>
        <rFont val="Calibri"/>
        <family val="2"/>
        <charset val="186"/>
        <scheme val="minor"/>
      </rPr>
      <t>The target value for 2029 is calculated 11764705.88 / 300000≈39.22. 2024 it is planned to reach 50 percent in 2024 (39.22 * 0.5 = 19.61). t should be noted that  the target value ​​have been calculated preliminarily, the final calculations should be available in  early 2021.</t>
    </r>
  </si>
  <si>
    <t>RCR 64</t>
  </si>
  <si>
    <t>Annual users of dedicated cycling infrastructure</t>
  </si>
  <si>
    <t>Users/Year</t>
  </si>
  <si>
    <r>
      <t xml:space="preserve">Rodiklio apskaičiavimui buvo naudojami gyvenviečių, esančių prie planuojamų tiesti dviračių takų, gyventojų skaičius. Preliminariai dviračių takus planuojama tiesti prie 10 gyvenviečių, kuriose gyvena </t>
    </r>
    <r>
      <rPr>
        <sz val="11"/>
        <color rgb="FFFF0000"/>
        <rFont val="Calibri"/>
        <family val="2"/>
        <charset val="186"/>
      </rPr>
      <t>~</t>
    </r>
    <r>
      <rPr>
        <sz val="6.05"/>
        <color rgb="FFFF0000"/>
        <rFont val="Calibri"/>
        <family val="2"/>
        <charset val="186"/>
      </rPr>
      <t>32 500</t>
    </r>
    <r>
      <rPr>
        <sz val="11"/>
        <color rgb="FFFF0000"/>
        <rFont val="Calibri"/>
        <family val="2"/>
        <charset val="186"/>
        <scheme val="minor"/>
      </rPr>
      <t xml:space="preserve"> gyventojų. Daroma prielaida, kad įrengtais dviračių takais naudosis 40 proc. gyvenviečių gyventojų. Todėl skaičiuojama, kad siektina reikšmė  2029 m. 32500*0,40= 13 000. </t>
    </r>
  </si>
  <si>
    <r>
      <rPr>
        <sz val="11"/>
        <color rgb="FFFF0000"/>
        <rFont val="Calibri"/>
        <family val="2"/>
        <charset val="186"/>
        <scheme val="minor"/>
      </rPr>
      <t xml:space="preserve">The number of inhabitants of the settlements near the planned bicycle paths was used to calculate the indicator. Preliminary, it is planned to build bicycle paths near 10 settlements with a population of ~ 32,500. It is assumed that the installed bike paths will use 40 percent. population of settlements. </t>
    </r>
    <r>
      <rPr>
        <sz val="11"/>
        <color rgb="FF202124"/>
        <rFont val="Calibri"/>
        <family val="2"/>
        <charset val="186"/>
        <scheme val="minor"/>
      </rPr>
      <t xml:space="preserve"> The target value for  2029 is calculated  32500 * 0.40 </t>
    </r>
    <r>
      <rPr>
        <sz val="11"/>
        <color rgb="FFFF0000"/>
        <rFont val="Calibri"/>
        <family val="2"/>
        <charset val="186"/>
        <scheme val="minor"/>
      </rPr>
      <t>* 7 (investment period)</t>
    </r>
    <r>
      <rPr>
        <sz val="11"/>
        <color rgb="FF202124"/>
        <rFont val="Calibri"/>
        <family val="2"/>
        <charset val="186"/>
        <scheme val="minor"/>
      </rPr>
      <t xml:space="preserve"> = </t>
    </r>
    <r>
      <rPr>
        <sz val="11"/>
        <color rgb="FFFF0000"/>
        <rFont val="Calibri"/>
        <family val="2"/>
        <charset val="186"/>
        <scheme val="minor"/>
      </rPr>
      <t>91,000.</t>
    </r>
  </si>
  <si>
    <t>2021</t>
  </si>
  <si>
    <t>Įdiegtos saugų eismą gerinančios ir aplinkosaugos priemonės keliuose</t>
  </si>
  <si>
    <t>Skaičius per metus</t>
  </si>
  <si>
    <t>Action Veiksmas</t>
  </si>
  <si>
    <t>Rodiklis</t>
  </si>
  <si>
    <t xml:space="preserve">Rodiklio pradinė </t>
  </si>
  <si>
    <t>Duomenų šaltinis</t>
  </si>
  <si>
    <t>Rodiklio siektinų reikšmų apskaičiavimo metodika</t>
  </si>
  <si>
    <t>Finansinė proporcija (EU+ nacionalinis)(Eur.)</t>
  </si>
  <si>
    <t>reikšmė</t>
  </si>
  <si>
    <t>metai</t>
  </si>
  <si>
    <t>077 Alternative fuels infrastructure</t>
  </si>
  <si>
    <t>RCR 29</t>
  </si>
  <si>
    <t>Apskaičiuotas šiltnamio efektą sukeliančių dujų emisijos kiekis</t>
  </si>
  <si>
    <t>Tonos CO2 ekvivalentu per metus</t>
  </si>
  <si>
    <t>Plėtoti dviračių ir pėsčiųjų infrastruktūrą miestuose ir priemiesčiose, kurie neįgyvendina Darnaus judumo mieste planų</t>
  </si>
  <si>
    <r>
      <rPr>
        <b/>
        <sz val="11"/>
        <color rgb="FFFF0000"/>
        <rFont val="Calibri"/>
        <family val="2"/>
        <scheme val="minor"/>
      </rPr>
      <t>075</t>
    </r>
    <r>
      <rPr>
        <sz val="11"/>
        <color rgb="FFFF0000"/>
        <rFont val="Calibri"/>
        <family val="2"/>
        <scheme val="minor"/>
      </rPr>
      <t xml:space="preserve"> Cycling infrastructure</t>
    </r>
  </si>
  <si>
    <t xml:space="preserve">68             </t>
  </si>
  <si>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</si>
  <si>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</si>
  <si>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t>5 prioritetas</t>
  </si>
  <si>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</si>
  <si>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</si>
  <si>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Row ID</t>
  </si>
  <si>
    <t>Field</t>
  </si>
  <si>
    <t>Indicator metadata</t>
  </si>
  <si>
    <t>Fund relevance</t>
  </si>
  <si>
    <t xml:space="preserve">CF, ERDF </t>
  </si>
  <si>
    <t>P.S.</t>
  </si>
  <si>
    <t>Measurement unit</t>
  </si>
  <si>
    <t>number</t>
  </si>
  <si>
    <t>Type of indicator</t>
  </si>
  <si>
    <t>output</t>
  </si>
  <si>
    <t>&gt;=0</t>
  </si>
  <si>
    <t>&gt;0</t>
  </si>
  <si>
    <t>Policy objective</t>
  </si>
  <si>
    <t>PO2 Greener europe</t>
  </si>
  <si>
    <t>Specific objective</t>
  </si>
  <si>
    <t>RSO2.8 Urban mobility</t>
  </si>
  <si>
    <t>Definition and concepts</t>
  </si>
  <si>
    <t>The total number of implemented sustainable mobility measures financed through supported projects.</t>
  </si>
  <si>
    <t>Sustainable mobility is the possibility for persons to travel in a certain area based on the efficient use of resources and their availability (source: Guidelines for the preparation of sustainable urban mobility plans, approved by Order No. 3-108 (1.5 E) of the Minister of Transport and Communications of the Republic of Lithuania of 13 March 2015). Approval of guidelines for the development of sustainable urban mobility plans ").</t>
  </si>
  <si>
    <t>"Sustainable Mobility Facility" means a facility provided for in the Sustainable Urban Mobility Plan.</t>
  </si>
  <si>
    <t>Sustainable Urban Mobility Plan - a strategic planning document supplementing and detailing the solutions of the municipal territory master plan, prepared on the basis of approved territorial planning documents and municipal strategic plans, to perform comprehensive analysis of transport and human travel habits in the city, ensure sustainable urban mobility options, better quality of life in cities and their accesses and transport by all means of transport or on foot, giving priority to public passenger and non-motorized or low-emission transport (source: Guidelines for the preparation of sustainable urban mobility plans, approved by Order No. 3-108 of the Minister of Transport and Communications of the Republic of Lithuania of 13 March 2015). (1.5 E) "On the adoption of guidelines for the development of sustainable urban mobility plans").</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</si>
  <si>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</si>
  <si>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</si>
  <si>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</si>
  <si>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</si>
  <si>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</si>
  <si>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</si>
  <si>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</si>
  <si>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</si>
  <si>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</si>
  <si>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</si>
  <si>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 xml:space="preserve">The total number of purchased zero-emissions vehicles for the collective public transport  financed through supported projects.
</t>
  </si>
  <si>
    <t xml:space="preserve"> Public transport - a service for determining the route of passenger and freight transport, provided to all who apply.</t>
  </si>
  <si>
    <t>Vehicle - any self-propelled mechanism or combination of mechanisms for transporting passengers, luggage and / or cargo.</t>
  </si>
  <si>
    <t>Zero-emissions vehicle - electric or hydrogen powered vehicle.</t>
  </si>
  <si>
    <t>Population covered by projects in the framework of strategies for 
integrated territorial development (CF)</t>
  </si>
  <si>
    <t>persons</t>
  </si>
  <si>
    <t>Use in all policy objectives, whenever relevant</t>
  </si>
  <si>
    <t>Number of persons covered by projects supported by the Funds in the 
framework of strategies for integrated territorial development.</t>
  </si>
  <si>
    <t>Rule 1: Double counting removed at the level of the specific objective
Double counting of population covered by several projects for the same 
strategy in the same specific objective should be removed</t>
  </si>
  <si>
    <t>Strategies for integrated territorial development supported (CF)</t>
  </si>
  <si>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</si>
  <si>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Managing Authority monitoring system; Ad hoc Survey</t>
  </si>
  <si>
    <t>Upon completion of output of the first supported project under the 
territorial strategy</t>
  </si>
  <si>
    <t>Rule 1: Double counting removed at the level of the specific objective
A strategy supported through several projects in the same specific objective 
should be counted once.</t>
  </si>
  <si>
    <t>Rule 1: Reporting by specific objective
Forecast for selected projects and achieved values, both cumulative to date 
(CPR Annex VII, Table 3)</t>
  </si>
  <si>
    <t>Aggregating the values reported across specific objectives will count the 
number of contributions but not the (net) number of integrated territorial 
development strategies</t>
  </si>
  <si>
    <t xml:space="preserve">The calculations of the indicator are performed on the assumtions as  tCO2 eq savings:
-The AFI Directive foresees the electric vehicles and infrastructure having  synchronised development, meaning the same evolution type as it recommends a ratio of 10 between electric vehicles and infrastructure, therefore it is assumed that 1 charging point encourage the use of 10 electric vehicles. 
- diesel vehicles are replaced by electric vehicles; According to the data of The enviromental projects managemant agency, during 10 years period 10 years, the M1 class electric vehicle saves 87 t. CO2e;
- According to pratice in Europe, 1 recharching station=2 recharching points.
It is caculated that planned infrastructure will encourage the 1346*10=13460 electric vehicles. The vehicles will save 87*13460=1.117.020 tCO2 per 10 years. / 10=111.702 tCO2 ekv. per 1 year. This value is taken as a baseline in 2020. This indicator is calculated as tCO2eq savings, thereofre the target value for 2029 is 0. </t>
  </si>
  <si>
    <t xml:space="preserve">The calculations of the indicator are performed on the assumtions as a tCO2 ekv savings:
-The AFI Directive foresees the electric vehicles and infrastructure having  synchronised development, meaning the same evolution type as it recommends a ratio of 10 between electric vehicles and infrastructure, therefore it is assumed that 1 charging point encourage the use of 10 electric vehicles. 
- diesel vehicles are replaced by electric vehicles; According to the data of The enviromental projects managemant agency, during 10 years period 10 years, the M1 class electric vehicle saves 87 t. CO2e;
- According to pratice in Europe, 1 recharching station=2 recharching points.
It is caculated that planned infrastructure will encourage the 1605*10=16050 electric vehicles. The vehicles will save 87*16050=1396350 tCO2 per 10 years. / 10=139635 tCO2 ekv. per 1 year. This value is taken as a baseline in 2020. This indicator is calculated as tCO2eq savings, thereofre the target value for 2029 is 0. </t>
  </si>
  <si>
    <t>Total</t>
  </si>
  <si>
    <r>
      <t xml:space="preserve">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3 biggest cities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t>
    </r>
    <r>
      <rPr>
        <sz val="11"/>
        <rFont val="Calibri"/>
        <family val="2"/>
      </rPr>
      <t>≈</t>
    </r>
    <r>
      <rPr>
        <sz val="11"/>
        <rFont val="Calibri"/>
        <family val="2"/>
        <scheme val="minor"/>
      </rPr>
      <t xml:space="preserve"> 2.
2024 target value = 0 due to the complexity of planning and implementation of integrated strategies (multiple sectors, multiple territories, multiple levels of governance).</t>
    </r>
  </si>
  <si>
    <r>
      <rPr>
        <sz val="11"/>
        <color rgb="FF000000"/>
        <rFont val="Calibri"/>
        <family val="2"/>
        <charset val="186"/>
        <scheme val="minor"/>
      </rPr>
      <t xml:space="preserve">The tariff of 1 km cycling infrastructure in the city - 450.000 Eur determined accoording to the data of projects implemented in 2014-2020 period by measure  no. 04.5.1-TID-R-516 "Reconstruction and development of pedestrian and bicycle paths" in Priority 4 "Promoting energy efficiency and the production and use of energy from renewable sources".
The target value for 2029 is calculated 26.470.588,24 / 450.000≈59.The planning of the implementation (including deadlines) of traffic safety improvement measures is carried out in the way of regional planning and is not influenced by the Ministry of Transport and Communications, it is assumed that   20 percent  will be reached in 2024 (59* 0.2 </t>
    </r>
    <r>
      <rPr>
        <sz val="11"/>
        <color rgb="FF000000"/>
        <rFont val="Calibri"/>
        <family val="2"/>
        <charset val="186"/>
      </rPr>
      <t>≈12</t>
    </r>
    <r>
      <rPr>
        <sz val="11"/>
        <color rgb="FF000000"/>
        <rFont val="Calibri"/>
        <family val="2"/>
        <charset val="186"/>
        <scheme val="minor"/>
      </rPr>
      <t xml:space="preserve">). 
</t>
    </r>
  </si>
  <si>
    <t>189 906</t>
  </si>
  <si>
    <r>
      <t>It is planned  to develop the alternative fuels refuelling/recharging infrastructure. All infrastructure tariffs were set according to the market and online research, oral surveys of electric vehicle charging station manufacturers / representatives / operators, analysis of information on the infrastructure actually available on the market, consultations with the Ministry of Energy.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 refuelling infrastructure, it is provided the oppurtunity of EU funding  for the installation of hydrogen  refuelling infrastructure in favorable circumstances.
According to the modeling of the nationwide distribution of electric vehicle charging infrastructure, it is planned  to develop the charging infrastructure for electric vehicles of various capacities.
1. It is planned to allocate 38,46 % for r</t>
    </r>
    <r>
      <rPr>
        <u/>
        <sz val="11"/>
        <rFont val="Calibri"/>
        <family val="2"/>
        <charset val="186"/>
        <scheme val="minor"/>
      </rPr>
      <t>egional planning</t>
    </r>
    <r>
      <rPr>
        <sz val="11"/>
        <rFont val="Calibri"/>
        <family val="2"/>
        <charset val="186"/>
        <scheme val="minor"/>
      </rPr>
      <t xml:space="preserve"> ( (0,3846153*7.647.059≈2.941.176).
It is planned to allocate 23 % of intervention investments to develop the alernative fuels refuelling/recharging infrastructure for public transport (0,23*2.941.176=676.471). The tariff of public transport recharching equipment is about 275 00 Eur. The tariff of public transport hydrogen refulleng equipment could be about 1 100 000 Eur. It is assumed that hydrogen refuelling infrastructure could account  5 % of public transport refuelling/recharching infrastructure  planned to be install. It is calculated, that can be acquired 676.471/((0,95*275.000)+(0,05*1.100.000))≈2 recharching/refuelling equipments.
It is planned to allocate 77 % of the intervention investments to the public charging infrastructure (0,77*2.941.176=2.264.706). it is planned to install public high-capacity (49.1-150KW) charging stations (42% of public infrastructure investments) and conventional / medium-capacity charging stations (58% of public infrastructure investments). The tariff of  these stations (with equipment) respectively are 38 500 EUR and 13 200 EUR. It is calculated, that will be installed  (0,42*2.264.706/38.500)+(0,58*2.264.706/13.200)≈124 recharching stations. According to pratice in Europe, 1 recharching station=2 recharching points. Therefore wiil be  124*2=248 recharching points.</t>
    </r>
    <r>
      <rPr>
        <strike/>
        <sz val="11"/>
        <rFont val="Calibri"/>
        <family val="2"/>
        <charset val="186"/>
        <scheme val="minor"/>
      </rPr>
      <t xml:space="preserve">
</t>
    </r>
    <r>
      <rPr>
        <sz val="11"/>
        <rFont val="Calibri"/>
        <family val="2"/>
        <charset val="186"/>
        <scheme val="minor"/>
      </rPr>
      <t>2</t>
    </r>
    <r>
      <rPr>
        <sz val="11"/>
        <color rgb="FFFF0000"/>
        <rFont val="Calibri"/>
        <family val="2"/>
        <scheme val="minor"/>
      </rPr>
      <t xml:space="preserve">. </t>
    </r>
    <r>
      <rPr>
        <sz val="11"/>
        <rFont val="Calibri"/>
        <family val="2"/>
        <scheme val="minor"/>
      </rPr>
      <t>It is planned to allocate 61,54% f</t>
    </r>
    <r>
      <rPr>
        <u/>
        <sz val="11"/>
        <rFont val="Calibri"/>
        <family val="2"/>
        <scheme val="minor"/>
      </rPr>
      <t>or  financial instrument</t>
    </r>
    <r>
      <rPr>
        <sz val="11"/>
        <rFont val="Calibri"/>
        <family val="2"/>
        <scheme val="minor"/>
      </rPr>
      <t xml:space="preserve"> (0,6153847*7.647.059≈4.705.883).There is no experience in this area, therefore it is considered that the financial instrument  could be shaped by an assessment of state aid provisions (40 % EU part  and 60 % LTU part). It is planned EU investments part could be 4.000.000 Eur</t>
    </r>
    <r>
      <rPr>
        <strike/>
        <sz val="11"/>
        <rFont val="Calibri"/>
        <family val="2"/>
        <scheme val="minor"/>
      </rPr>
      <t xml:space="preserve"> (50 % dotation and 50 % loan)</t>
    </r>
    <r>
      <rPr>
        <sz val="11"/>
        <rFont val="Calibri"/>
        <family val="2"/>
        <scheme val="minor"/>
      </rPr>
      <t>. The  required investment is calculated (4.000.000/0,4*0,6)+4.000.0000=10.000.000 Eur. it is planned to install public high-capacity (49.1-150KW) charging stations (42% of public infrastructure investments) and conventional / medium-capacity charging stations (58% of public infrastructure investments). The tariff of  these stations (with equipment) respectively are 38 000 EUR and 13 200 EUR. It is calculated, that will be installed (0,42*10.000.000/38.500)+(0,58*10.000.000/13.200)</t>
    </r>
    <r>
      <rPr>
        <sz val="11"/>
        <rFont val="Calibri"/>
        <family val="2"/>
      </rPr>
      <t>≈</t>
    </r>
    <r>
      <rPr>
        <sz val="11"/>
        <rFont val="Calibri"/>
        <family val="2"/>
        <scheme val="minor"/>
      </rPr>
      <t>548 recharching stations. According to pratice in Europe, 1 recharching station=2 recharching points. Therefore wiil be 2*548=1096 recharching points.</t>
    </r>
    <r>
      <rPr>
        <sz val="11"/>
        <rFont val="Calibri"/>
        <family val="2"/>
        <charset val="186"/>
        <scheme val="minor"/>
      </rPr>
      <t xml:space="preserve">
The target value for 2029 is calculated  2+248+1096=1346.  The planning of the implementation (including deadlines) of the projecs largely is carried out in the way of regional planning  and is not influenced by the Ministry of Transport and Communications and according finacial instrument (planned in the second half of the period) , it is assumed that the milestone value will be 10 percent in 2024 (1346* 0.1≈135). </t>
    </r>
  </si>
  <si>
    <r>
      <rPr>
        <sz val="11"/>
        <rFont val="Calibri"/>
        <family val="2"/>
        <scheme val="minor"/>
      </rPr>
      <t xml:space="preserve">It is planned  to develop the alternative fuels refuelling/recharging infrastructure. All infrastructure tariffs were set according to the market, online research, oral surveys of electric vehicle charging station manufacturers / representatives / operators, analysis of information on the infrastructure actually available on the market, consultations with the Ministry of Energy.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 refuelling infrastructure, it is provided the oppurtunity of EU funding  for the installation of hydrogen  refuelling infrastructure in favorable circumstances.
According to the modeling of the nationwide distribution of electric vehicle charging infrastructure, it is planned  to develop the charging infrastructure for electric vehicles of various capacities.
1. It is planned to allocate 69.30 % for </t>
    </r>
    <r>
      <rPr>
        <u/>
        <sz val="11"/>
        <rFont val="Calibri"/>
        <family val="2"/>
        <scheme val="minor"/>
      </rPr>
      <t>regional planning</t>
    </r>
    <r>
      <rPr>
        <sz val="11"/>
        <rFont val="Calibri"/>
        <family val="2"/>
        <scheme val="minor"/>
      </rPr>
      <t xml:space="preserve"> ( (0,69309460*23.000.000</t>
    </r>
    <r>
      <rPr>
        <sz val="11"/>
        <rFont val="Calibri"/>
        <family val="2"/>
      </rPr>
      <t>≈</t>
    </r>
    <r>
      <rPr>
        <sz val="11"/>
        <rFont val="Calibri"/>
        <family val="2"/>
        <scheme val="minor"/>
      </rPr>
      <t xml:space="preserve">15.941.176).
It is planned to allocate 54% of intervention investments to develop the alernative fuels refuelling/recharging infrastructure for public transport (0,54*15.941.176=8.608.235). The tariff of public transport recharching equipment is about 275 000 Eur. The tariff of public transport hydrogen refulleng equipment could be about 1 100 000 Eur. It is assumed that hydrogen refuelling infrastructure could account  5 % of public transport refuelling/recharching infrastructure planned to be install. It is calculated, that can be acquired 8.608.235/((0,95*275.000)+(0,05*1100000))≈27 recharching/refuelling equipments.
It is planned to allocate 46% of the intervention investments to the public charging infrastructure (0,46*15.941.176=7.332.941). it is planned to install public high-capacity (49.1-150KW) charging stations (42% of public infrastructure investments) and conventional / medium-capacity charging stations (58% of public infrastructure investments). The tariff of  these stations (with equipment) respectively are 38 500 EUR and 13 200 EUR. It is calculated, that will be installed (0,42*7.332.941/38.500)+(0,58*7.332.941/13.200)=402 recharching stations. According to pratice in Europe, 1 recharching station=2 recharching points. Therefore wiil be 2*402=804  recharching points.
2.  It is planned to allocate 30.70% for </t>
    </r>
    <r>
      <rPr>
        <u/>
        <sz val="11"/>
        <rFont val="Calibri"/>
        <family val="2"/>
        <scheme val="minor"/>
      </rPr>
      <t xml:space="preserve">state planning </t>
    </r>
    <r>
      <rPr>
        <sz val="11"/>
        <rFont val="Calibri"/>
        <family val="2"/>
        <scheme val="minor"/>
      </rPr>
      <t xml:space="preserve">( (0,30690539*23.000.000≈7.058.824).
it is planned to install public high-capacity (49.1-150KW) charging stations (42% of public infrastructure investments) and conventional / medium-capacity charging stations (58% of public infrastructure investments). The tariff of  these stations (with equipment) respectively are 38 500 EUR and 13 200 EUR. It is calculated, that will be installed (0,42*7.058.824/38.500)+(0,58*7.058.824/13.200)=387 recharching stations. According to pratice in Europe, 1 recharching station=2 recharching points. Therefore wiil be 2*387=774 recharching points.
The target value for 2029 is calculated  27+804+774=1605. The planning of the implementation (including deadlines) of the projecs more than half  is carried out in the way of regional planning and is not influenced by the Ministry of Transport and Communications, it is assumed  that the milestone value will be 10 percent in 2024 (1605 * 0.1≈161). </t>
    </r>
  </si>
  <si>
    <t>The number of cycle path users is calculated based on the current and planned modal split of medium-sized cities with DJMP. In 2018, a representative survey of the population of municipalities was conducted, during which it was established that the number of bicycle users is 5.6 per cent. The DJMP sets a target of 13.5 percent of bicycle users by 2030. The percentage change is evenly distributed over the loss, and is set at 6.9 percent in 2020 and 12.8 percent in 2029.The number of inhabitants of municipalities, which have SUMPS (only Vilnius has SUMP in Capital region) is used to calculate the indicator.
According to the data of the Center of Registers, the population of Vilnius in 2020 was 588.412. The baseline in 2020 is calculated 588 412*0,069≈40.600. According to the forecast of the Department of Statistics due to the decrease in the number of inhabitants (7.6 per cent), in 2030 the population of Vilnius will be 543.693 inhabitants. The target value for 2029 is calculated  543.693*0,128≈69.593.</t>
  </si>
  <si>
    <t>Justification for the proposed change 2025-12</t>
  </si>
  <si>
    <r>
      <t xml:space="preserve">The calculations of the indicator are performed on the basis of the calculations of National energy and climate action plan (NECP)  T24 measure "Reduction of traffic congestion through traffic management solutions". According to the data of measure the baseline value in 2020 is 954409,2 tCO2 eq/eyar. This value is  divided proportionally according to the number of sustainable mobility measures planned to be implemented in the regions </t>
    </r>
    <r>
      <rPr>
        <sz val="11"/>
        <rFont val="Calibri"/>
        <family val="2"/>
        <scheme val="minor"/>
      </rPr>
      <t>(</t>
    </r>
    <r>
      <rPr>
        <sz val="11"/>
        <rFont val="Calibri"/>
        <family val="2"/>
      </rPr>
      <t>~89</t>
    </r>
    <r>
      <rPr>
        <sz val="11"/>
        <rFont val="Calibri"/>
        <family val="2"/>
        <charset val="186"/>
        <scheme val="minor"/>
      </rPr>
      <t xml:space="preserve"> % (31 sustainable mobility measures implemented) MWL and 11 %  (4 sustainable mobility measures implemented) WR).  The indicator baseline value is calculated 954409,2*0,89≈849424. I It is projected that in 2029 GHG  will be 530227,4 tCO2eq/year in NECP T24 measure. Therefore the target value for 2029 m is calculated  530227,4*0,89≈471902.</t>
    </r>
  </si>
  <si>
    <r>
      <t>The calculations of the indicator are performed on the basis of the calculations of National energy and climate action plan (NECP)  T24 measure "Reduction of traffic congestion through traffic management solutions". According to the data of measure the baseline value in 2020 is 954 409,2 tCO2 eq/eyar. This value is  divided proportionally according to the number of sustainable mobility measures planned to be implemented in the regions  (~</t>
    </r>
    <r>
      <rPr>
        <strike/>
        <sz val="11"/>
        <rFont val="Calibri"/>
        <family val="2"/>
        <scheme val="minor"/>
      </rPr>
      <t>89</t>
    </r>
    <r>
      <rPr>
        <sz val="11"/>
        <rFont val="Calibri"/>
        <family val="2"/>
        <scheme val="minor"/>
      </rPr>
      <t xml:space="preserve"> </t>
    </r>
    <r>
      <rPr>
        <b/>
        <sz val="11"/>
        <rFont val="Calibri"/>
        <family val="2"/>
        <scheme val="minor"/>
      </rPr>
      <t>96</t>
    </r>
    <r>
      <rPr>
        <sz val="11"/>
        <rFont val="Calibri"/>
        <family val="2"/>
        <scheme val="minor"/>
      </rPr>
      <t xml:space="preserve"> % (</t>
    </r>
    <r>
      <rPr>
        <strike/>
        <sz val="11"/>
        <rFont val="Calibri"/>
        <family val="2"/>
        <scheme val="minor"/>
      </rPr>
      <t>31</t>
    </r>
    <r>
      <rPr>
        <sz val="11"/>
        <rFont val="Calibri"/>
        <family val="2"/>
        <scheme val="minor"/>
      </rPr>
      <t xml:space="preserve"> </t>
    </r>
    <r>
      <rPr>
        <b/>
        <sz val="11"/>
        <rFont val="Calibri"/>
        <family val="2"/>
        <scheme val="minor"/>
      </rPr>
      <t>26</t>
    </r>
    <r>
      <rPr>
        <sz val="11"/>
        <rFont val="Calibri"/>
        <family val="2"/>
        <scheme val="minor"/>
      </rPr>
      <t xml:space="preserve"> sustainable mobility measures implemented) MWL and </t>
    </r>
    <r>
      <rPr>
        <strike/>
        <sz val="11"/>
        <rFont val="Calibri"/>
        <family val="2"/>
        <scheme val="minor"/>
      </rPr>
      <t>11</t>
    </r>
    <r>
      <rPr>
        <sz val="11"/>
        <rFont val="Calibri"/>
        <family val="2"/>
        <scheme val="minor"/>
      </rPr>
      <t xml:space="preserve"> </t>
    </r>
    <r>
      <rPr>
        <b/>
        <sz val="11"/>
        <rFont val="Calibri"/>
        <family val="2"/>
        <scheme val="minor"/>
      </rPr>
      <t>4</t>
    </r>
    <r>
      <rPr>
        <sz val="11"/>
        <rFont val="Calibri"/>
        <family val="2"/>
        <scheme val="minor"/>
      </rPr>
      <t xml:space="preserve"> %  (</t>
    </r>
    <r>
      <rPr>
        <strike/>
        <sz val="11"/>
        <rFont val="Calibri"/>
        <family val="2"/>
        <scheme val="minor"/>
      </rPr>
      <t>4</t>
    </r>
    <r>
      <rPr>
        <sz val="11"/>
        <rFont val="Calibri"/>
        <family val="2"/>
        <scheme val="minor"/>
      </rPr>
      <t xml:space="preserve"> </t>
    </r>
    <r>
      <rPr>
        <b/>
        <sz val="11"/>
        <rFont val="Calibri"/>
        <family val="2"/>
        <scheme val="minor"/>
      </rPr>
      <t>1</t>
    </r>
    <r>
      <rPr>
        <sz val="11"/>
        <rFont val="Calibri"/>
        <family val="2"/>
        <scheme val="minor"/>
      </rPr>
      <t xml:space="preserve"> sustainable mobility measures implemented) WR).  The indicator baseline value is calculated 954 409,2*</t>
    </r>
    <r>
      <rPr>
        <strike/>
        <sz val="11"/>
        <rFont val="Calibri"/>
        <family val="2"/>
        <scheme val="minor"/>
      </rPr>
      <t>0,89</t>
    </r>
    <r>
      <rPr>
        <b/>
        <sz val="11"/>
        <rFont val="Calibri"/>
        <family val="2"/>
        <scheme val="minor"/>
      </rPr>
      <t xml:space="preserve"> 0,96</t>
    </r>
    <r>
      <rPr>
        <sz val="11"/>
        <rFont val="Calibri"/>
        <family val="2"/>
      </rPr>
      <t xml:space="preserve">≈ </t>
    </r>
    <r>
      <rPr>
        <strike/>
        <sz val="11"/>
        <rFont val="Calibri"/>
        <family val="2"/>
      </rPr>
      <t>849424</t>
    </r>
    <r>
      <rPr>
        <sz val="11"/>
        <rFont val="Calibri"/>
        <family val="2"/>
      </rPr>
      <t xml:space="preserve"> </t>
    </r>
    <r>
      <rPr>
        <b/>
        <sz val="11"/>
        <rFont val="Calibri"/>
        <family val="2"/>
      </rPr>
      <t>916 233</t>
    </r>
    <r>
      <rPr>
        <sz val="11"/>
        <rFont val="Calibri"/>
        <family val="2"/>
        <scheme val="minor"/>
      </rPr>
      <t>. In T24 measure It is projected that in 2029 GHG  will be 530 227,4 tCO2eq/year. Therefore the target value for 2029 m is calculated  530 227,4*</t>
    </r>
    <r>
      <rPr>
        <strike/>
        <sz val="11"/>
        <rFont val="Calibri"/>
        <family val="2"/>
        <scheme val="minor"/>
      </rPr>
      <t>0,89</t>
    </r>
    <r>
      <rPr>
        <sz val="11"/>
        <rFont val="Calibri"/>
        <family val="2"/>
        <scheme val="minor"/>
      </rPr>
      <t xml:space="preserve"> </t>
    </r>
    <r>
      <rPr>
        <b/>
        <sz val="11"/>
        <rFont val="Calibri"/>
        <family val="2"/>
        <scheme val="minor"/>
      </rPr>
      <t>0,96</t>
    </r>
    <r>
      <rPr>
        <sz val="11"/>
        <rFont val="Calibri"/>
        <family val="2"/>
        <scheme val="minor"/>
      </rPr>
      <t>≈</t>
    </r>
    <r>
      <rPr>
        <strike/>
        <sz val="11"/>
        <rFont val="Calibri"/>
        <family val="2"/>
        <scheme val="minor"/>
      </rPr>
      <t>471902</t>
    </r>
    <r>
      <rPr>
        <sz val="11"/>
        <rFont val="Calibri"/>
        <family val="2"/>
        <scheme val="minor"/>
      </rPr>
      <t xml:space="preserve"> </t>
    </r>
    <r>
      <rPr>
        <b/>
        <sz val="11"/>
        <rFont val="Calibri"/>
        <family val="2"/>
        <scheme val="minor"/>
      </rPr>
      <t>509 018</t>
    </r>
    <r>
      <rPr>
        <sz val="11"/>
        <rFont val="Calibri"/>
        <family val="2"/>
        <scheme val="minor"/>
      </rPr>
      <t>.</t>
    </r>
  </si>
  <si>
    <r>
      <t xml:space="preserve">The tariff of 1 implemented sustainable mobility measures </t>
    </r>
    <r>
      <rPr>
        <strike/>
        <sz val="11"/>
        <color rgb="FF000000"/>
        <rFont val="Calibri"/>
        <family val="2"/>
        <scheme val="minor"/>
      </rPr>
      <t>protection is ~1 900 000 Eur is determined accoording to the data of projects implemented in 2014-2020 period by measure no. 04.5.1-TID-R-514 "Implementation of sustainable mobility measures" in Priority 4 "Promoting energy efficiency and the production and use of energy from renewable sources"</t>
    </r>
    <r>
      <rPr>
        <sz val="11"/>
        <color rgb="FF000000"/>
        <rFont val="Calibri"/>
        <family val="2"/>
        <scheme val="minor"/>
      </rPr>
      <t xml:space="preserve"> </t>
    </r>
    <r>
      <rPr>
        <b/>
        <sz val="11"/>
        <color rgb="FF000000"/>
        <rFont val="Calibri"/>
        <family val="2"/>
        <scheme val="minor"/>
      </rPr>
      <t xml:space="preserve"> is on average </t>
    </r>
    <r>
      <rPr>
        <b/>
        <sz val="11"/>
        <rFont val="Calibri"/>
        <family val="2"/>
        <scheme val="minor"/>
      </rPr>
      <t>~1 108 597</t>
    </r>
    <r>
      <rPr>
        <b/>
        <sz val="11"/>
        <color rgb="FF000000"/>
        <rFont val="Calibri"/>
        <family val="2"/>
        <scheme val="minor"/>
      </rPr>
      <t xml:space="preserve"> Eu</t>
    </r>
    <r>
      <rPr>
        <sz val="11"/>
        <color rgb="FF000000"/>
        <rFont val="Calibri"/>
        <family val="2"/>
        <scheme val="minor"/>
      </rPr>
      <t>r</t>
    </r>
    <r>
      <rPr>
        <b/>
        <sz val="11"/>
        <color rgb="FF000000"/>
        <rFont val="Calibri"/>
        <family val="2"/>
        <scheme val="minor"/>
      </rPr>
      <t xml:space="preserve"> and is determined accoording to the data of the Region's Development Plans and projects planned for implementation</t>
    </r>
    <r>
      <rPr>
        <sz val="11"/>
        <color rgb="FF000000"/>
        <rFont val="Calibri"/>
        <family val="2"/>
        <scheme val="minor"/>
      </rPr>
      <t xml:space="preserve">. 
The target value for 2029 is calculated as </t>
    </r>
    <r>
      <rPr>
        <strike/>
        <sz val="11"/>
        <color rgb="FF000000"/>
        <rFont val="Calibri"/>
        <family val="2"/>
        <scheme val="minor"/>
      </rPr>
      <t xml:space="preserve">59.429.651,76/1 900 000≈31 </t>
    </r>
    <r>
      <rPr>
        <b/>
        <sz val="11"/>
        <color rgb="FF000000"/>
        <rFont val="Calibri"/>
        <family val="2"/>
        <scheme val="minor"/>
      </rPr>
      <t>28 823 529 / 1 108 597 ≈26</t>
    </r>
    <r>
      <rPr>
        <sz val="11"/>
        <color rgb="FF000000"/>
        <rFont val="Calibri"/>
        <family val="2"/>
        <scheme val="minor"/>
      </rPr>
      <t xml:space="preserve">. The planning of the implementation (including deadlines) of sustainable mobility measures is carried out in the way of regional planning and is not influenced by the Ministry of Transport and Communications, </t>
    </r>
    <r>
      <rPr>
        <strike/>
        <sz val="11"/>
        <color rgb="FF000000"/>
        <rFont val="Calibri"/>
        <family val="2"/>
        <scheme val="minor"/>
      </rPr>
      <t xml:space="preserve"> it is assumed that  the milestone value will be 10 percent in 2024 (31 * 0.1≈3)</t>
    </r>
    <r>
      <rPr>
        <sz val="11"/>
        <color rgb="FF000000"/>
        <rFont val="Calibri"/>
        <family val="2"/>
        <scheme val="minor"/>
      </rPr>
      <t xml:space="preserve">.
</t>
    </r>
    <r>
      <rPr>
        <b/>
        <sz val="11"/>
        <color rgb="FF000000"/>
        <rFont val="Calibri"/>
        <family val="2"/>
        <scheme val="minor"/>
      </rPr>
      <t>2024 milestone remains the same.</t>
    </r>
  </si>
  <si>
    <r>
      <t>The calculations of the indicator are performed on the basis of the calculations of National energy and climate action plan (NECP)  T24 measure "Reduction of traffic congestion through traffic management solutions". According to the data of measure the baseline value in 2020 is 954 409,2 tCO2 eq/eyar. This value is  divided proportionally according to the number of sustainable mobility measures planned to be implemented in the regions  (~</t>
    </r>
    <r>
      <rPr>
        <strike/>
        <sz val="11"/>
        <rFont val="Calibri"/>
        <family val="2"/>
        <scheme val="minor"/>
      </rPr>
      <t>89</t>
    </r>
    <r>
      <rPr>
        <sz val="11"/>
        <rFont val="Calibri"/>
        <family val="2"/>
        <scheme val="minor"/>
      </rPr>
      <t xml:space="preserve"> </t>
    </r>
    <r>
      <rPr>
        <b/>
        <sz val="11"/>
        <rFont val="Calibri"/>
        <family val="2"/>
        <scheme val="minor"/>
      </rPr>
      <t>96</t>
    </r>
    <r>
      <rPr>
        <sz val="11"/>
        <rFont val="Calibri"/>
        <family val="2"/>
        <scheme val="minor"/>
      </rPr>
      <t xml:space="preserve"> % (</t>
    </r>
    <r>
      <rPr>
        <strike/>
        <sz val="11"/>
        <rFont val="Calibri"/>
        <family val="2"/>
        <scheme val="minor"/>
      </rPr>
      <t>31</t>
    </r>
    <r>
      <rPr>
        <sz val="11"/>
        <rFont val="Calibri"/>
        <family val="2"/>
        <scheme val="minor"/>
      </rPr>
      <t xml:space="preserve"> </t>
    </r>
    <r>
      <rPr>
        <b/>
        <sz val="11"/>
        <rFont val="Calibri"/>
        <family val="2"/>
        <scheme val="minor"/>
      </rPr>
      <t>26</t>
    </r>
    <r>
      <rPr>
        <sz val="11"/>
        <rFont val="Calibri"/>
        <family val="2"/>
        <scheme val="minor"/>
      </rPr>
      <t xml:space="preserve"> sustainable mobility measures implemented) MWL and </t>
    </r>
    <r>
      <rPr>
        <strike/>
        <sz val="11"/>
        <rFont val="Calibri"/>
        <family val="2"/>
        <scheme val="minor"/>
      </rPr>
      <t>11</t>
    </r>
    <r>
      <rPr>
        <sz val="11"/>
        <rFont val="Calibri"/>
        <family val="2"/>
        <scheme val="minor"/>
      </rPr>
      <t xml:space="preserve"> </t>
    </r>
    <r>
      <rPr>
        <b/>
        <sz val="11"/>
        <rFont val="Calibri"/>
        <family val="2"/>
        <scheme val="minor"/>
      </rPr>
      <t>4</t>
    </r>
    <r>
      <rPr>
        <sz val="11"/>
        <rFont val="Calibri"/>
        <family val="2"/>
        <scheme val="minor"/>
      </rPr>
      <t xml:space="preserve"> %  (</t>
    </r>
    <r>
      <rPr>
        <strike/>
        <sz val="11"/>
        <rFont val="Calibri"/>
        <family val="2"/>
        <scheme val="minor"/>
      </rPr>
      <t>4</t>
    </r>
    <r>
      <rPr>
        <sz val="11"/>
        <rFont val="Calibri"/>
        <family val="2"/>
        <scheme val="minor"/>
      </rPr>
      <t xml:space="preserve"> </t>
    </r>
    <r>
      <rPr>
        <b/>
        <sz val="11"/>
        <rFont val="Calibri"/>
        <family val="2"/>
        <scheme val="minor"/>
      </rPr>
      <t>1</t>
    </r>
    <r>
      <rPr>
        <sz val="11"/>
        <rFont val="Calibri"/>
        <family val="2"/>
        <scheme val="minor"/>
      </rPr>
      <t xml:space="preserve"> sustainable mobility measures implemented) WR).  The indicator baseline value is calculated 954 409,2*</t>
    </r>
    <r>
      <rPr>
        <strike/>
        <sz val="11"/>
        <rFont val="Calibri"/>
        <family val="2"/>
        <scheme val="minor"/>
      </rPr>
      <t>0,11</t>
    </r>
    <r>
      <rPr>
        <sz val="11"/>
        <rFont val="Calibri"/>
        <family val="2"/>
        <scheme val="minor"/>
      </rPr>
      <t xml:space="preserve"> </t>
    </r>
    <r>
      <rPr>
        <b/>
        <sz val="11"/>
        <rFont val="Calibri"/>
        <family val="2"/>
        <scheme val="minor"/>
      </rPr>
      <t>0,04</t>
    </r>
    <r>
      <rPr>
        <sz val="11"/>
        <rFont val="Calibri"/>
        <family val="2"/>
      </rPr>
      <t>≈</t>
    </r>
    <r>
      <rPr>
        <strike/>
        <sz val="11"/>
        <rFont val="Calibri"/>
        <family val="2"/>
      </rPr>
      <t>104985</t>
    </r>
    <r>
      <rPr>
        <sz val="11"/>
        <rFont val="Calibri"/>
        <family val="2"/>
      </rPr>
      <t xml:space="preserve"> </t>
    </r>
    <r>
      <rPr>
        <b/>
        <sz val="11"/>
        <rFont val="Calibri"/>
        <family val="2"/>
      </rPr>
      <t>38 176</t>
    </r>
    <r>
      <rPr>
        <sz val="11"/>
        <rFont val="Calibri"/>
        <family val="2"/>
        <scheme val="minor"/>
      </rPr>
      <t>. In T24 measure It is projected that in 2029 GHG  will be 530 227,4 tCO2eq/year. Therefore the target value for 2029 m is calculated  530 227,4*</t>
    </r>
    <r>
      <rPr>
        <strike/>
        <sz val="11"/>
        <rFont val="Calibri"/>
        <family val="2"/>
        <scheme val="minor"/>
      </rPr>
      <t>0,11</t>
    </r>
    <r>
      <rPr>
        <sz val="11"/>
        <rFont val="Calibri"/>
        <family val="2"/>
        <scheme val="minor"/>
      </rPr>
      <t xml:space="preserve"> </t>
    </r>
    <r>
      <rPr>
        <b/>
        <sz val="11"/>
        <rFont val="Calibri"/>
        <family val="2"/>
        <scheme val="minor"/>
      </rPr>
      <t>0,04</t>
    </r>
    <r>
      <rPr>
        <sz val="11"/>
        <rFont val="Calibri"/>
        <family val="2"/>
        <scheme val="minor"/>
      </rPr>
      <t>≈</t>
    </r>
    <r>
      <rPr>
        <strike/>
        <sz val="11"/>
        <rFont val="Calibri"/>
        <family val="2"/>
        <scheme val="minor"/>
      </rPr>
      <t>58325</t>
    </r>
    <r>
      <rPr>
        <sz val="11"/>
        <rFont val="Calibri"/>
        <family val="2"/>
        <scheme val="minor"/>
      </rPr>
      <t xml:space="preserve"> </t>
    </r>
    <r>
      <rPr>
        <b/>
        <sz val="11"/>
        <rFont val="Calibri"/>
        <family val="2"/>
        <scheme val="minor"/>
      </rPr>
      <t>21 209</t>
    </r>
    <r>
      <rPr>
        <sz val="11"/>
        <rFont val="Calibri"/>
        <family val="2"/>
        <scheme val="minor"/>
      </rPr>
      <t>.</t>
    </r>
  </si>
  <si>
    <r>
      <rPr>
        <strike/>
        <sz val="11"/>
        <rFont val="Calibri"/>
        <family val="2"/>
        <scheme val="minor"/>
      </rPr>
      <t xml:space="preserve">The tariff of  1  implemented sustainable mobility measures protection is ~1 900 000 Eur is determined accoording to the data of projects implemented in 2014-2020 period by measure  no. 04.5.1-TID-R-514 "Implementation of sustainable mobility measures" in Priority 4 "Promoting energy efficiency and the production and use of energy from renewable sources".  
The target value fot 2029 is calculated  7.058.823,53/1 900 000≈4.  
</t>
    </r>
    <r>
      <rPr>
        <b/>
        <sz val="11"/>
        <rFont val="Calibri"/>
        <family val="2"/>
        <scheme val="minor"/>
      </rPr>
      <t>The target value for 2029 is calculated and based on the number of sustainable mobility measures planned for implementation in the Vilnius Region Development Plan and their preliminary cost. 1 measure worth approximately 3 510 000 Eur. The target value for 2029 is 1.</t>
    </r>
    <r>
      <rPr>
        <sz val="11"/>
        <rFont val="Calibri"/>
        <family val="2"/>
        <scheme val="minor"/>
      </rPr>
      <t xml:space="preserve">
The planning of the implementation (including deadlines) of sustainable mobility measures is carried out in the way of regional planning and is not influenced by the Ministry of Transport and Communications</t>
    </r>
    <r>
      <rPr>
        <strike/>
        <sz val="11"/>
        <rFont val="Calibri"/>
        <family val="2"/>
        <scheme val="minor"/>
      </rPr>
      <t>, it is assumed that the milestone value will be 10 percent in 2024 (4 * 0.1≈0)</t>
    </r>
    <r>
      <rPr>
        <sz val="11"/>
        <rFont val="Calibri"/>
        <family val="2"/>
        <scheme val="minor"/>
      </rPr>
      <t xml:space="preserve">. </t>
    </r>
    <r>
      <rPr>
        <b/>
        <sz val="11"/>
        <rFont val="Calibri"/>
        <family val="2"/>
        <scheme val="minor"/>
      </rPr>
      <t>2024 milestone remains the same.</t>
    </r>
  </si>
  <si>
    <r>
      <t>The calculations of the indicator are performed on the assumtions as  tCO2 eq savings:
-The AFI Directive foresees the electric vehicles and infrastructure having  synchronised development, meaning the same evolution type as it recommends a ratio of 10 between electric vehicles and infrastructure, therefore it is assumed that 1 charging point encourage the use of 10 electric vehicles. 
- diesel vehicles are replaced by electric vehicles; According to the data of The enviromental projects managemant agency, during 10 years period the M1 class electric vehicle saves 87 tCO2e;
- According to pratice in Europe, 1 recharching station=2 recharching points.
It is caculated that planned infrastructure will encourage the</t>
    </r>
    <r>
      <rPr>
        <strike/>
        <sz val="11"/>
        <rFont val="Calibri"/>
        <family val="2"/>
        <scheme val="minor"/>
      </rPr>
      <t xml:space="preserve"> 1346</t>
    </r>
    <r>
      <rPr>
        <sz val="11"/>
        <rFont val="Calibri"/>
        <family val="2"/>
        <charset val="186"/>
        <scheme val="minor"/>
      </rPr>
      <t xml:space="preserve"> </t>
    </r>
    <r>
      <rPr>
        <b/>
        <sz val="11"/>
        <rFont val="Calibri"/>
        <family val="2"/>
        <scheme val="minor"/>
      </rPr>
      <t>1096</t>
    </r>
    <r>
      <rPr>
        <sz val="11"/>
        <rFont val="Calibri"/>
        <family val="2"/>
        <charset val="186"/>
        <scheme val="minor"/>
      </rPr>
      <t xml:space="preserve">*10= </t>
    </r>
    <r>
      <rPr>
        <strike/>
        <sz val="11"/>
        <rFont val="Calibri"/>
        <family val="2"/>
        <scheme val="minor"/>
      </rPr>
      <t xml:space="preserve">13460 </t>
    </r>
    <r>
      <rPr>
        <b/>
        <sz val="11"/>
        <rFont val="Calibri"/>
        <family val="2"/>
        <scheme val="minor"/>
      </rPr>
      <t>10960</t>
    </r>
    <r>
      <rPr>
        <sz val="11"/>
        <rFont val="Calibri"/>
        <family val="2"/>
        <charset val="186"/>
        <scheme val="minor"/>
      </rPr>
      <t xml:space="preserve"> electric vehicles. The vehicles will save 87*</t>
    </r>
    <r>
      <rPr>
        <strike/>
        <sz val="11"/>
        <rFont val="Calibri"/>
        <family val="2"/>
        <scheme val="minor"/>
      </rPr>
      <t xml:space="preserve">13460 </t>
    </r>
    <r>
      <rPr>
        <b/>
        <sz val="11"/>
        <rFont val="Calibri"/>
        <family val="2"/>
        <scheme val="minor"/>
      </rPr>
      <t>10960</t>
    </r>
    <r>
      <rPr>
        <sz val="11"/>
        <rFont val="Calibri"/>
        <family val="2"/>
        <charset val="186"/>
        <scheme val="minor"/>
      </rPr>
      <t>=</t>
    </r>
    <r>
      <rPr>
        <strike/>
        <sz val="11"/>
        <rFont val="Calibri"/>
        <family val="2"/>
        <scheme val="minor"/>
      </rPr>
      <t>1.117.020</t>
    </r>
    <r>
      <rPr>
        <sz val="11"/>
        <rFont val="Calibri"/>
        <family val="2"/>
        <charset val="186"/>
        <scheme val="minor"/>
      </rPr>
      <t xml:space="preserve"> </t>
    </r>
    <r>
      <rPr>
        <b/>
        <sz val="11"/>
        <rFont val="Calibri"/>
        <family val="2"/>
        <scheme val="minor"/>
      </rPr>
      <t xml:space="preserve">953 520 </t>
    </r>
    <r>
      <rPr>
        <sz val="11"/>
        <rFont val="Calibri"/>
        <family val="2"/>
        <charset val="186"/>
        <scheme val="minor"/>
      </rPr>
      <t>tCO2 per 10 years. / 10=</t>
    </r>
    <r>
      <rPr>
        <strike/>
        <sz val="11"/>
        <rFont val="Calibri"/>
        <family val="2"/>
        <scheme val="minor"/>
      </rPr>
      <t>1.117.02</t>
    </r>
    <r>
      <rPr>
        <sz val="11"/>
        <rFont val="Calibri"/>
        <family val="2"/>
        <charset val="186"/>
        <scheme val="minor"/>
      </rPr>
      <t xml:space="preserve"> </t>
    </r>
    <r>
      <rPr>
        <b/>
        <sz val="11"/>
        <rFont val="Calibri"/>
        <family val="2"/>
        <scheme val="minor"/>
      </rPr>
      <t>95 352</t>
    </r>
    <r>
      <rPr>
        <sz val="11"/>
        <rFont val="Calibri"/>
        <family val="2"/>
        <charset val="186"/>
        <scheme val="minor"/>
      </rPr>
      <t xml:space="preserve"> tCO2 ekv. per 1 year. This value is taken as a baseline in 2020. This indicator is calculated as tCO2eq savings, thereofre the target value for 2029 is 0. </t>
    </r>
  </si>
  <si>
    <r>
      <t xml:space="preserve">The calculations of the indicator are performed on the assumtions as a tCO2 ekv savings:
-The AFI Directive foresees the electric vehicles and infrastructure having  synchronised development, meaning the same evolution type as it recommends a ratio of 10 between electric vehicles and infrastructure, therefore it is assumed that 1 charging point encourage the use of 10 electric vehicles. 
- diesel vehicles are replaced by electric vehicles; According to the data of The enviromental projects managemant agency, during 10 years period the M1 class electric vehicle saves 87 tCO2e;
- According to pratice in Europe, 1 recharching station=2 recharching points.
It is caculated that planned infrastructure will encourage the </t>
    </r>
    <r>
      <rPr>
        <strike/>
        <sz val="11"/>
        <rFont val="Calibri"/>
        <family val="2"/>
        <scheme val="minor"/>
      </rPr>
      <t>1605</t>
    </r>
    <r>
      <rPr>
        <sz val="11"/>
        <rFont val="Calibri"/>
        <family val="2"/>
        <charset val="186"/>
        <scheme val="minor"/>
      </rPr>
      <t xml:space="preserve"> </t>
    </r>
    <r>
      <rPr>
        <b/>
        <sz val="11"/>
        <rFont val="Calibri"/>
        <family val="2"/>
        <scheme val="minor"/>
      </rPr>
      <t>774</t>
    </r>
    <r>
      <rPr>
        <sz val="11"/>
        <rFont val="Calibri"/>
        <family val="2"/>
        <charset val="186"/>
        <scheme val="minor"/>
      </rPr>
      <t xml:space="preserve">*10= </t>
    </r>
    <r>
      <rPr>
        <strike/>
        <sz val="11"/>
        <rFont val="Calibri"/>
        <family val="2"/>
        <scheme val="minor"/>
      </rPr>
      <t>16050</t>
    </r>
    <r>
      <rPr>
        <sz val="11"/>
        <rFont val="Calibri"/>
        <family val="2"/>
        <charset val="186"/>
        <scheme val="minor"/>
      </rPr>
      <t xml:space="preserve"> </t>
    </r>
    <r>
      <rPr>
        <b/>
        <sz val="11"/>
        <rFont val="Calibri"/>
        <family val="2"/>
        <scheme val="minor"/>
      </rPr>
      <t>7740</t>
    </r>
    <r>
      <rPr>
        <sz val="11"/>
        <rFont val="Calibri"/>
        <family val="2"/>
        <charset val="186"/>
        <scheme val="minor"/>
      </rPr>
      <t xml:space="preserve"> electric vehicles. The vehicles will save 87*</t>
    </r>
    <r>
      <rPr>
        <strike/>
        <sz val="11"/>
        <rFont val="Calibri"/>
        <family val="2"/>
        <scheme val="minor"/>
      </rPr>
      <t>16050</t>
    </r>
    <r>
      <rPr>
        <sz val="11"/>
        <rFont val="Calibri"/>
        <family val="2"/>
        <charset val="186"/>
        <scheme val="minor"/>
      </rPr>
      <t xml:space="preserve"> </t>
    </r>
    <r>
      <rPr>
        <b/>
        <sz val="11"/>
        <rFont val="Calibri"/>
        <family val="2"/>
        <scheme val="minor"/>
      </rPr>
      <t>7740</t>
    </r>
    <r>
      <rPr>
        <sz val="11"/>
        <rFont val="Calibri"/>
        <family val="2"/>
        <charset val="186"/>
        <scheme val="minor"/>
      </rPr>
      <t>=</t>
    </r>
    <r>
      <rPr>
        <strike/>
        <sz val="11"/>
        <rFont val="Calibri"/>
        <family val="2"/>
        <scheme val="minor"/>
      </rPr>
      <t>1396350</t>
    </r>
    <r>
      <rPr>
        <sz val="11"/>
        <rFont val="Calibri"/>
        <family val="2"/>
        <charset val="186"/>
        <scheme val="minor"/>
      </rPr>
      <t xml:space="preserve"> </t>
    </r>
    <r>
      <rPr>
        <b/>
        <sz val="11"/>
        <rFont val="Calibri"/>
        <family val="2"/>
        <scheme val="minor"/>
      </rPr>
      <t>673 380</t>
    </r>
    <r>
      <rPr>
        <sz val="11"/>
        <rFont val="Calibri"/>
        <family val="2"/>
        <charset val="186"/>
        <scheme val="minor"/>
      </rPr>
      <t xml:space="preserve"> tCO2 per 10 years. / 10=</t>
    </r>
    <r>
      <rPr>
        <strike/>
        <sz val="11"/>
        <rFont val="Calibri"/>
        <family val="2"/>
        <scheme val="minor"/>
      </rPr>
      <t>139635</t>
    </r>
    <r>
      <rPr>
        <sz val="11"/>
        <rFont val="Calibri"/>
        <family val="2"/>
        <charset val="186"/>
        <scheme val="minor"/>
      </rPr>
      <t xml:space="preserve"> </t>
    </r>
    <r>
      <rPr>
        <b/>
        <sz val="11"/>
        <rFont val="Calibri"/>
        <family val="2"/>
        <scheme val="minor"/>
      </rPr>
      <t xml:space="preserve">67 338 </t>
    </r>
    <r>
      <rPr>
        <sz val="11"/>
        <rFont val="Calibri"/>
        <family val="2"/>
        <charset val="186"/>
        <scheme val="minor"/>
      </rPr>
      <t xml:space="preserve">tCO2 ekv. per 1 year. This value is taken as a baseline in 2020. This indicator is calculated as tCO2eq savings, thereofre the target value for 2029 is 0.
</t>
    </r>
  </si>
  <si>
    <t xml:space="preserve">The target value for 2029 remains the same. </t>
  </si>
  <si>
    <r>
      <t>The tariff of 1 km cycling infrastructure in the city is</t>
    </r>
    <r>
      <rPr>
        <b/>
        <sz val="11"/>
        <rFont val="Calibri"/>
        <family val="2"/>
        <scheme val="minor"/>
      </rPr>
      <t xml:space="preserve"> on avarage</t>
    </r>
    <r>
      <rPr>
        <sz val="11"/>
        <rFont val="Calibri"/>
        <family val="2"/>
        <scheme val="minor"/>
      </rPr>
      <t xml:space="preserve"> ~</t>
    </r>
    <r>
      <rPr>
        <strike/>
        <sz val="11"/>
        <rFont val="Calibri"/>
        <family val="2"/>
        <scheme val="minor"/>
      </rPr>
      <t>450.000</t>
    </r>
    <r>
      <rPr>
        <sz val="11"/>
        <rFont val="Calibri"/>
        <family val="2"/>
        <scheme val="minor"/>
      </rPr>
      <t xml:space="preserve"> </t>
    </r>
    <r>
      <rPr>
        <b/>
        <sz val="11"/>
        <rFont val="Calibri"/>
        <family val="2"/>
        <scheme val="minor"/>
      </rPr>
      <t>1 058 296</t>
    </r>
    <r>
      <rPr>
        <sz val="11"/>
        <rFont val="Calibri"/>
        <family val="2"/>
        <scheme val="minor"/>
      </rPr>
      <t xml:space="preserve"> Eur determined accoording to the data of </t>
    </r>
    <r>
      <rPr>
        <strike/>
        <sz val="11"/>
        <rFont val="Calibri"/>
        <family val="2"/>
        <scheme val="minor"/>
      </rPr>
      <t>projects implemented in 2014-2020 period by measure  no. 04.5.1-TID-R-516 "Reconstruction and development of pedestrian and bicycle paths" in Priority 4 "Promoting energy efficiency and the production and use of energy from renewable sources"</t>
    </r>
    <r>
      <rPr>
        <sz val="11"/>
        <rFont val="Calibri"/>
        <family val="2"/>
        <scheme val="minor"/>
      </rPr>
      <t xml:space="preserve"> </t>
    </r>
    <r>
      <rPr>
        <b/>
        <sz val="11"/>
        <rFont val="Calibri"/>
        <family val="2"/>
        <scheme val="minor"/>
      </rPr>
      <t xml:space="preserve">the Vilnius Region Development Plan and projects of reconstruction and development of pedestrian and bicycle paths planned for implementation. The value of each project vary over a wide range from 650 000 Eur to 2 585 000 Eur per km, depending on the different conditions – the level of urbanisation and construction density, environment, relief, geological conditions, correlation with existing transport infrastructure and buildings, infrustructure that is planned to be built, etc. </t>
    </r>
    <r>
      <rPr>
        <sz val="11"/>
        <rFont val="Calibri"/>
        <family val="2"/>
        <scheme val="minor"/>
      </rPr>
      <t xml:space="preserve">The target value for 2029 is calculated </t>
    </r>
    <r>
      <rPr>
        <b/>
        <sz val="11"/>
        <rFont val="Calibri"/>
        <family val="2"/>
        <scheme val="minor"/>
      </rPr>
      <t xml:space="preserve">as </t>
    </r>
    <r>
      <rPr>
        <strike/>
        <sz val="11"/>
        <rFont val="Calibri"/>
        <family val="2"/>
        <scheme val="minor"/>
      </rPr>
      <t>26.470.588,24 / 450.000≈59</t>
    </r>
    <r>
      <rPr>
        <b/>
        <sz val="11"/>
        <rFont val="Calibri"/>
        <family val="2"/>
        <scheme val="minor"/>
      </rPr>
      <t xml:space="preserve"> 8 254 706 / 1 058 296 ≈7,8. </t>
    </r>
    <r>
      <rPr>
        <sz val="11"/>
        <rFont val="Calibri"/>
        <family val="2"/>
        <scheme val="minor"/>
      </rPr>
      <t xml:space="preserve">The planning of the implementation (including deadlines) of sustainable mobility measures is carried out in the way of regional planning and is not influenced by the Ministry of Transport and Communications, </t>
    </r>
    <r>
      <rPr>
        <strike/>
        <sz val="11"/>
        <rFont val="Calibri"/>
        <family val="2"/>
        <scheme val="minor"/>
      </rPr>
      <t>it is assumed that  20 percent  will be reached in 2024 (59* 0.2 ≈12)</t>
    </r>
    <r>
      <rPr>
        <sz val="11"/>
        <rFont val="Calibri"/>
        <family val="2"/>
        <scheme val="minor"/>
      </rPr>
      <t xml:space="preserve">. </t>
    </r>
    <r>
      <rPr>
        <sz val="11"/>
        <color rgb="FFFF0000"/>
        <rFont val="Calibri"/>
        <family val="2"/>
        <charset val="186"/>
        <scheme val="minor"/>
      </rPr>
      <t xml:space="preserve">
</t>
    </r>
    <r>
      <rPr>
        <b/>
        <sz val="11"/>
        <rFont val="Calibri"/>
        <family val="2"/>
        <charset val="186"/>
        <scheme val="minor"/>
      </rPr>
      <t xml:space="preserve">2024 milestone remains the same.
</t>
    </r>
    <r>
      <rPr>
        <sz val="11"/>
        <rFont val="Calibri"/>
        <family val="2"/>
        <scheme val="minor"/>
      </rPr>
      <t xml:space="preserve">
</t>
    </r>
  </si>
  <si>
    <r>
      <t xml:space="preserve">It is planned to purchase </t>
    </r>
    <r>
      <rPr>
        <strike/>
        <sz val="11"/>
        <rFont val="Calibri"/>
        <family val="2"/>
        <scheme val="minor"/>
      </rPr>
      <t>32</t>
    </r>
    <r>
      <rPr>
        <sz val="11"/>
        <rFont val="Calibri"/>
        <family val="2"/>
        <charset val="186"/>
        <scheme val="minor"/>
      </rPr>
      <t xml:space="preserve"> </t>
    </r>
    <r>
      <rPr>
        <b/>
        <sz val="11"/>
        <rFont val="Calibri"/>
        <family val="2"/>
        <scheme val="minor"/>
      </rPr>
      <t>77</t>
    </r>
    <r>
      <rPr>
        <sz val="11"/>
        <rFont val="Calibri"/>
        <family val="2"/>
        <charset val="186"/>
        <scheme val="minor"/>
      </rPr>
      <t xml:space="preserve"> public vehicles powered by electricity or hydrogen (see special output "Zero-emissions vehicles for the collective public transport purshased" calculation methodology). Depending on the length of the vehicle, the average number of passenger seats is 90. The target value for 2029 is calculated 90 * </t>
    </r>
    <r>
      <rPr>
        <strike/>
        <sz val="11"/>
        <rFont val="Calibri"/>
        <family val="2"/>
        <scheme val="minor"/>
      </rPr>
      <t>32</t>
    </r>
    <r>
      <rPr>
        <sz val="11"/>
        <rFont val="Calibri"/>
        <family val="2"/>
        <charset val="186"/>
        <scheme val="minor"/>
      </rPr>
      <t xml:space="preserve"> </t>
    </r>
    <r>
      <rPr>
        <b/>
        <sz val="11"/>
        <rFont val="Calibri"/>
        <family val="2"/>
        <scheme val="minor"/>
      </rPr>
      <t>77</t>
    </r>
    <r>
      <rPr>
        <sz val="11"/>
        <rFont val="Calibri"/>
        <family val="2"/>
        <charset val="186"/>
        <scheme val="minor"/>
      </rPr>
      <t xml:space="preserve"> =</t>
    </r>
    <r>
      <rPr>
        <strike/>
        <sz val="11"/>
        <rFont val="Calibri"/>
        <family val="2"/>
        <scheme val="minor"/>
      </rPr>
      <t>2.880</t>
    </r>
    <r>
      <rPr>
        <sz val="11"/>
        <rFont val="Calibri"/>
        <family val="2"/>
        <scheme val="minor"/>
      </rPr>
      <t xml:space="preserve"> </t>
    </r>
    <r>
      <rPr>
        <b/>
        <sz val="11"/>
        <rFont val="Calibri"/>
        <family val="2"/>
        <scheme val="minor"/>
      </rPr>
      <t>6 930</t>
    </r>
    <r>
      <rPr>
        <sz val="11"/>
        <rFont val="Calibri"/>
        <family val="2"/>
        <charset val="186"/>
        <scheme val="minor"/>
      </rPr>
      <t>.</t>
    </r>
    <r>
      <rPr>
        <sz val="11"/>
        <color rgb="FFC00000"/>
        <rFont val="Calibri"/>
        <family val="2"/>
        <scheme val="minor"/>
      </rPr>
      <t xml:space="preserve"> </t>
    </r>
    <r>
      <rPr>
        <strike/>
        <sz val="11"/>
        <rFont val="Calibri"/>
        <family val="2"/>
        <scheme val="minor"/>
      </rPr>
      <t>According to the milestone value (3) of  special output indicator "Zero-emissions vehicles for the collective public transport purshased", the milsstone value in 2024 is calculated 90*3=270.</t>
    </r>
    <r>
      <rPr>
        <sz val="11"/>
        <rFont val="Calibri"/>
        <family val="2"/>
        <charset val="186"/>
        <scheme val="minor"/>
      </rPr>
      <t xml:space="preserve"> </t>
    </r>
    <r>
      <rPr>
        <b/>
        <sz val="11"/>
        <rFont val="Calibri"/>
        <family val="2"/>
        <scheme val="minor"/>
      </rPr>
      <t>2024 milestone remains the same.</t>
    </r>
  </si>
  <si>
    <r>
      <rPr>
        <strike/>
        <sz val="11"/>
        <rFont val="Calibri"/>
        <family val="2"/>
        <scheme val="minor"/>
      </rPr>
      <t>The tariff of 1 km cycling infrastructure in the city - 450 000 Eur determined accoording to the data of projects implemented in 2014-2020 period by measure  no. 04.5.1-TID-R-516 "Reconstruction and development of pedestrian and bicycle paths" in Priority 4 "Promoting energy efficiency and the production and use of energy from renewable sources".
The target value for 2029 is calculated 91.176.470,59 / 450.000≈203.</t>
    </r>
    <r>
      <rPr>
        <sz val="11"/>
        <rFont val="Calibri"/>
        <family val="2"/>
        <scheme val="minor"/>
      </rPr>
      <t xml:space="preserve"> </t>
    </r>
    <r>
      <rPr>
        <b/>
        <sz val="11"/>
        <rFont val="Calibri"/>
        <family val="2"/>
        <scheme val="minor"/>
      </rPr>
      <t xml:space="preserve">The average value of 1 km cycling infrastructure in the city was determined accoording to the data of the Region's Development Plans and projects of reconstruction and development of pedestrian and bicycle paths planned for implementation. The value of each project can vary over a wide range from 650 000 Eur to 20 000 000 Eur per km, depending on the different conditions – the level of urbanisation and construction density, environment, relief, geological conditions, correlation with existing transport infrastructure and buildings, infrustructure that is planned to be built (for example, bridge), etc. The tariff of 1 km cycling infrastructure in the city is on avarage ~786 516 Eur. The target value for 2029 is calculated as 140 000 000 / 786 516 ≈179. </t>
    </r>
    <r>
      <rPr>
        <sz val="11"/>
        <rFont val="Calibri"/>
        <family val="2"/>
        <scheme val="minor"/>
      </rPr>
      <t xml:space="preserve">
The planning of the implementation (including deadlines) of sustainable mobility measures is carried out in the way of regional planning and is not influenced by the Ministry of Transport and Communications,</t>
    </r>
    <r>
      <rPr>
        <strike/>
        <sz val="11"/>
        <rFont val="Calibri"/>
        <family val="2"/>
        <scheme val="minor"/>
      </rPr>
      <t xml:space="preserve"> it is assumed that   20 percent  will be reached in 2024 (203* 0.2 ≈41)</t>
    </r>
    <r>
      <rPr>
        <sz val="11"/>
        <rFont val="Calibri"/>
        <family val="2"/>
        <scheme val="minor"/>
      </rPr>
      <t xml:space="preserve">. 
</t>
    </r>
    <r>
      <rPr>
        <b/>
        <sz val="11"/>
        <rFont val="Calibri"/>
        <family val="2"/>
        <scheme val="minor"/>
      </rPr>
      <t>2024 milestone remains the same.</t>
    </r>
    <r>
      <rPr>
        <sz val="11"/>
        <rFont val="Calibri"/>
        <family val="2"/>
        <scheme val="minor"/>
      </rPr>
      <t xml:space="preserve">
</t>
    </r>
  </si>
  <si>
    <r>
      <t xml:space="preserve">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t>
    </r>
    <r>
      <rPr>
        <strike/>
        <sz val="11"/>
        <rFont val="Calibri"/>
        <family val="2"/>
        <scheme val="minor"/>
      </rPr>
      <t>32</t>
    </r>
    <r>
      <rPr>
        <sz val="11"/>
        <rFont val="Calibri"/>
        <family val="2"/>
        <charset val="186"/>
        <scheme val="minor"/>
      </rPr>
      <t xml:space="preserve"> </t>
    </r>
    <r>
      <rPr>
        <b/>
        <sz val="11"/>
        <rFont val="Calibri"/>
        <family val="2"/>
        <scheme val="minor"/>
      </rPr>
      <t>77</t>
    </r>
    <r>
      <rPr>
        <sz val="11"/>
        <rFont val="Calibri"/>
        <family val="2"/>
        <charset val="186"/>
        <scheme val="minor"/>
      </rPr>
      <t xml:space="preserve"> (number of planned new buses, see special output "Zero-emissions vehicles for the collective public transport purshased" calculation methodology) ≈</t>
    </r>
    <r>
      <rPr>
        <strike/>
        <sz val="11"/>
        <rFont val="Calibri"/>
        <family val="2"/>
        <scheme val="minor"/>
      </rPr>
      <t>1.248.416</t>
    </r>
    <r>
      <rPr>
        <sz val="11"/>
        <rFont val="Calibri"/>
        <family val="2"/>
        <scheme val="minor"/>
      </rPr>
      <t xml:space="preserve"> </t>
    </r>
    <r>
      <rPr>
        <b/>
        <sz val="11"/>
        <rFont val="Calibri"/>
        <family val="2"/>
        <scheme val="minor"/>
      </rPr>
      <t>3 004 001</t>
    </r>
    <r>
      <rPr>
        <sz val="11"/>
        <rFont val="Calibri"/>
        <family val="2"/>
        <charset val="186"/>
        <scheme val="minor"/>
      </rPr>
      <t>.</t>
    </r>
  </si>
  <si>
    <r>
      <t xml:space="preserve">It is planned  to develop the alternative fuels refuelling/recharging infrastructure. All infrastructure tariffs were set according to the market and online research, oral surveys of electric vehicle charging station manufacturers / representatives / operators, analysis of information on the infrastructure actually available on the market, consultations with the Ministry of Energy.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 refuelling infrastructure, it is provided the oppurtunity of EU funding  for the installation of hydrogen  refuelling infrastructure in favorable circumstances.
According to the modeling of the nationwide distribution of electric vehicle charging infrastructure, it is planned  to develop the charging infrastructure for electric vehicles of various capacities. 
</t>
    </r>
    <r>
      <rPr>
        <strike/>
        <sz val="11"/>
        <rFont val="Calibri"/>
        <family val="2"/>
        <scheme val="minor"/>
      </rPr>
      <t>1. It is planned to allocate 38,46 % for regional planning ( (0,3846153*7.647.059≈2.941.176). It is planned to allocate 23 % of intervention investments to develop the alernative fuels refuelling/recharging infrastructure for public transport (0,23*2.941.176=676.471). The tariff of public transport recharching equipment is about 275 00 Eur. The tariff of public transport hydrogen refulleng equipment could be about 1 100 000 Eur. It is assumed that hydrogen refuelling infrastructure could account  5 % of public transport refuelling/recharching infrastructure  planned to be install. It is calculated, that can be acquired 676.471/((0,95*275.000)+(0,05*1.100.000))≈2 recharching/refuelling equipments. It is planned to allocate 77 % of the intervention investments to the public charging infrastructure (0,77*2.941.176=2.264.706). it is planned to install public high-capacity (49.1-150KW) charging stations (42% of public infrastructure investments) and conventional / medium-capacity charging stations (58% of public infrastructure investments). The tariff of  these stations (with equipment) respectively are 38 500 EUR and 13 200 EUR. It is calculated, that will be installed  (0,42*2.264.706/38.500)+(0,58*2.264.706/13.200)≈124 recharching stations. According to pratice in Europe, 1 recharching station=2 recharching points. Therefore wiil be  124*2=248 recharching points.</t>
    </r>
    <r>
      <rPr>
        <sz val="11"/>
        <rFont val="Calibri"/>
        <family val="2"/>
        <scheme val="minor"/>
      </rPr>
      <t xml:space="preserve">
</t>
    </r>
    <r>
      <rPr>
        <strike/>
        <sz val="11"/>
        <rFont val="Calibri"/>
        <family val="2"/>
        <scheme val="minor"/>
      </rPr>
      <t>2.</t>
    </r>
    <r>
      <rPr>
        <sz val="11"/>
        <rFont val="Calibri"/>
        <family val="2"/>
        <scheme val="minor"/>
      </rPr>
      <t xml:space="preserve"> </t>
    </r>
    <r>
      <rPr>
        <b/>
        <sz val="11"/>
        <rFont val="Calibri"/>
        <family val="2"/>
        <scheme val="minor"/>
      </rPr>
      <t>According to the data of the Vilnius Region Development Plan there are no projects planned for implementation, so i</t>
    </r>
    <r>
      <rPr>
        <sz val="11"/>
        <color theme="1"/>
        <rFont val="Calibri"/>
        <family val="2"/>
        <scheme val="minor"/>
      </rPr>
      <t>t is planned to allocate</t>
    </r>
    <r>
      <rPr>
        <b/>
        <sz val="11"/>
        <color theme="1"/>
        <rFont val="Calibri"/>
        <family val="2"/>
        <scheme val="minor"/>
      </rPr>
      <t xml:space="preserve"> 4 000 000 Eur for state planning and to install different types of publicly accessible recharging points ranging from normal to very high power. The fixed fee for 1 charging station with two charging points varies from 5 340 Eur to 82 867 Eur with a compensation of between 25% and 60% of the fee. Compensation depends of the capacity of the charging point, the size of the applicant company. </t>
    </r>
    <r>
      <rPr>
        <strike/>
        <sz val="11"/>
        <color theme="1"/>
        <rFont val="Calibri"/>
        <family val="2"/>
        <scheme val="minor"/>
      </rPr>
      <t>61,54% for financial instrument (0,6153847*7.647.059≈4.705.883).There is no experience in this area, therefore it is considered that the financial instrument  could be shaped by an assessment of state aid provisions (40 % EU part  and 60 % LTU part). It is planned EU investments part could be 4.000.000 Eur (50 % dotation and 50 % loan).</t>
    </r>
    <r>
      <rPr>
        <sz val="11"/>
        <color rgb="FFC00000"/>
        <rFont val="Calibri"/>
        <family val="2"/>
        <scheme val="minor"/>
      </rPr>
      <t xml:space="preserve"> </t>
    </r>
    <r>
      <rPr>
        <strike/>
        <sz val="11"/>
        <color theme="1"/>
        <rFont val="Calibri"/>
        <family val="2"/>
        <scheme val="minor"/>
      </rPr>
      <t>The  required investment is calculated (4.000.000/0,4*0,6)+4.000.0000=10.000.000 Eur. it is planned to install public high-capacity (49.1-150KW) charging stations (42% of public infrastructure investments) and conventional / medium-capacity charging stations (58% of public infrastructure investments). The tariff of  these stations (with equipment) respectively are 38 000 EUR and 13 200 EUR. It is calculated, that will be installed (0,42*10.000.000/38.500)+(0,58*10.000.000/13.200)≈548 recharching stations</t>
    </r>
    <r>
      <rPr>
        <sz val="11"/>
        <color theme="1"/>
        <rFont val="Calibri"/>
        <family val="2"/>
        <scheme val="minor"/>
      </rPr>
      <t xml:space="preserve">. </t>
    </r>
    <r>
      <rPr>
        <b/>
        <sz val="11"/>
        <color theme="1"/>
        <rFont val="Calibri"/>
        <family val="2"/>
        <scheme val="minor"/>
      </rPr>
      <t xml:space="preserve">It is planned that more normal / medium power charging stations will be installed. The average price of a recharching station would be around </t>
    </r>
    <r>
      <rPr>
        <b/>
        <sz val="11"/>
        <rFont val="Calibri"/>
        <family val="2"/>
        <scheme val="minor"/>
      </rPr>
      <t>8 580</t>
    </r>
    <r>
      <rPr>
        <b/>
        <sz val="11"/>
        <color theme="1"/>
        <rFont val="Calibri"/>
        <family val="2"/>
        <scheme val="minor"/>
      </rPr>
      <t xml:space="preserve"> Eur. </t>
    </r>
    <r>
      <rPr>
        <b/>
        <sz val="11"/>
        <rFont val="Calibri"/>
        <family val="2"/>
        <scheme val="minor"/>
      </rPr>
      <t>It is planned additional contribution of the projects implementers with own funds. 4 705 882</t>
    </r>
    <r>
      <rPr>
        <b/>
        <sz val="11"/>
        <color theme="1"/>
        <rFont val="Calibri"/>
        <family val="2"/>
        <scheme val="minor"/>
      </rPr>
      <t xml:space="preserve"> Eur / </t>
    </r>
    <r>
      <rPr>
        <b/>
        <sz val="11"/>
        <rFont val="Calibri"/>
        <family val="2"/>
        <scheme val="minor"/>
      </rPr>
      <t>8 580</t>
    </r>
    <r>
      <rPr>
        <b/>
        <sz val="11"/>
        <color rgb="FFC00000"/>
        <rFont val="Calibri"/>
        <family val="2"/>
        <scheme val="minor"/>
      </rPr>
      <t xml:space="preserve"> </t>
    </r>
    <r>
      <rPr>
        <b/>
        <sz val="11"/>
        <color theme="1"/>
        <rFont val="Calibri"/>
        <family val="2"/>
        <scheme val="minor"/>
      </rPr>
      <t>≈548 units.</t>
    </r>
    <r>
      <rPr>
        <sz val="11"/>
        <color rgb="FFC00000"/>
        <rFont val="Calibri"/>
        <family val="2"/>
        <scheme val="minor"/>
      </rPr>
      <t xml:space="preserve"> </t>
    </r>
    <r>
      <rPr>
        <sz val="11"/>
        <color theme="1"/>
        <rFont val="Calibri"/>
        <family val="2"/>
        <scheme val="minor"/>
      </rPr>
      <t>According to pratice in Europe, 1 recharching station=2 recharching points.</t>
    </r>
    <r>
      <rPr>
        <sz val="11"/>
        <color rgb="FFC00000"/>
        <rFont val="Calibri"/>
        <family val="2"/>
        <scheme val="minor"/>
      </rPr>
      <t xml:space="preserve"> </t>
    </r>
    <r>
      <rPr>
        <sz val="11"/>
        <color theme="1"/>
        <rFont val="Calibri"/>
        <family val="2"/>
        <scheme val="minor"/>
      </rPr>
      <t>Therefore will be 2*548=1096 recharching points.</t>
    </r>
    <r>
      <rPr>
        <sz val="11"/>
        <rFont val="Calibri"/>
        <family val="2"/>
        <scheme val="minor"/>
      </rPr>
      <t xml:space="preserve">
The target value for 2029 is </t>
    </r>
    <r>
      <rPr>
        <strike/>
        <sz val="11"/>
        <rFont val="Calibri"/>
        <family val="2"/>
        <scheme val="minor"/>
      </rPr>
      <t>calculated  2+248+1096=1346</t>
    </r>
    <r>
      <rPr>
        <sz val="11"/>
        <rFont val="Calibri"/>
        <family val="2"/>
        <scheme val="minor"/>
      </rPr>
      <t xml:space="preserve"> </t>
    </r>
    <r>
      <rPr>
        <b/>
        <sz val="11"/>
        <rFont val="Calibri"/>
        <family val="2"/>
        <scheme val="minor"/>
      </rPr>
      <t>1096</t>
    </r>
    <r>
      <rPr>
        <sz val="11"/>
        <rFont val="Calibri"/>
        <family val="2"/>
        <scheme val="minor"/>
      </rPr>
      <t>.  The planning of the implementation (including deadlines) of the projecs largely is carried out in the way of regional planning  and is not influenced by the Ministry of Transport and Communications and according finacial instrument (planned in the second half of the period)</t>
    </r>
    <r>
      <rPr>
        <strike/>
        <sz val="11"/>
        <rFont val="Calibri"/>
        <family val="2"/>
        <scheme val="minor"/>
      </rPr>
      <t xml:space="preserve"> , it is assumed that the milestone value will be 10 percent in 2024 (1346* 0.1≈135)</t>
    </r>
    <r>
      <rPr>
        <sz val="11"/>
        <rFont val="Calibri"/>
        <family val="2"/>
        <scheme val="minor"/>
      </rPr>
      <t xml:space="preserve">. 
</t>
    </r>
    <r>
      <rPr>
        <b/>
        <sz val="11"/>
        <rFont val="Calibri"/>
        <family val="2"/>
        <scheme val="minor"/>
      </rPr>
      <t>2024 milestone remains the same.</t>
    </r>
  </si>
  <si>
    <r>
      <t>It is planned  to develop the alternative fuels refuelling/recharging infrastructure. All infrastructure tariffs were set according to the market, online research, oral surveys of electric vehicle charging station manufacturers / representatives / operators, analysis of information on the infrastructure actually available on the market, consultations with the Ministry of Energy.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 refuelling infrastructure, it is provided the oppurtunity of EU funding  for the installation of hydrogen  refuelling infrastructure in favorable circumstances.
According to the modeling of the nationwide distribution of electric vehicle charging infrastructure, it is planned  to develop the charging infrastructure for electric vehicles of various capacities.</t>
    </r>
    <r>
      <rPr>
        <b/>
        <sz val="11"/>
        <rFont val="Calibri"/>
        <family val="2"/>
        <scheme val="minor"/>
      </rPr>
      <t xml:space="preserve"> Compensation depends of the capacity of the charging point, the size of the applicant company. The fixed fee for 1 charging station with two charging points varies from 5 340 Eur to 82 867 Eur with a compensation of between 25% and 60% of the fee. </t>
    </r>
    <r>
      <rPr>
        <sz val="11"/>
        <rFont val="Calibri"/>
        <family val="2"/>
        <scheme val="minor"/>
      </rPr>
      <t xml:space="preserve">
1. It is planned to allocate </t>
    </r>
    <r>
      <rPr>
        <strike/>
        <sz val="11"/>
        <rFont val="Calibri"/>
        <family val="2"/>
        <scheme val="minor"/>
      </rPr>
      <t>69.30 %</t>
    </r>
    <r>
      <rPr>
        <sz val="11"/>
        <rFont val="Calibri"/>
        <family val="2"/>
        <scheme val="minor"/>
      </rPr>
      <t xml:space="preserve"> </t>
    </r>
    <r>
      <rPr>
        <b/>
        <sz val="11"/>
        <rFont val="Calibri"/>
        <family val="2"/>
        <scheme val="minor"/>
      </rPr>
      <t>100 000 Eur</t>
    </r>
    <r>
      <rPr>
        <sz val="11"/>
        <rFont val="Calibri"/>
        <family val="2"/>
        <scheme val="minor"/>
      </rPr>
      <t xml:space="preserve"> for regional planning  </t>
    </r>
    <r>
      <rPr>
        <strike/>
        <sz val="11"/>
        <rFont val="Calibri"/>
        <family val="2"/>
        <scheme val="minor"/>
      </rPr>
      <t>(0,69309460*23.000.000≈15.941.176)</t>
    </r>
    <r>
      <rPr>
        <sz val="11"/>
        <rFont val="Calibri"/>
        <family val="2"/>
        <scheme val="minor"/>
      </rPr>
      <t xml:space="preserve"> </t>
    </r>
    <r>
      <rPr>
        <b/>
        <sz val="11"/>
        <rFont val="Calibri"/>
        <family val="2"/>
        <scheme val="minor"/>
      </rPr>
      <t xml:space="preserve">according to the data of the Region's Development Plans and projects planned for implementation. It is planned to install public very high-capacity (above 149 KW) charging station for public transport. </t>
    </r>
    <r>
      <rPr>
        <sz val="11"/>
        <rFont val="Calibri"/>
        <family val="2"/>
        <scheme val="minor"/>
      </rPr>
      <t xml:space="preserve">
</t>
    </r>
    <r>
      <rPr>
        <strike/>
        <sz val="11"/>
        <rFont val="Calibri"/>
        <family val="2"/>
        <scheme val="minor"/>
      </rPr>
      <t xml:space="preserve">It is planned to allocate 54% of intervention investments to develop the alernative fuels refuelling/recharging infrastructure for public transport (0,54*15.941.176=8.608.235). The tariff of public transport recharching equipment is about 275 000 Eur. The tariff of public transport hydrogen refulleng equipment could be about 1 100 000 Eur. It is assumed that hydrogen refuelling infrastructure could account  5 % of public transport refuelling/recharching infrastructure planned to be install. It is calculated, that can be acquired 8.608.235/((0,95*275.000)+(0,05*1100000))≈27 recharching/refuelling equipments.
It is planned to allocate 46% of the intervention investments to the public charging infrastructure (0,46*15.941.176=7.332.941). it is planned to install public high-capacity (49.1-150KW) charging stations (42% of public infrastructure investments) and conventional / medium-capacity charging stations (58% of public infrastructure investments). The tariff of  these stations (with equipment) respectively are 38 500 EUR and 13 200 EUR. It is calculated, that will be installed (0,42*7.332.941/38.500)+(0,58*7.332.941/13.200)=402 recharching stations. </t>
    </r>
    <r>
      <rPr>
        <sz val="11"/>
        <rFont val="Calibri"/>
        <family val="2"/>
        <scheme val="minor"/>
      </rPr>
      <t xml:space="preserve">According to pratice in Europe, 1 recharching station=2 recharching points. Therefore wil be </t>
    </r>
    <r>
      <rPr>
        <strike/>
        <sz val="11"/>
        <rFont val="Calibri"/>
        <family val="2"/>
        <scheme val="minor"/>
      </rPr>
      <t>2*402=804</t>
    </r>
    <r>
      <rPr>
        <sz val="11"/>
        <rFont val="Calibri"/>
        <family val="2"/>
        <scheme val="minor"/>
      </rPr>
      <t xml:space="preserve"> </t>
    </r>
    <r>
      <rPr>
        <b/>
        <sz val="11"/>
        <rFont val="Calibri"/>
        <family val="2"/>
        <scheme val="minor"/>
      </rPr>
      <t>2</t>
    </r>
    <r>
      <rPr>
        <sz val="11"/>
        <rFont val="Calibri"/>
        <family val="2"/>
        <scheme val="minor"/>
      </rPr>
      <t xml:space="preserve"> recharching points.
2.  It is planned to allocate </t>
    </r>
    <r>
      <rPr>
        <strike/>
        <sz val="11"/>
        <rFont val="Calibri"/>
        <family val="2"/>
        <scheme val="minor"/>
      </rPr>
      <t>30.70%</t>
    </r>
    <r>
      <rPr>
        <sz val="11"/>
        <rFont val="Calibri"/>
        <family val="2"/>
        <scheme val="minor"/>
      </rPr>
      <t xml:space="preserve"> </t>
    </r>
    <r>
      <rPr>
        <b/>
        <sz val="11"/>
        <rFont val="Calibri"/>
        <family val="2"/>
        <scheme val="minor"/>
      </rPr>
      <t>6 000 000 Eur</t>
    </r>
    <r>
      <rPr>
        <sz val="11"/>
        <rFont val="Calibri"/>
        <family val="2"/>
        <scheme val="minor"/>
      </rPr>
      <t xml:space="preserve"> for state planning </t>
    </r>
    <r>
      <rPr>
        <strike/>
        <sz val="11"/>
        <rFont val="Calibri"/>
        <family val="2"/>
        <scheme val="minor"/>
      </rPr>
      <t>( (0,30690539*23.000.000≈7.058.824). It is planned</t>
    </r>
    <r>
      <rPr>
        <b/>
        <sz val="11"/>
        <rFont val="Calibri"/>
        <family val="2"/>
        <scheme val="minor"/>
      </rPr>
      <t xml:space="preserve"> and</t>
    </r>
    <r>
      <rPr>
        <sz val="11"/>
        <rFont val="Calibri"/>
        <family val="2"/>
        <scheme val="minor"/>
      </rPr>
      <t xml:space="preserve"> to install </t>
    </r>
    <r>
      <rPr>
        <b/>
        <sz val="11"/>
        <rFont val="Calibri"/>
        <family val="2"/>
        <scheme val="minor"/>
      </rPr>
      <t>different types of publicly accessible recharging points ranging from normal to very high power</t>
    </r>
    <r>
      <rPr>
        <sz val="11"/>
        <rFont val="Calibri"/>
        <family val="2"/>
        <scheme val="minor"/>
      </rPr>
      <t xml:space="preserve"> </t>
    </r>
    <r>
      <rPr>
        <strike/>
        <sz val="11"/>
        <rFont val="Calibri"/>
        <family val="2"/>
        <scheme val="minor"/>
      </rPr>
      <t>public high-capacity (49.1-150 KW) charging stations (42% of public infrastructure investments) and conventional / medium-capacity charging stations (58% of public infrastructure investments). The tariff of  these stations (with equipment) respectively are 38 500 EUR and 13 200 EUR. It is calculated, that will be installed (0,42*7.058.824/38.500)+(0,58*7.058.824/13.200)=387 recharching stations.</t>
    </r>
    <r>
      <rPr>
        <b/>
        <sz val="11"/>
        <rFont val="Calibri"/>
        <family val="2"/>
        <scheme val="minor"/>
      </rPr>
      <t xml:space="preserve"> It is planned that more medium / high-power charging stations will be installed. The average price of a recharching station is around 18 250 Eur. 7 058 824 Eur / 18 250 ≈387 units.</t>
    </r>
    <r>
      <rPr>
        <sz val="11"/>
        <rFont val="Calibri"/>
        <family val="2"/>
        <scheme val="minor"/>
      </rPr>
      <t xml:space="preserve"> According to pratice in Europe, 1 recharching station=2 recharching points. Therefore will be 2*387=774 recharching points.
The target value for 2029 is calculated  </t>
    </r>
    <r>
      <rPr>
        <strike/>
        <sz val="11"/>
        <rFont val="Calibri"/>
        <family val="2"/>
        <scheme val="minor"/>
      </rPr>
      <t>27+804+774=1605</t>
    </r>
    <r>
      <rPr>
        <sz val="11"/>
        <rFont val="Calibri"/>
        <family val="2"/>
        <scheme val="minor"/>
      </rPr>
      <t xml:space="preserve"> </t>
    </r>
    <r>
      <rPr>
        <b/>
        <sz val="11"/>
        <rFont val="Calibri"/>
        <family val="2"/>
        <scheme val="minor"/>
      </rPr>
      <t>2+774=776</t>
    </r>
    <r>
      <rPr>
        <sz val="11"/>
        <rFont val="Calibri"/>
        <family val="2"/>
        <scheme val="minor"/>
      </rPr>
      <t xml:space="preserve">. The planning of the implementation (including deadlines) of the projecs more than half  is carried out in the way of regional planning and is not influenced by the Ministry of Transport and Communications, </t>
    </r>
    <r>
      <rPr>
        <strike/>
        <sz val="11"/>
        <rFont val="Calibri"/>
        <family val="2"/>
        <scheme val="minor"/>
      </rPr>
      <t>it is assumed  that the milestone value will be 10 percent in 2024 (1605 * 0.1≈161)</t>
    </r>
    <r>
      <rPr>
        <sz val="11"/>
        <rFont val="Calibri"/>
        <family val="2"/>
        <scheme val="minor"/>
      </rPr>
      <t xml:space="preserve">. 
</t>
    </r>
    <r>
      <rPr>
        <b/>
        <sz val="11"/>
        <rFont val="Calibri"/>
        <family val="2"/>
        <scheme val="minor"/>
      </rPr>
      <t>2024 milestone remains the same.</t>
    </r>
  </si>
  <si>
    <t>Comments</t>
  </si>
  <si>
    <t>The co-financing rate has been revised, but the calculation of the indicator targets is still based on the previous rate.</t>
  </si>
  <si>
    <r>
      <t xml:space="preserve">It is planned to purchase </t>
    </r>
    <r>
      <rPr>
        <strike/>
        <sz val="11"/>
        <rFont val="Calibri"/>
        <family val="2"/>
        <scheme val="minor"/>
      </rPr>
      <t>310</t>
    </r>
    <r>
      <rPr>
        <sz val="11"/>
        <rFont val="Calibri"/>
        <family val="2"/>
        <charset val="186"/>
        <scheme val="minor"/>
      </rPr>
      <t xml:space="preserve"> </t>
    </r>
    <r>
      <rPr>
        <b/>
        <sz val="11"/>
        <rFont val="Calibri"/>
        <family val="2"/>
        <scheme val="minor"/>
      </rPr>
      <t>128</t>
    </r>
    <r>
      <rPr>
        <sz val="11"/>
        <rFont val="Calibri"/>
        <family val="2"/>
        <charset val="186"/>
        <scheme val="minor"/>
      </rPr>
      <t xml:space="preserve"> public vehicles powered by electricity or hydrogen (see special output "Zero-emissions vehicles for the collective public transport purshased" calculation methodology). Depending on the length of the vehicle, the average number of passenger seats is 90. The target value for 2029 is calculated 90 * </t>
    </r>
    <r>
      <rPr>
        <strike/>
        <sz val="11"/>
        <rFont val="Calibri"/>
        <family val="2"/>
        <scheme val="minor"/>
      </rPr>
      <t>310</t>
    </r>
    <r>
      <rPr>
        <sz val="11"/>
        <rFont val="Calibri"/>
        <family val="2"/>
        <charset val="186"/>
        <scheme val="minor"/>
      </rPr>
      <t xml:space="preserve"> 128 = </t>
    </r>
    <r>
      <rPr>
        <strike/>
        <sz val="11"/>
        <rFont val="Calibri"/>
        <family val="2"/>
        <scheme val="minor"/>
      </rPr>
      <t>27.900</t>
    </r>
    <r>
      <rPr>
        <sz val="11"/>
        <rFont val="Calibri"/>
        <family val="2"/>
        <charset val="186"/>
        <scheme val="minor"/>
      </rPr>
      <t xml:space="preserve"> </t>
    </r>
    <r>
      <rPr>
        <b/>
        <sz val="11"/>
        <rFont val="Calibri"/>
        <family val="2"/>
        <scheme val="minor"/>
      </rPr>
      <t>11 520</t>
    </r>
    <r>
      <rPr>
        <sz val="11"/>
        <rFont val="Calibri"/>
        <family val="2"/>
        <charset val="186"/>
        <scheme val="minor"/>
      </rPr>
      <t xml:space="preserve">.  </t>
    </r>
    <r>
      <rPr>
        <strike/>
        <sz val="11"/>
        <rFont val="Calibri"/>
        <family val="2"/>
        <scheme val="minor"/>
      </rPr>
      <t>According to the milestone value (31) of  special output indicator "Zero-emissions vehicles for the collective public transport purshased", the milsstone value in 2024 is calculated 90*31=2790.</t>
    </r>
    <r>
      <rPr>
        <sz val="11"/>
        <rFont val="Calibri"/>
        <family val="2"/>
        <charset val="186"/>
        <scheme val="minor"/>
      </rPr>
      <t xml:space="preserve"> </t>
    </r>
    <r>
      <rPr>
        <b/>
        <sz val="11"/>
        <rFont val="Calibri"/>
        <family val="2"/>
        <scheme val="minor"/>
      </rPr>
      <t>2024 milestone remains the same.</t>
    </r>
  </si>
  <si>
    <r>
      <t xml:space="preserve">In order to determine the planned value, the data of the Department of Statistics 2017-2019 (number of buses and number of transported passengers) were used. After evaluating static data, it was found that an average  1 bus carried 39.013 passengers per year (290.344.533 / 7.442≈39.013). The targer value for 2029 is calculated  39.013 * </t>
    </r>
    <r>
      <rPr>
        <strike/>
        <sz val="11"/>
        <rFont val="Calibri"/>
        <family val="2"/>
        <scheme val="minor"/>
      </rPr>
      <t>310</t>
    </r>
    <r>
      <rPr>
        <sz val="11"/>
        <rFont val="Calibri"/>
        <family val="2"/>
        <charset val="186"/>
        <scheme val="minor"/>
      </rPr>
      <t xml:space="preserve"> </t>
    </r>
    <r>
      <rPr>
        <b/>
        <sz val="11"/>
        <rFont val="Calibri"/>
        <family val="2"/>
        <scheme val="minor"/>
      </rPr>
      <t>128</t>
    </r>
    <r>
      <rPr>
        <sz val="11"/>
        <rFont val="Calibri"/>
        <family val="2"/>
        <charset val="186"/>
        <scheme val="minor"/>
      </rPr>
      <t xml:space="preserve"> (number of planned new buses, see special output "Zero-emissions vehicles for the collective public transport purshased" calculation methodology) ≈</t>
    </r>
    <r>
      <rPr>
        <strike/>
        <sz val="11"/>
        <rFont val="Calibri"/>
        <family val="2"/>
        <scheme val="minor"/>
      </rPr>
      <t>12.094.030</t>
    </r>
    <r>
      <rPr>
        <sz val="11"/>
        <rFont val="Calibri"/>
        <family val="2"/>
        <charset val="186"/>
        <scheme val="minor"/>
      </rPr>
      <t xml:space="preserve"> </t>
    </r>
    <r>
      <rPr>
        <b/>
        <sz val="11"/>
        <rFont val="Calibri"/>
        <family val="2"/>
        <scheme val="minor"/>
      </rPr>
      <t>4 993 664</t>
    </r>
    <r>
      <rPr>
        <sz val="11"/>
        <rFont val="Calibri"/>
        <family val="2"/>
        <scheme val="minor"/>
      </rPr>
      <t>.</t>
    </r>
  </si>
  <si>
    <r>
      <t xml:space="preserve">According to the market survey, the average price of 1 public vehicles powered by electricity  is about 500.000 Eur. According to a review of online sources, 1 hydrogen-powered vehicle could cost the least 1 000 000 Eur. The application of hydrogen in the energy, transport and industry sectors is under analysis in Lithuania.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hydrogen-powered public transport vehicles, it is provided the oppurtunity of EU funding   for the purchase of hydrogen powered public transport vehicles in favorable circumstances. It is assumed that hydrogen-powered public vehicles could account  10 % of public transport vehicles planned to be purchased. 
The target value for 2029 is calculated </t>
    </r>
    <r>
      <rPr>
        <strike/>
        <sz val="11"/>
        <color theme="1"/>
        <rFont val="Calibri"/>
        <family val="2"/>
        <scheme val="minor"/>
      </rPr>
      <t xml:space="preserve">170.588.235,29 </t>
    </r>
    <r>
      <rPr>
        <b/>
        <sz val="11"/>
        <color theme="1"/>
        <rFont val="Calibri"/>
        <family val="2"/>
        <scheme val="minor"/>
      </rPr>
      <t>70 547 299</t>
    </r>
    <r>
      <rPr>
        <sz val="11"/>
        <color theme="1"/>
        <rFont val="Calibri"/>
        <family val="2"/>
        <scheme val="minor"/>
      </rPr>
      <t xml:space="preserve"> /((0,90*500.000)+0,10*1.000.000)≈</t>
    </r>
    <r>
      <rPr>
        <strike/>
        <sz val="11"/>
        <color theme="1"/>
        <rFont val="Calibri"/>
        <family val="2"/>
        <scheme val="minor"/>
      </rPr>
      <t>310</t>
    </r>
    <r>
      <rPr>
        <sz val="11"/>
        <color theme="1"/>
        <rFont val="Calibri"/>
        <family val="2"/>
        <scheme val="minor"/>
      </rPr>
      <t xml:space="preserve"> </t>
    </r>
    <r>
      <rPr>
        <b/>
        <sz val="11"/>
        <color theme="1"/>
        <rFont val="Calibri"/>
        <family val="2"/>
        <scheme val="minor"/>
      </rPr>
      <t>128</t>
    </r>
    <r>
      <rPr>
        <sz val="11"/>
        <color theme="1"/>
        <rFont val="Calibri"/>
        <family val="2"/>
        <scheme val="minor"/>
      </rPr>
      <t>.T</t>
    </r>
    <r>
      <rPr>
        <strike/>
        <sz val="11"/>
        <color theme="1"/>
        <rFont val="Calibri"/>
        <family val="2"/>
        <scheme val="minor"/>
      </rPr>
      <t>he planning of the implementation (including deadlines) of traffic safety improvement measures is carried out in the way of regional planning and is not influenced by the Ministry of Transport and Communications, it is assumed that the milestone value will be 10 percent in 2024  (310* 0.1 ≈31).</t>
    </r>
    <r>
      <rPr>
        <b/>
        <sz val="11"/>
        <color theme="1"/>
        <rFont val="Calibri"/>
        <family val="2"/>
        <scheme val="minor"/>
      </rPr>
      <t xml:space="preserve">
2024 milestone remains the same.</t>
    </r>
  </si>
  <si>
    <r>
      <t>According to the latest market survey , the average price of 1 public vehicles powered by electricity  is about 500.000 Eur. According to a review of online sources, 1 hydrogen-powered vehicle could cost the least  1 000 000 Eur. The application of hydrogen in the energy, transport and industry sectors is under analysis in Lithuania. The Ministry of Energy of the Republic of Lithuania plans to prepare national guidelines for the development of the hydrogen sector and an action plan for their implementation by 2022. In these guidelines and action plan  hydrogen demand and supply will be modeled in the transport  sector. Whereas there are no posibility currently to specify the need and forecasts of hydrogen-powered public transport vehicles, it is provided the oppurtunity of EU funding   for the purchase of hydrogen powered public transport vehicles in favorable circumstances. It is assumed that hydrogen-powered public vehicles could account  10 % of public transport vehicles planned to be purschased. The target value for 2029 is calculated</t>
    </r>
    <r>
      <rPr>
        <strike/>
        <sz val="11"/>
        <rFont val="Calibri"/>
        <family val="2"/>
        <scheme val="minor"/>
      </rPr>
      <t xml:space="preserve"> 17.647.058,82</t>
    </r>
    <r>
      <rPr>
        <sz val="11"/>
        <rFont val="Calibri"/>
        <family val="2"/>
        <scheme val="minor"/>
      </rPr>
      <t xml:space="preserve"> </t>
    </r>
    <r>
      <rPr>
        <b/>
        <sz val="11"/>
        <rFont val="Calibri"/>
        <family val="2"/>
        <scheme val="minor"/>
      </rPr>
      <t>42 352</t>
    </r>
    <r>
      <rPr>
        <sz val="11"/>
        <rFont val="Calibri"/>
        <family val="2"/>
        <scheme val="minor"/>
      </rPr>
      <t xml:space="preserve"> </t>
    </r>
    <r>
      <rPr>
        <b/>
        <sz val="11"/>
        <rFont val="Calibri"/>
        <family val="2"/>
        <scheme val="minor"/>
      </rPr>
      <t>941</t>
    </r>
    <r>
      <rPr>
        <sz val="11"/>
        <rFont val="Calibri"/>
        <family val="2"/>
        <scheme val="minor"/>
      </rPr>
      <t>/((0,90*500.000)+0,10*1.000.000)≈</t>
    </r>
    <r>
      <rPr>
        <strike/>
        <sz val="11"/>
        <rFont val="Calibri"/>
        <family val="2"/>
        <scheme val="minor"/>
      </rPr>
      <t xml:space="preserve">32 </t>
    </r>
    <r>
      <rPr>
        <b/>
        <sz val="11"/>
        <rFont val="Calibri"/>
        <family val="2"/>
        <scheme val="minor"/>
      </rPr>
      <t>77</t>
    </r>
    <r>
      <rPr>
        <sz val="11"/>
        <rFont val="Calibri"/>
        <family val="2"/>
        <scheme val="minor"/>
      </rPr>
      <t xml:space="preserve">. </t>
    </r>
    <r>
      <rPr>
        <strike/>
        <sz val="11"/>
        <rFont val="Calibri"/>
        <family val="2"/>
        <scheme val="minor"/>
      </rPr>
      <t xml:space="preserve">The planning of the implementation (including deadlines) of traffic safety improvement measures is carried out in the way of regional planning and is not influenced by the Ministry of Transport and Communications., it is assumed that the milestone value will be 10 percent in 2024  (32* 0.1 </t>
    </r>
    <r>
      <rPr>
        <strike/>
        <sz val="11"/>
        <rFont val="Calibri"/>
        <family val="2"/>
      </rPr>
      <t>≈3</t>
    </r>
    <r>
      <rPr>
        <strike/>
        <sz val="11"/>
        <rFont val="Calibri"/>
        <family val="2"/>
        <scheme val="minor"/>
      </rPr>
      <t>)</t>
    </r>
    <r>
      <rPr>
        <sz val="11"/>
        <rFont val="Calibri"/>
        <family val="2"/>
        <charset val="186"/>
        <scheme val="minor"/>
      </rPr>
      <t xml:space="preserve">
</t>
    </r>
    <r>
      <rPr>
        <b/>
        <sz val="11"/>
        <rFont val="Calibri"/>
        <family val="2"/>
        <scheme val="minor"/>
      </rPr>
      <t>2024 milestone remains the same.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</si>
</sst>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
    <numFmt numFmtId="166" formatCode="#,##0.0000"/>
  </numFmts>
  <fonts count="6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b/>
      <sz val="11"/>
      <color rgb="FFFF0000"/>
      <name val="Calibri"/>
      <family val="2"/>
      <charset val="186"/>
      <scheme val="minor"/>
    </font>
    <font>
      <sz val="9"/>
      <color indexed="81"/>
      <name val="Tahoma"/>
      <family val="2"/>
      <charset val="186"/>
    </font>
    <font>
      <b/>
      <sz val="9"/>
      <color indexed="81"/>
      <name val="Tahoma"/>
      <family val="2"/>
      <charset val="186"/>
    </font>
    <font>
      <sz val="11"/>
      <name val="Calibri"/>
      <family val="2"/>
      <charset val="186"/>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theme="1"/>
      <name val="Times New Roman"/>
      <family val="1"/>
      <charset val="186"/>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sz val="10"/>
      <name val="Calibri"/>
      <family val="2"/>
      <charset val="186"/>
      <scheme val="minor"/>
    </font>
    <font>
      <strike/>
      <sz val="11"/>
      <color theme="1"/>
      <name val="Calibri"/>
      <family val="2"/>
      <scheme val="minor"/>
    </font>
    <font>
      <b/>
      <sz val="10"/>
      <color rgb="FFFF0000"/>
      <name val="Calibri"/>
      <family val="2"/>
      <scheme val="minor"/>
    </font>
    <font>
      <sz val="8"/>
      <name val="Calibri"/>
      <family val="2"/>
      <scheme val="minor"/>
    </font>
    <font>
      <sz val="7.7"/>
      <name val="Calibri"/>
      <family val="2"/>
    </font>
    <font>
      <strike/>
      <sz val="11"/>
      <name val="Calibri"/>
      <family val="2"/>
      <charset val="186"/>
      <scheme val="minor"/>
    </font>
    <font>
      <strike/>
      <sz val="11"/>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family val="1"/>
    </font>
    <font>
      <b/>
      <sz val="12"/>
      <color rgb="FFFF0000"/>
      <name val="Times New Roman"/>
      <family val="1"/>
      <charset val="186"/>
    </font>
    <font>
      <sz val="6.05"/>
      <color rgb="FFFF0000"/>
      <name val="Calibri"/>
      <family val="2"/>
      <charset val="186"/>
    </font>
    <font>
      <sz val="11"/>
      <color rgb="FF202124"/>
      <name val="Calibri"/>
      <family val="2"/>
      <charset val="186"/>
      <scheme val="minor"/>
    </font>
    <font>
      <b/>
      <sz val="11"/>
      <color rgb="FFFF0000"/>
      <name val="Calibri"/>
      <family val="2"/>
      <scheme val="minor"/>
    </font>
    <font>
      <sz val="26"/>
      <color rgb="FFFF0000"/>
      <name val="Calibri"/>
      <family val="2"/>
      <scheme val="minor"/>
    </font>
    <font>
      <sz val="7.7"/>
      <color rgb="FFFF0000"/>
      <name val="Calibri"/>
      <family val="2"/>
      <charset val="186"/>
    </font>
    <font>
      <b/>
      <sz val="11"/>
      <name val="Calibri"/>
      <family val="2"/>
      <scheme val="minor"/>
    </font>
    <font>
      <sz val="11"/>
      <color theme="4"/>
      <name val="Calibri"/>
      <family val="2"/>
      <scheme val="minor"/>
    </font>
    <font>
      <sz val="10"/>
      <color rgb="FF000000"/>
      <name val="Calibri"/>
      <family val="2"/>
      <charset val="186"/>
      <scheme val="minor"/>
    </font>
    <font>
      <b/>
      <sz val="11"/>
      <color theme="1"/>
      <name val="Calibri"/>
      <family val="2"/>
      <scheme val="minor"/>
    </font>
    <font>
      <u/>
      <sz val="11"/>
      <name val="Calibri"/>
      <family val="2"/>
      <charset val="186"/>
      <scheme val="minor"/>
    </font>
    <font>
      <sz val="11"/>
      <color rgb="FF000000"/>
      <name val="Calibri"/>
      <family val="2"/>
      <charset val="186"/>
      <scheme val="minor"/>
    </font>
    <font>
      <sz val="11"/>
      <color rgb="FF000000"/>
      <name val="Calibri"/>
      <family val="2"/>
      <charset val="186"/>
    </font>
    <font>
      <u/>
      <sz val="11"/>
      <name val="Calibri"/>
      <family val="2"/>
      <scheme val="minor"/>
    </font>
    <font>
      <sz val="11"/>
      <color rgb="FF000000"/>
      <name val="Calibri"/>
      <family val="2"/>
      <scheme val="minor"/>
    </font>
    <font>
      <strike/>
      <sz val="11"/>
      <name val="Calibri"/>
      <family val="2"/>
      <scheme val="minor"/>
    </font>
    <font>
      <strike/>
      <sz val="11"/>
      <name val="Calibri"/>
      <family val="2"/>
    </font>
    <font>
      <b/>
      <sz val="11"/>
      <name val="Calibri"/>
      <family val="2"/>
    </font>
    <font>
      <strike/>
      <sz val="11"/>
      <color rgb="FF000000"/>
      <name val="Calibri"/>
      <family val="2"/>
      <scheme val="minor"/>
    </font>
    <font>
      <b/>
      <sz val="11"/>
      <color rgb="FF000000"/>
      <name val="Calibri"/>
      <family val="2"/>
      <scheme val="minor"/>
    </font>
    <font>
      <sz val="11"/>
      <color rgb="FFC00000"/>
      <name val="Calibri"/>
      <family val="2"/>
      <scheme val="minor"/>
    </font>
    <font>
      <b/>
      <sz val="11"/>
      <color rgb="FFC0000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99">
    <xf numFmtId="0" fontId="0" fillId="0" borderId="0" xfId="0"/>
    <xf numFmtId="0" fontId="6" fillId="0" borderId="2" xfId="0" applyFont="1" applyBorder="1" applyAlignment="1">
      <alignment vertical="top" wrapText="1"/>
    </xf>
    <xf numFmtId="0" fontId="6" fillId="0" borderId="2" xfId="0" applyFont="1" applyBorder="1" applyAlignment="1">
      <alignment vertical="top"/>
    </xf>
    <xf numFmtId="0" fontId="0" fillId="0" borderId="1" xfId="0" applyBorder="1"/>
    <xf numFmtId="4" fontId="0" fillId="0" borderId="1" xfId="0" applyNumberFormat="1" applyBorder="1"/>
    <xf numFmtId="0" fontId="7" fillId="0" borderId="14" xfId="0" applyFont="1" applyBorder="1" applyAlignment="1">
      <alignment vertical="top" wrapText="1"/>
    </xf>
    <xf numFmtId="0" fontId="6" fillId="0" borderId="14" xfId="0" applyFont="1" applyBorder="1" applyAlignment="1">
      <alignment vertical="top" wrapText="1"/>
    </xf>
    <xf numFmtId="0" fontId="6" fillId="0" borderId="2" xfId="0" applyFont="1" applyBorder="1" applyAlignment="1">
      <alignment horizontal="center" vertical="center"/>
    </xf>
    <xf numFmtId="0" fontId="9" fillId="0" borderId="1" xfId="0" applyFont="1" applyBorder="1" applyAlignment="1">
      <alignment horizontal="center" vertical="center"/>
    </xf>
    <xf numFmtId="0" fontId="6" fillId="0" borderId="0" xfId="0" applyFont="1"/>
    <xf numFmtId="49" fontId="0" fillId="0" borderId="0" xfId="0" applyNumberFormat="1"/>
    <xf numFmtId="164" fontId="6" fillId="0" borderId="2"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wrapText="1"/>
    </xf>
    <xf numFmtId="0" fontId="20" fillId="0" borderId="1" xfId="0" applyFont="1" applyBorder="1" applyAlignment="1">
      <alignment horizontal="center" vertical="center" wrapText="1"/>
    </xf>
    <xf numFmtId="0" fontId="0" fillId="0" borderId="0" xfId="0" applyAlignment="1">
      <alignment horizontal="center" vertical="center"/>
    </xf>
    <xf numFmtId="3" fontId="14" fillId="0" borderId="1" xfId="0" applyNumberFormat="1" applyFont="1" applyBorder="1" applyAlignment="1">
      <alignment horizontal="center" vertical="center" wrapText="1"/>
    </xf>
    <xf numFmtId="4" fontId="0" fillId="0" borderId="0" xfId="0" applyNumberFormat="1"/>
    <xf numFmtId="49" fontId="21" fillId="0" borderId="0" xfId="0" applyNumberFormat="1" applyFont="1" applyAlignment="1">
      <alignment wrapText="1"/>
    </xf>
    <xf numFmtId="49" fontId="21" fillId="0" borderId="0" xfId="0" applyNumberFormat="1" applyFont="1"/>
    <xf numFmtId="0" fontId="21" fillId="0" borderId="0" xfId="0" applyFont="1"/>
    <xf numFmtId="49" fontId="21" fillId="0" borderId="0" xfId="0" applyNumberFormat="1" applyFont="1" applyAlignment="1">
      <alignment horizontal="center" vertical="center" wrapText="1"/>
    </xf>
    <xf numFmtId="49" fontId="22" fillId="0" borderId="0" xfId="0" applyNumberFormat="1" applyFont="1" applyAlignment="1">
      <alignment horizontal="center" vertical="center" wrapText="1"/>
    </xf>
    <xf numFmtId="4" fontId="21" fillId="0" borderId="0" xfId="0" applyNumberFormat="1" applyFont="1" applyAlignment="1">
      <alignment horizontal="center" vertical="center" wrapText="1"/>
    </xf>
    <xf numFmtId="49" fontId="21" fillId="0" borderId="0" xfId="0" applyNumberFormat="1" applyFont="1" applyAlignment="1">
      <alignment horizontal="center" vertical="top" wrapText="1"/>
    </xf>
    <xf numFmtId="49" fontId="0" fillId="0" borderId="1" xfId="0" applyNumberFormat="1" applyBorder="1" applyAlignment="1">
      <alignment horizontal="center" vertical="center"/>
    </xf>
    <xf numFmtId="49" fontId="0" fillId="0" borderId="7" xfId="0" applyNumberFormat="1" applyBorder="1" applyAlignment="1">
      <alignment horizontal="center" vertical="center"/>
    </xf>
    <xf numFmtId="49" fontId="14" fillId="0" borderId="7" xfId="0" applyNumberFormat="1" applyFont="1" applyBorder="1" applyAlignment="1">
      <alignment horizontal="center" vertical="center" wrapText="1"/>
    </xf>
    <xf numFmtId="4" fontId="14" fillId="0" borderId="7" xfId="0" applyNumberFormat="1" applyFont="1" applyBorder="1" applyAlignment="1">
      <alignment horizontal="center" vertical="center" wrapText="1"/>
    </xf>
    <xf numFmtId="0" fontId="24" fillId="0" borderId="0" xfId="0" applyFont="1"/>
    <xf numFmtId="0" fontId="0" fillId="0" borderId="0" xfId="0" applyAlignment="1">
      <alignment horizontal="center" vertical="center" wrapText="1"/>
    </xf>
    <xf numFmtId="3" fontId="0" fillId="0" borderId="1" xfId="0" applyNumberFormat="1" applyBorder="1" applyAlignment="1">
      <alignment horizontal="center" vertical="center"/>
    </xf>
    <xf numFmtId="1" fontId="14" fillId="0" borderId="1"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0" xfId="0" applyNumberFormat="1" applyAlignment="1">
      <alignment wrapText="1"/>
    </xf>
    <xf numFmtId="165" fontId="0" fillId="0" borderId="1" xfId="0" applyNumberFormat="1" applyBorder="1" applyAlignment="1">
      <alignment horizontal="center" vertical="center" wrapText="1"/>
    </xf>
    <xf numFmtId="49" fontId="7" fillId="0" borderId="12" xfId="0" applyNumberFormat="1" applyFont="1" applyBorder="1" applyAlignment="1">
      <alignment horizontal="center" vertical="center" wrapText="1"/>
    </xf>
    <xf numFmtId="49" fontId="0" fillId="0" borderId="20" xfId="0" applyNumberFormat="1" applyBorder="1" applyAlignment="1">
      <alignment wrapText="1"/>
    </xf>
    <xf numFmtId="49" fontId="0" fillId="8" borderId="2" xfId="0" applyNumberFormat="1" applyFill="1" applyBorder="1" applyAlignment="1">
      <alignment horizontal="center" vertical="center" wrapText="1"/>
    </xf>
    <xf numFmtId="0" fontId="0" fillId="8" borderId="10" xfId="0" applyFill="1" applyBorder="1" applyAlignment="1">
      <alignment horizontal="center" vertical="center" wrapText="1"/>
    </xf>
    <xf numFmtId="4" fontId="0" fillId="8" borderId="12" xfId="0" applyNumberFormat="1" applyFill="1" applyBorder="1" applyAlignment="1">
      <alignment horizontal="center" vertical="center"/>
    </xf>
    <xf numFmtId="49" fontId="0" fillId="8" borderId="12" xfId="0" applyNumberFormat="1" applyFill="1" applyBorder="1" applyAlignment="1">
      <alignment horizontal="center" vertical="center" wrapText="1"/>
    </xf>
    <xf numFmtId="4" fontId="0" fillId="8" borderId="12" xfId="0" applyNumberFormat="1" applyFill="1" applyBorder="1" applyAlignment="1">
      <alignment horizontal="center" vertical="center" wrapText="1"/>
    </xf>
    <xf numFmtId="49" fontId="0" fillId="0" borderId="18" xfId="0" applyNumberFormat="1" applyBorder="1" applyAlignment="1">
      <alignment wrapText="1"/>
    </xf>
    <xf numFmtId="3" fontId="14" fillId="0" borderId="7" xfId="0" applyNumberFormat="1" applyFont="1" applyBorder="1" applyAlignment="1">
      <alignment horizontal="center" vertical="center" wrapText="1"/>
    </xf>
    <xf numFmtId="49" fontId="0" fillId="0" borderId="22" xfId="0" applyNumberFormat="1" applyBorder="1" applyAlignment="1">
      <alignment horizontal="center" vertical="center"/>
    </xf>
    <xf numFmtId="49" fontId="0" fillId="0" borderId="34" xfId="0" applyNumberFormat="1" applyBorder="1" applyAlignment="1">
      <alignment horizontal="center" vertical="center"/>
    </xf>
    <xf numFmtId="0" fontId="26" fillId="0" borderId="0" xfId="0" applyFont="1"/>
    <xf numFmtId="49" fontId="0" fillId="0" borderId="17" xfId="0" applyNumberFormat="1" applyBorder="1" applyAlignment="1">
      <alignment horizontal="left" vertical="center" wrapText="1"/>
    </xf>
    <xf numFmtId="49" fontId="21" fillId="0" borderId="0" xfId="0" applyNumberFormat="1" applyFont="1" applyAlignment="1">
      <alignment horizontal="center" vertical="center"/>
    </xf>
    <xf numFmtId="49" fontId="21" fillId="0" borderId="0" xfId="0" applyNumberFormat="1" applyFont="1" applyAlignment="1">
      <alignment horizontal="left" vertical="top" wrapText="1"/>
    </xf>
    <xf numFmtId="49" fontId="0" fillId="0" borderId="0" xfId="0" applyNumberFormat="1" applyAlignment="1">
      <alignment horizontal="center" vertical="center"/>
    </xf>
    <xf numFmtId="4" fontId="14" fillId="0" borderId="0" xfId="0" applyNumberFormat="1" applyFont="1" applyAlignment="1">
      <alignment horizontal="center" vertical="center"/>
    </xf>
    <xf numFmtId="4" fontId="22" fillId="0" borderId="0" xfId="0" applyNumberFormat="1" applyFont="1" applyAlignment="1">
      <alignment horizontal="center" vertical="center" wrapText="1"/>
    </xf>
    <xf numFmtId="4" fontId="22" fillId="0" borderId="0" xfId="0" applyNumberFormat="1" applyFont="1" applyAlignment="1">
      <alignment horizontal="center" vertical="center"/>
    </xf>
    <xf numFmtId="4" fontId="27" fillId="0" borderId="0" xfId="0" applyNumberFormat="1" applyFont="1" applyAlignment="1">
      <alignment wrapText="1"/>
    </xf>
    <xf numFmtId="49" fontId="27" fillId="0" borderId="0" xfId="0" applyNumberFormat="1" applyFont="1" applyAlignment="1">
      <alignment wrapText="1"/>
    </xf>
    <xf numFmtId="49" fontId="27" fillId="0" borderId="0" xfId="0" applyNumberFormat="1" applyFont="1"/>
    <xf numFmtId="0" fontId="27" fillId="0" borderId="0" xfId="0" applyFont="1"/>
    <xf numFmtId="49" fontId="14" fillId="0" borderId="28" xfId="0" applyNumberFormat="1" applyFont="1" applyBorder="1" applyAlignment="1">
      <alignment vertical="top" wrapText="1"/>
    </xf>
    <xf numFmtId="3" fontId="14" fillId="0" borderId="2" xfId="0" applyNumberFormat="1" applyFont="1" applyBorder="1" applyAlignment="1">
      <alignment horizontal="center" vertical="center" wrapText="1"/>
    </xf>
    <xf numFmtId="49" fontId="14" fillId="0" borderId="20" xfId="0" applyNumberFormat="1" applyFont="1" applyBorder="1" applyAlignment="1">
      <alignment vertical="top" wrapText="1"/>
    </xf>
    <xf numFmtId="49" fontId="14" fillId="0" borderId="17" xfId="0" applyNumberFormat="1" applyFont="1" applyBorder="1" applyAlignment="1">
      <alignment vertical="top" wrapText="1"/>
    </xf>
    <xf numFmtId="3" fontId="14" fillId="0" borderId="12" xfId="0" applyNumberFormat="1" applyFont="1" applyBorder="1" applyAlignment="1">
      <alignment horizontal="center" vertical="center" wrapText="1"/>
    </xf>
    <xf numFmtId="49" fontId="0" fillId="0" borderId="32" xfId="0" applyNumberFormat="1" applyBorder="1" applyAlignment="1">
      <alignment horizontal="center" vertical="center" wrapText="1"/>
    </xf>
    <xf numFmtId="49" fontId="0" fillId="0" borderId="4" xfId="0" applyNumberFormat="1" applyBorder="1" applyAlignment="1">
      <alignment horizontal="center" vertical="center" wrapText="1"/>
    </xf>
    <xf numFmtId="49" fontId="14" fillId="0" borderId="5" xfId="0" applyNumberFormat="1" applyFont="1" applyBorder="1" applyAlignment="1">
      <alignment horizontal="center" vertical="center" wrapText="1"/>
    </xf>
    <xf numFmtId="3" fontId="14" fillId="0" borderId="5" xfId="0" applyNumberFormat="1" applyFont="1" applyBorder="1" applyAlignment="1">
      <alignment horizontal="center" vertical="center" wrapText="1"/>
    </xf>
    <xf numFmtId="4" fontId="21" fillId="0" borderId="0" xfId="0" applyNumberFormat="1" applyFont="1" applyAlignment="1">
      <alignment wrapText="1"/>
    </xf>
    <xf numFmtId="4" fontId="0" fillId="0" borderId="0" xfId="0" applyNumberFormat="1" applyAlignment="1">
      <alignment wrapText="1"/>
    </xf>
    <xf numFmtId="3" fontId="0" fillId="0" borderId="1" xfId="0" applyNumberFormat="1" applyBorder="1" applyAlignment="1">
      <alignment horizontal="center" vertical="center" wrapText="1"/>
    </xf>
    <xf numFmtId="0" fontId="6" fillId="0" borderId="2" xfId="0" applyFont="1" applyBorder="1" applyAlignment="1">
      <alignment horizontal="center" vertical="center" wrapText="1"/>
    </xf>
    <xf numFmtId="4" fontId="0" fillId="0" borderId="1" xfId="0" applyNumberFormat="1" applyBorder="1" applyAlignment="1">
      <alignment horizontal="center" vertical="center"/>
    </xf>
    <xf numFmtId="4" fontId="0" fillId="0" borderId="1" xfId="0" applyNumberFormat="1" applyBorder="1" applyAlignment="1">
      <alignment horizontal="center" vertical="center" wrapText="1"/>
    </xf>
    <xf numFmtId="0" fontId="0" fillId="0" borderId="1" xfId="0" applyBorder="1" applyAlignment="1">
      <alignment horizontal="center" vertical="center"/>
    </xf>
    <xf numFmtId="2" fontId="21" fillId="0" borderId="0" xfId="0" applyNumberFormat="1" applyFont="1" applyAlignment="1">
      <alignment wrapText="1"/>
    </xf>
    <xf numFmtId="0" fontId="0" fillId="0" borderId="13" xfId="0" applyBorder="1"/>
    <xf numFmtId="49" fontId="0" fillId="0" borderId="2" xfId="0" applyNumberFormat="1" applyBorder="1" applyAlignment="1">
      <alignment horizontal="center" vertical="center" wrapText="1"/>
    </xf>
    <xf numFmtId="3" fontId="0" fillId="0" borderId="2" xfId="0" applyNumberFormat="1" applyBorder="1" applyAlignment="1">
      <alignment horizontal="center" vertical="center" wrapText="1"/>
    </xf>
    <xf numFmtId="4" fontId="21" fillId="0" borderId="0" xfId="0" applyNumberFormat="1" applyFont="1" applyAlignment="1">
      <alignment horizontal="left" vertical="top" wrapText="1"/>
    </xf>
    <xf numFmtId="3" fontId="0" fillId="0" borderId="0" xfId="0" applyNumberFormat="1"/>
    <xf numFmtId="3" fontId="13"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0" fontId="14" fillId="0" borderId="1" xfId="0" applyFont="1" applyBorder="1" applyAlignment="1">
      <alignment horizontal="center" vertical="center"/>
    </xf>
    <xf numFmtId="49" fontId="14" fillId="0" borderId="1" xfId="0" applyNumberFormat="1" applyFont="1" applyBorder="1" applyAlignment="1">
      <alignment horizontal="center" vertical="center"/>
    </xf>
    <xf numFmtId="49" fontId="14" fillId="0" borderId="8" xfId="0" applyNumberFormat="1" applyFont="1" applyBorder="1" applyAlignment="1">
      <alignment horizontal="center" vertical="center"/>
    </xf>
    <xf numFmtId="4" fontId="0" fillId="0" borderId="10" xfId="0" applyNumberFormat="1" applyBorder="1" applyAlignment="1">
      <alignment horizontal="center" vertical="center" wrapText="1"/>
    </xf>
    <xf numFmtId="0" fontId="0" fillId="0" borderId="1" xfId="0" applyBorder="1" applyAlignment="1">
      <alignment horizontal="center" vertical="center" wrapText="1"/>
    </xf>
    <xf numFmtId="49" fontId="0" fillId="6" borderId="2" xfId="0" applyNumberFormat="1" applyFill="1" applyBorder="1" applyAlignment="1">
      <alignment horizontal="center" vertical="center" wrapText="1"/>
    </xf>
    <xf numFmtId="49" fontId="14" fillId="0" borderId="12"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49" fontId="14" fillId="0" borderId="17" xfId="0" applyNumberFormat="1" applyFont="1" applyBorder="1" applyAlignment="1">
      <alignment horizontal="left" vertical="center" wrapText="1"/>
    </xf>
    <xf numFmtId="2" fontId="27" fillId="0" borderId="0" xfId="0" applyNumberFormat="1" applyFont="1" applyAlignment="1">
      <alignment wrapText="1"/>
    </xf>
    <xf numFmtId="1" fontId="13"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4" fontId="14" fillId="0" borderId="17" xfId="0" applyNumberFormat="1" applyFont="1" applyBorder="1" applyAlignment="1">
      <alignment vertical="top" wrapText="1"/>
    </xf>
    <xf numFmtId="49" fontId="22" fillId="0" borderId="12" xfId="0" applyNumberFormat="1" applyFont="1" applyBorder="1" applyAlignment="1" applyProtection="1">
      <alignment horizontal="center" vertical="center" wrapText="1"/>
      <protection locked="0"/>
    </xf>
    <xf numFmtId="49" fontId="0" fillId="5" borderId="7" xfId="0" applyNumberFormat="1" applyFill="1" applyBorder="1" applyAlignment="1">
      <alignment horizontal="center" vertical="center"/>
    </xf>
    <xf numFmtId="49" fontId="0" fillId="5" borderId="7" xfId="0" applyNumberFormat="1" applyFill="1" applyBorder="1" applyAlignment="1">
      <alignment horizontal="center" vertical="center" wrapText="1"/>
    </xf>
    <xf numFmtId="165" fontId="0" fillId="5" borderId="1" xfId="0" applyNumberFormat="1" applyFill="1" applyBorder="1" applyAlignment="1">
      <alignment horizontal="center" vertical="center" wrapText="1"/>
    </xf>
    <xf numFmtId="0" fontId="20" fillId="5" borderId="1" xfId="0" applyFont="1" applyFill="1" applyBorder="1" applyAlignment="1">
      <alignment horizontal="center" vertical="center" wrapText="1"/>
    </xf>
    <xf numFmtId="4" fontId="0" fillId="5" borderId="1" xfId="0" applyNumberFormat="1" applyFill="1" applyBorder="1" applyAlignment="1">
      <alignment horizontal="center" vertical="center"/>
    </xf>
    <xf numFmtId="0" fontId="0" fillId="5" borderId="1" xfId="0" applyFill="1" applyBorder="1" applyAlignment="1">
      <alignment horizontal="center" vertical="center"/>
    </xf>
    <xf numFmtId="3" fontId="0" fillId="5" borderId="1" xfId="0" applyNumberFormat="1" applyFill="1" applyBorder="1" applyAlignment="1">
      <alignment horizontal="center" vertical="center"/>
    </xf>
    <xf numFmtId="0" fontId="0" fillId="5" borderId="0" xfId="0" applyFill="1"/>
    <xf numFmtId="4" fontId="0" fillId="5" borderId="0" xfId="0" applyNumberFormat="1" applyFill="1"/>
    <xf numFmtId="49" fontId="9" fillId="5" borderId="1" xfId="0" applyNumberFormat="1" applyFont="1" applyFill="1" applyBorder="1" applyAlignment="1">
      <alignment horizontal="center" vertical="center" wrapText="1"/>
    </xf>
    <xf numFmtId="0" fontId="0" fillId="5" borderId="1" xfId="0" applyFill="1" applyBorder="1" applyAlignment="1">
      <alignment horizontal="center" vertical="center" wrapText="1"/>
    </xf>
    <xf numFmtId="49" fontId="14" fillId="5" borderId="1" xfId="0" applyNumberFormat="1" applyFont="1" applyFill="1" applyBorder="1" applyAlignment="1">
      <alignment horizontal="center" vertical="center" wrapText="1"/>
    </xf>
    <xf numFmtId="49" fontId="0" fillId="5" borderId="1" xfId="0" applyNumberFormat="1" applyFill="1" applyBorder="1" applyAlignment="1">
      <alignment horizontal="center" vertical="center" wrapText="1"/>
    </xf>
    <xf numFmtId="49" fontId="0" fillId="5" borderId="1" xfId="0" applyNumberFormat="1" applyFill="1" applyBorder="1" applyAlignment="1">
      <alignment horizontal="center" vertical="center"/>
    </xf>
    <xf numFmtId="49" fontId="14" fillId="5" borderId="1" xfId="0" applyNumberFormat="1" applyFont="1" applyFill="1" applyBorder="1" applyAlignment="1">
      <alignment horizontal="center" vertical="center"/>
    </xf>
    <xf numFmtId="49" fontId="14" fillId="5" borderId="2" xfId="0" applyNumberFormat="1" applyFont="1" applyFill="1" applyBorder="1" applyAlignment="1">
      <alignment horizontal="center" vertical="center" wrapText="1"/>
    </xf>
    <xf numFmtId="3" fontId="0" fillId="5" borderId="1" xfId="0" applyNumberFormat="1" applyFill="1" applyBorder="1" applyAlignment="1">
      <alignment horizontal="center" vertical="center" wrapText="1"/>
    </xf>
    <xf numFmtId="49" fontId="0" fillId="5" borderId="4" xfId="0" applyNumberFormat="1" applyFill="1" applyBorder="1" applyAlignment="1">
      <alignment horizontal="center" vertical="center" wrapText="1"/>
    </xf>
    <xf numFmtId="2" fontId="0" fillId="5" borderId="1" xfId="0" applyNumberFormat="1" applyFill="1" applyBorder="1" applyAlignment="1">
      <alignment horizontal="center" vertical="center"/>
    </xf>
    <xf numFmtId="0" fontId="0" fillId="5" borderId="0" xfId="0" applyFill="1" applyAlignment="1">
      <alignment horizontal="center" vertical="center" wrapText="1"/>
    </xf>
    <xf numFmtId="1" fontId="0" fillId="5" borderId="1" xfId="0" applyNumberFormat="1" applyFill="1" applyBorder="1" applyAlignment="1">
      <alignment horizontal="center" vertical="center"/>
    </xf>
    <xf numFmtId="4" fontId="0" fillId="5" borderId="1" xfId="0" applyNumberFormat="1" applyFill="1" applyBorder="1" applyAlignment="1">
      <alignment horizontal="center" vertical="center" wrapText="1"/>
    </xf>
    <xf numFmtId="49" fontId="0" fillId="5" borderId="2" xfId="0" applyNumberFormat="1" applyFill="1" applyBorder="1" applyAlignment="1">
      <alignment horizontal="center" vertical="center" wrapText="1"/>
    </xf>
    <xf numFmtId="49" fontId="14" fillId="0" borderId="16" xfId="0" applyNumberFormat="1" applyFont="1" applyBorder="1" applyAlignment="1">
      <alignment vertical="center" wrapText="1"/>
    </xf>
    <xf numFmtId="0" fontId="14" fillId="0" borderId="1" xfId="0" applyFont="1" applyBorder="1" applyAlignment="1">
      <alignment horizontal="center" vertical="center" wrapText="1"/>
    </xf>
    <xf numFmtId="49" fontId="0" fillId="6" borderId="10" xfId="0" applyNumberFormat="1" applyFill="1" applyBorder="1" applyAlignment="1">
      <alignment horizontal="center" vertical="center" wrapText="1"/>
    </xf>
    <xf numFmtId="49" fontId="0" fillId="0" borderId="10" xfId="0" applyNumberFormat="1" applyBorder="1" applyAlignment="1">
      <alignment horizontal="center" vertical="center" wrapText="1"/>
    </xf>
    <xf numFmtId="49" fontId="0" fillId="0" borderId="21" xfId="0" applyNumberFormat="1" applyBorder="1" applyAlignment="1">
      <alignment horizontal="center" vertical="center" wrapText="1"/>
    </xf>
    <xf numFmtId="4" fontId="0" fillId="0" borderId="10" xfId="0" applyNumberFormat="1" applyBorder="1" applyAlignment="1">
      <alignment horizontal="center" vertical="center"/>
    </xf>
    <xf numFmtId="4" fontId="14" fillId="0" borderId="10" xfId="0" applyNumberFormat="1" applyFont="1" applyBorder="1" applyAlignment="1">
      <alignment horizontal="center" vertical="center"/>
    </xf>
    <xf numFmtId="3" fontId="9" fillId="0" borderId="12" xfId="0" applyNumberFormat="1" applyFont="1" applyBorder="1" applyAlignment="1">
      <alignment horizontal="center" vertical="center" wrapText="1"/>
    </xf>
    <xf numFmtId="49" fontId="13" fillId="0" borderId="17" xfId="0" applyNumberFormat="1" applyFont="1" applyBorder="1" applyAlignment="1">
      <alignment vertical="top" wrapText="1"/>
    </xf>
    <xf numFmtId="49" fontId="14" fillId="0" borderId="0" xfId="0" applyNumberFormat="1" applyFont="1" applyAlignment="1">
      <alignment horizontal="center" vertical="center" wrapText="1"/>
    </xf>
    <xf numFmtId="3" fontId="14" fillId="0" borderId="0" xfId="0" applyNumberFormat="1" applyFont="1" applyAlignment="1">
      <alignment horizontal="center" vertical="center" wrapText="1"/>
    </xf>
    <xf numFmtId="3" fontId="13" fillId="0" borderId="0" xfId="0" applyNumberFormat="1" applyFont="1" applyAlignment="1">
      <alignment horizontal="center" vertical="center" wrapText="1"/>
    </xf>
    <xf numFmtId="49" fontId="14" fillId="0" borderId="0" xfId="0" applyNumberFormat="1" applyFont="1" applyAlignment="1">
      <alignment vertical="top" wrapText="1"/>
    </xf>
    <xf numFmtId="0" fontId="14" fillId="0" borderId="0" xfId="0" applyFont="1" applyAlignment="1">
      <alignment horizontal="center" vertical="center"/>
    </xf>
    <xf numFmtId="1" fontId="13" fillId="0" borderId="0" xfId="0" applyNumberFormat="1" applyFont="1" applyAlignment="1">
      <alignment horizontal="center" vertical="center"/>
    </xf>
    <xf numFmtId="4" fontId="14" fillId="0" borderId="0" xfId="0" applyNumberFormat="1" applyFont="1" applyAlignment="1">
      <alignment vertical="top" wrapText="1"/>
    </xf>
    <xf numFmtId="49" fontId="9" fillId="0" borderId="7" xfId="0"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49" fontId="10" fillId="0" borderId="0" xfId="0" applyNumberFormat="1" applyFont="1" applyAlignment="1">
      <alignment wrapText="1"/>
    </xf>
    <xf numFmtId="49" fontId="9" fillId="0" borderId="1" xfId="0" applyNumberFormat="1" applyFont="1" applyBorder="1" applyAlignment="1">
      <alignment horizontal="center" vertical="center" wrapText="1"/>
    </xf>
    <xf numFmtId="3" fontId="0" fillId="0" borderId="10" xfId="0" applyNumberFormat="1" applyBorder="1" applyAlignment="1">
      <alignment horizontal="center" vertical="center" wrapText="1"/>
    </xf>
    <xf numFmtId="0" fontId="32" fillId="0" borderId="0" xfId="0" applyFont="1" applyAlignment="1">
      <alignment wrapText="1"/>
    </xf>
    <xf numFmtId="0" fontId="33" fillId="0" borderId="0" xfId="0" applyFont="1" applyAlignment="1">
      <alignment horizontal="center" vertical="center"/>
    </xf>
    <xf numFmtId="49" fontId="33" fillId="0" borderId="0" xfId="0" applyNumberFormat="1" applyFont="1" applyAlignment="1">
      <alignment horizontal="center" vertical="center"/>
    </xf>
    <xf numFmtId="0" fontId="33" fillId="0" borderId="0" xfId="0" applyFont="1" applyAlignment="1">
      <alignment horizontal="center" vertical="center" wrapText="1"/>
    </xf>
    <xf numFmtId="0" fontId="33" fillId="0" borderId="1" xfId="0" applyFont="1" applyBorder="1" applyAlignment="1">
      <alignment horizontal="center" vertical="center"/>
    </xf>
    <xf numFmtId="49" fontId="33"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49" fontId="34" fillId="0" borderId="1" xfId="0" applyNumberFormat="1" applyFont="1" applyBorder="1" applyAlignment="1">
      <alignment horizontal="center" vertical="center" wrapText="1"/>
    </xf>
    <xf numFmtId="0" fontId="0" fillId="0" borderId="0" xfId="0" applyAlignment="1">
      <alignment horizontal="left" vertical="center" wrapText="1"/>
    </xf>
    <xf numFmtId="4" fontId="35" fillId="0" borderId="0" xfId="0" applyNumberFormat="1" applyFont="1" applyAlignment="1">
      <alignment wrapText="1"/>
    </xf>
    <xf numFmtId="0" fontId="0" fillId="0" borderId="0" xfId="0" applyAlignment="1">
      <alignment horizontal="left" vertical="center"/>
    </xf>
    <xf numFmtId="3" fontId="36" fillId="0" borderId="0" xfId="0" applyNumberFormat="1" applyFont="1" applyAlignment="1">
      <alignment horizontal="center" vertical="center"/>
    </xf>
    <xf numFmtId="3" fontId="36" fillId="0" borderId="18" xfId="0" applyNumberFormat="1" applyFont="1" applyBorder="1" applyAlignment="1">
      <alignment horizontal="center" vertical="center"/>
    </xf>
    <xf numFmtId="49" fontId="33" fillId="0" borderId="11" xfId="0" applyNumberFormat="1" applyFont="1" applyBorder="1" applyAlignment="1">
      <alignment horizontal="center" vertical="center"/>
    </xf>
    <xf numFmtId="3" fontId="36" fillId="0" borderId="17" xfId="0" applyNumberFormat="1" applyFont="1" applyBorder="1" applyAlignment="1">
      <alignment horizontal="center" vertical="center"/>
    </xf>
    <xf numFmtId="49" fontId="33" fillId="0" borderId="9" xfId="0" applyNumberFormat="1" applyFont="1" applyBorder="1" applyAlignment="1">
      <alignment horizontal="center" vertical="center"/>
    </xf>
    <xf numFmtId="3" fontId="36" fillId="0" borderId="16" xfId="0" applyNumberFormat="1" applyFont="1" applyBorder="1" applyAlignment="1">
      <alignment horizontal="center" vertical="center"/>
    </xf>
    <xf numFmtId="49" fontId="33" fillId="0" borderId="6" xfId="0" applyNumberFormat="1" applyFont="1" applyBorder="1" applyAlignment="1">
      <alignment horizontal="center" vertical="center"/>
    </xf>
    <xf numFmtId="4" fontId="37" fillId="0" borderId="0" xfId="0" applyNumberFormat="1" applyFont="1" applyAlignment="1">
      <alignment horizontal="left" vertical="center" wrapText="1"/>
    </xf>
    <xf numFmtId="3" fontId="33" fillId="9" borderId="36" xfId="0" applyNumberFormat="1" applyFont="1" applyFill="1" applyBorder="1" applyAlignment="1">
      <alignment horizontal="center" vertical="center"/>
    </xf>
    <xf numFmtId="3" fontId="33" fillId="9" borderId="18" xfId="0" applyNumberFormat="1" applyFont="1" applyFill="1" applyBorder="1" applyAlignment="1">
      <alignment horizontal="center" vertical="center"/>
    </xf>
    <xf numFmtId="49" fontId="33" fillId="9" borderId="12" xfId="0" applyNumberFormat="1" applyFont="1" applyFill="1" applyBorder="1" applyAlignment="1">
      <alignment horizontal="center" vertical="center"/>
    </xf>
    <xf numFmtId="0" fontId="33" fillId="9" borderId="12" xfId="0" applyFont="1" applyFill="1" applyBorder="1" applyAlignment="1">
      <alignment horizontal="center" vertical="center"/>
    </xf>
    <xf numFmtId="0" fontId="33" fillId="9" borderId="12" xfId="0" applyFont="1" applyFill="1" applyBorder="1" applyAlignment="1">
      <alignment horizontal="center" vertical="center" wrapText="1"/>
    </xf>
    <xf numFmtId="0" fontId="33" fillId="9" borderId="11" xfId="0" applyFont="1" applyFill="1" applyBorder="1" applyAlignment="1">
      <alignment horizontal="center" vertical="center"/>
    </xf>
    <xf numFmtId="3" fontId="33" fillId="9" borderId="37" xfId="0" applyNumberFormat="1" applyFont="1" applyFill="1" applyBorder="1" applyAlignment="1">
      <alignment horizontal="center" vertical="center"/>
    </xf>
    <xf numFmtId="3" fontId="33" fillId="9" borderId="17" xfId="0" applyNumberFormat="1" applyFont="1" applyFill="1" applyBorder="1" applyAlignment="1">
      <alignment horizontal="center" vertical="center"/>
    </xf>
    <xf numFmtId="49" fontId="33" fillId="9" borderId="1" xfId="0" applyNumberFormat="1" applyFont="1" applyFill="1" applyBorder="1" applyAlignment="1">
      <alignment horizontal="center" vertical="center"/>
    </xf>
    <xf numFmtId="0" fontId="33" fillId="9" borderId="1" xfId="0" applyFont="1" applyFill="1" applyBorder="1" applyAlignment="1">
      <alignment horizontal="center" vertical="center"/>
    </xf>
    <xf numFmtId="0" fontId="33" fillId="9" borderId="1" xfId="0" applyFont="1" applyFill="1" applyBorder="1" applyAlignment="1">
      <alignment horizontal="center" vertical="center" wrapText="1"/>
    </xf>
    <xf numFmtId="0" fontId="33" fillId="9" borderId="9" xfId="0" applyFont="1" applyFill="1" applyBorder="1" applyAlignment="1">
      <alignment horizontal="center" vertical="center"/>
    </xf>
    <xf numFmtId="3" fontId="33" fillId="10" borderId="37" xfId="0" applyNumberFormat="1" applyFont="1" applyFill="1" applyBorder="1" applyAlignment="1">
      <alignment horizontal="center" vertical="center"/>
    </xf>
    <xf numFmtId="3" fontId="33" fillId="10" borderId="17" xfId="0" applyNumberFormat="1" applyFont="1" applyFill="1" applyBorder="1" applyAlignment="1">
      <alignment horizontal="center" vertical="center"/>
    </xf>
    <xf numFmtId="49" fontId="33" fillId="10" borderId="1" xfId="0" applyNumberFormat="1" applyFont="1" applyFill="1" applyBorder="1" applyAlignment="1">
      <alignment horizontal="center" vertical="center"/>
    </xf>
    <xf numFmtId="0" fontId="33" fillId="10"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33" fillId="10" borderId="9" xfId="0" applyFont="1" applyFill="1" applyBorder="1" applyAlignment="1">
      <alignment horizontal="center" vertical="center"/>
    </xf>
    <xf numFmtId="4" fontId="35" fillId="0" borderId="0" xfId="0" applyNumberFormat="1" applyFont="1" applyAlignment="1">
      <alignment horizontal="left" vertical="center" wrapText="1"/>
    </xf>
    <xf numFmtId="3" fontId="33" fillId="11" borderId="39" xfId="0" applyNumberFormat="1" applyFont="1" applyFill="1" applyBorder="1" applyAlignment="1">
      <alignment horizontal="center" vertical="center"/>
    </xf>
    <xf numFmtId="3" fontId="33" fillId="11" borderId="16" xfId="0" applyNumberFormat="1" applyFont="1" applyFill="1" applyBorder="1" applyAlignment="1">
      <alignment horizontal="center" vertical="center"/>
    </xf>
    <xf numFmtId="49" fontId="33" fillId="11" borderId="7" xfId="0" applyNumberFormat="1" applyFont="1" applyFill="1" applyBorder="1" applyAlignment="1">
      <alignment horizontal="center" vertical="center"/>
    </xf>
    <xf numFmtId="0" fontId="33" fillId="11" borderId="7" xfId="0" applyFont="1" applyFill="1" applyBorder="1" applyAlignment="1">
      <alignment horizontal="center" vertical="center"/>
    </xf>
    <xf numFmtId="0" fontId="33" fillId="11" borderId="7" xfId="0" applyFont="1" applyFill="1" applyBorder="1" applyAlignment="1">
      <alignment horizontal="center" vertical="center" wrapText="1"/>
    </xf>
    <xf numFmtId="0" fontId="33" fillId="11" borderId="6" xfId="0" applyFont="1" applyFill="1" applyBorder="1" applyAlignment="1">
      <alignment horizontal="center" vertical="center"/>
    </xf>
    <xf numFmtId="0" fontId="33" fillId="12" borderId="0" xfId="0" applyFont="1" applyFill="1" applyAlignment="1">
      <alignment horizontal="center" vertical="center"/>
    </xf>
    <xf numFmtId="3" fontId="33" fillId="12" borderId="36" xfId="0" applyNumberFormat="1" applyFont="1" applyFill="1" applyBorder="1" applyAlignment="1">
      <alignment horizontal="center" vertical="center"/>
    </xf>
    <xf numFmtId="3" fontId="33" fillId="7" borderId="37" xfId="0" applyNumberFormat="1" applyFont="1" applyFill="1" applyBorder="1" applyAlignment="1">
      <alignment horizontal="center" vertical="center"/>
    </xf>
    <xf numFmtId="3" fontId="33" fillId="7" borderId="17" xfId="0" applyNumberFormat="1" applyFont="1" applyFill="1" applyBorder="1" applyAlignment="1">
      <alignment horizontal="center" vertical="center"/>
    </xf>
    <xf numFmtId="49" fontId="33" fillId="7" borderId="1" xfId="0" applyNumberFormat="1" applyFont="1" applyFill="1" applyBorder="1" applyAlignment="1">
      <alignment horizontal="center" vertical="center"/>
    </xf>
    <xf numFmtId="0" fontId="33" fillId="7" borderId="1" xfId="0" applyFont="1" applyFill="1" applyBorder="1" applyAlignment="1">
      <alignment horizontal="center" vertical="center"/>
    </xf>
    <xf numFmtId="0" fontId="33" fillId="7" borderId="1" xfId="0" applyFont="1" applyFill="1" applyBorder="1" applyAlignment="1">
      <alignment horizontal="center" vertical="center" wrapText="1"/>
    </xf>
    <xf numFmtId="0" fontId="33" fillId="7" borderId="9" xfId="0" applyFont="1" applyFill="1" applyBorder="1" applyAlignment="1">
      <alignment horizontal="center" vertical="center"/>
    </xf>
    <xf numFmtId="3" fontId="33" fillId="7" borderId="39" xfId="0" applyNumberFormat="1" applyFont="1" applyFill="1" applyBorder="1" applyAlignment="1">
      <alignment horizontal="center" vertical="center"/>
    </xf>
    <xf numFmtId="3" fontId="33" fillId="7" borderId="16" xfId="0" applyNumberFormat="1" applyFont="1" applyFill="1" applyBorder="1" applyAlignment="1">
      <alignment horizontal="center" vertical="center"/>
    </xf>
    <xf numFmtId="49" fontId="33" fillId="7" borderId="7" xfId="0" applyNumberFormat="1" applyFont="1" applyFill="1" applyBorder="1" applyAlignment="1">
      <alignment horizontal="center" vertical="center"/>
    </xf>
    <xf numFmtId="0" fontId="33" fillId="7" borderId="7" xfId="0" applyFont="1" applyFill="1" applyBorder="1" applyAlignment="1">
      <alignment horizontal="center" vertical="center"/>
    </xf>
    <xf numFmtId="0" fontId="33" fillId="7" borderId="7" xfId="0" applyFont="1" applyFill="1" applyBorder="1" applyAlignment="1">
      <alignment horizontal="center" vertical="center" wrapText="1"/>
    </xf>
    <xf numFmtId="0" fontId="33" fillId="7" borderId="6" xfId="0" applyFont="1" applyFill="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9" fillId="0" borderId="0" xfId="0" applyFont="1" applyAlignment="1">
      <alignment horizontal="center" vertical="center" wrapText="1"/>
    </xf>
    <xf numFmtId="0" fontId="32" fillId="0" borderId="0" xfId="0" applyFont="1" applyAlignment="1">
      <alignment horizontal="left" vertical="center" wrapText="1"/>
    </xf>
    <xf numFmtId="3" fontId="36" fillId="12" borderId="14" xfId="0" applyNumberFormat="1" applyFont="1" applyFill="1" applyBorder="1" applyAlignment="1">
      <alignment horizontal="center" vertical="center"/>
    </xf>
    <xf numFmtId="3" fontId="36" fillId="12" borderId="41" xfId="0" applyNumberFormat="1" applyFont="1" applyFill="1" applyBorder="1" applyAlignment="1">
      <alignment horizontal="center" vertical="center"/>
    </xf>
    <xf numFmtId="49" fontId="33" fillId="12" borderId="12" xfId="0" applyNumberFormat="1" applyFont="1" applyFill="1" applyBorder="1" applyAlignment="1">
      <alignment horizontal="center" vertical="center"/>
    </xf>
    <xf numFmtId="0" fontId="33" fillId="12" borderId="12" xfId="0" applyFont="1" applyFill="1" applyBorder="1" applyAlignment="1">
      <alignment horizontal="center" vertical="center"/>
    </xf>
    <xf numFmtId="0" fontId="33" fillId="12" borderId="12" xfId="0" applyFont="1" applyFill="1" applyBorder="1" applyAlignment="1">
      <alignment horizontal="center" vertical="center" wrapText="1"/>
    </xf>
    <xf numFmtId="0" fontId="33" fillId="12" borderId="11" xfId="0" applyFont="1" applyFill="1" applyBorder="1" applyAlignment="1">
      <alignment horizontal="center" vertical="center"/>
    </xf>
    <xf numFmtId="3" fontId="33" fillId="12" borderId="3" xfId="0" applyNumberFormat="1" applyFont="1" applyFill="1" applyBorder="1" applyAlignment="1">
      <alignment horizontal="center" vertical="center"/>
    </xf>
    <xf numFmtId="49" fontId="33" fillId="12" borderId="1" xfId="0" applyNumberFormat="1" applyFont="1" applyFill="1" applyBorder="1" applyAlignment="1">
      <alignment horizontal="center" vertical="center"/>
    </xf>
    <xf numFmtId="0" fontId="33" fillId="12" borderId="1" xfId="0" applyFont="1" applyFill="1" applyBorder="1" applyAlignment="1">
      <alignment horizontal="center" vertical="center"/>
    </xf>
    <xf numFmtId="0" fontId="33" fillId="12" borderId="1" xfId="0" applyFont="1" applyFill="1" applyBorder="1" applyAlignment="1">
      <alignment horizontal="center" vertical="center" wrapText="1"/>
    </xf>
    <xf numFmtId="0" fontId="33" fillId="12" borderId="9" xfId="0" applyFont="1" applyFill="1" applyBorder="1" applyAlignment="1">
      <alignment horizontal="center" vertical="center"/>
    </xf>
    <xf numFmtId="0" fontId="32" fillId="0" borderId="37" xfId="0" applyFont="1" applyBorder="1" applyAlignment="1">
      <alignment horizontal="left" vertical="center" wrapText="1"/>
    </xf>
    <xf numFmtId="49" fontId="33" fillId="13" borderId="13" xfId="0" applyNumberFormat="1" applyFont="1" applyFill="1" applyBorder="1" applyAlignment="1">
      <alignment horizontal="center" vertical="center"/>
    </xf>
    <xf numFmtId="0" fontId="33" fillId="13" borderId="13" xfId="0" applyFont="1" applyFill="1" applyBorder="1" applyAlignment="1">
      <alignment horizontal="center" vertical="center"/>
    </xf>
    <xf numFmtId="0" fontId="33" fillId="13" borderId="13" xfId="0" applyFont="1" applyFill="1" applyBorder="1" applyAlignment="1">
      <alignment horizontal="center" vertical="center" wrapText="1"/>
    </xf>
    <xf numFmtId="0" fontId="33" fillId="13" borderId="25" xfId="0" applyFont="1" applyFill="1" applyBorder="1" applyAlignment="1">
      <alignment horizontal="center" vertical="center"/>
    </xf>
    <xf numFmtId="0" fontId="0" fillId="13" borderId="10" xfId="0" applyFill="1" applyBorder="1" applyAlignment="1">
      <alignment horizontal="center" vertical="center"/>
    </xf>
    <xf numFmtId="0" fontId="32" fillId="0" borderId="36" xfId="0" applyFont="1" applyBorder="1" applyAlignment="1">
      <alignment horizontal="left" vertical="center" wrapText="1"/>
    </xf>
    <xf numFmtId="49" fontId="33" fillId="14" borderId="1" xfId="0" applyNumberFormat="1" applyFont="1" applyFill="1" applyBorder="1" applyAlignment="1">
      <alignment horizontal="center" vertical="center"/>
    </xf>
    <xf numFmtId="0" fontId="33" fillId="14" borderId="1" xfId="0" applyFont="1" applyFill="1" applyBorder="1" applyAlignment="1">
      <alignment horizontal="center" vertical="center"/>
    </xf>
    <xf numFmtId="0" fontId="33" fillId="14" borderId="1" xfId="0" applyFont="1" applyFill="1" applyBorder="1" applyAlignment="1">
      <alignment horizontal="center" vertical="center" wrapText="1"/>
    </xf>
    <xf numFmtId="0" fontId="33" fillId="14" borderId="9" xfId="0" applyFont="1" applyFill="1" applyBorder="1" applyAlignment="1">
      <alignment horizontal="center" vertical="center"/>
    </xf>
    <xf numFmtId="0" fontId="9" fillId="0" borderId="0" xfId="0" applyFont="1" applyAlignment="1">
      <alignment vertical="center"/>
    </xf>
    <xf numFmtId="3" fontId="33" fillId="11" borderId="1" xfId="0" applyNumberFormat="1" applyFont="1" applyFill="1" applyBorder="1" applyAlignment="1">
      <alignment horizontal="center" vertical="center"/>
    </xf>
    <xf numFmtId="0" fontId="33" fillId="11" borderId="1" xfId="0" applyFont="1" applyFill="1" applyBorder="1" applyAlignment="1">
      <alignment horizontal="center" vertical="center" wrapText="1"/>
    </xf>
    <xf numFmtId="0" fontId="0" fillId="15" borderId="0" xfId="0" applyFill="1"/>
    <xf numFmtId="0" fontId="32" fillId="0" borderId="37" xfId="0" applyFont="1" applyBorder="1" applyAlignment="1">
      <alignment wrapText="1"/>
    </xf>
    <xf numFmtId="0" fontId="33" fillId="0" borderId="0" xfId="0" applyFont="1" applyAlignment="1">
      <alignment wrapText="1"/>
    </xf>
    <xf numFmtId="49" fontId="33" fillId="11" borderId="1" xfId="0" applyNumberFormat="1" applyFont="1" applyFill="1" applyBorder="1" applyAlignment="1">
      <alignment horizontal="center" vertical="center"/>
    </xf>
    <xf numFmtId="49" fontId="33" fillId="11" borderId="8" xfId="0" applyNumberFormat="1" applyFont="1" applyFill="1" applyBorder="1" applyAlignment="1">
      <alignment horizontal="center" vertical="center"/>
    </xf>
    <xf numFmtId="0" fontId="33" fillId="11" borderId="8" xfId="0" applyFont="1" applyFill="1" applyBorder="1" applyAlignment="1">
      <alignment horizontal="center" vertical="center"/>
    </xf>
    <xf numFmtId="3" fontId="9" fillId="0" borderId="0" xfId="0" applyNumberFormat="1" applyFont="1" applyAlignment="1">
      <alignment vertical="center"/>
    </xf>
    <xf numFmtId="3" fontId="33" fillId="15" borderId="3" xfId="0" applyNumberFormat="1" applyFont="1" applyFill="1" applyBorder="1" applyAlignment="1">
      <alignment horizontal="center" vertical="center"/>
    </xf>
    <xf numFmtId="49" fontId="33" fillId="15" borderId="1" xfId="0" applyNumberFormat="1" applyFont="1" applyFill="1" applyBorder="1" applyAlignment="1">
      <alignment horizontal="center" vertical="center"/>
    </xf>
    <xf numFmtId="0" fontId="33" fillId="15" borderId="1" xfId="0" applyFont="1" applyFill="1" applyBorder="1" applyAlignment="1">
      <alignment horizontal="center" vertical="center"/>
    </xf>
    <xf numFmtId="0" fontId="33" fillId="15" borderId="1" xfId="0" applyFont="1" applyFill="1" applyBorder="1" applyAlignment="1">
      <alignment horizontal="center" vertical="center" wrapText="1"/>
    </xf>
    <xf numFmtId="49" fontId="33" fillId="16" borderId="12" xfId="0" applyNumberFormat="1" applyFont="1" applyFill="1" applyBorder="1" applyAlignment="1">
      <alignment horizontal="center" vertical="center"/>
    </xf>
    <xf numFmtId="0" fontId="33" fillId="16" borderId="12" xfId="0" applyFont="1" applyFill="1" applyBorder="1" applyAlignment="1">
      <alignment horizontal="center" vertical="center"/>
    </xf>
    <xf numFmtId="0" fontId="33" fillId="16" borderId="12" xfId="0" applyFont="1" applyFill="1" applyBorder="1" applyAlignment="1">
      <alignment horizontal="center" vertical="center" wrapText="1"/>
    </xf>
    <xf numFmtId="49" fontId="33" fillId="16" borderId="7" xfId="0" applyNumberFormat="1" applyFont="1" applyFill="1" applyBorder="1" applyAlignment="1">
      <alignment horizontal="center" vertical="center"/>
    </xf>
    <xf numFmtId="0" fontId="33" fillId="16" borderId="7" xfId="0" applyFont="1" applyFill="1" applyBorder="1" applyAlignment="1">
      <alignment horizontal="center" vertical="center"/>
    </xf>
    <xf numFmtId="0" fontId="33" fillId="16" borderId="7" xfId="0" applyFont="1" applyFill="1" applyBorder="1" applyAlignment="1">
      <alignment horizontal="center" vertical="center" wrapText="1"/>
    </xf>
    <xf numFmtId="0" fontId="43" fillId="0" borderId="0" xfId="0" applyFont="1" applyAlignment="1">
      <alignment horizontal="center" vertical="center" wrapText="1"/>
    </xf>
    <xf numFmtId="3" fontId="33" fillId="16" borderId="44" xfId="0" applyNumberFormat="1" applyFont="1" applyFill="1" applyBorder="1" applyAlignment="1">
      <alignment horizontal="center" vertical="center"/>
    </xf>
    <xf numFmtId="3" fontId="33" fillId="16" borderId="41" xfId="0" applyNumberFormat="1" applyFont="1" applyFill="1" applyBorder="1" applyAlignment="1">
      <alignment horizontal="center" vertical="center"/>
    </xf>
    <xf numFmtId="3" fontId="33" fillId="11" borderId="3" xfId="0" applyNumberFormat="1" applyFont="1" applyFill="1" applyBorder="1" applyAlignment="1">
      <alignment horizontal="center" vertical="center"/>
    </xf>
    <xf numFmtId="3" fontId="33" fillId="10" borderId="3" xfId="0" applyNumberFormat="1" applyFont="1" applyFill="1" applyBorder="1" applyAlignment="1">
      <alignment horizontal="center" vertical="center"/>
    </xf>
    <xf numFmtId="3" fontId="33" fillId="14" borderId="3" xfId="0" applyNumberFormat="1" applyFont="1" applyFill="1" applyBorder="1" applyAlignment="1">
      <alignment horizontal="center" vertical="center"/>
    </xf>
    <xf numFmtId="3" fontId="33" fillId="9" borderId="41" xfId="0" applyNumberFormat="1" applyFont="1" applyFill="1" applyBorder="1" applyAlignment="1">
      <alignment horizontal="center" vertical="center"/>
    </xf>
    <xf numFmtId="3" fontId="33" fillId="13" borderId="29" xfId="0" applyNumberFormat="1" applyFont="1" applyFill="1" applyBorder="1" applyAlignment="1">
      <alignment horizontal="center" vertical="center"/>
    </xf>
    <xf numFmtId="3" fontId="33" fillId="16" borderId="1" xfId="0" applyNumberFormat="1" applyFont="1" applyFill="1" applyBorder="1" applyAlignment="1">
      <alignment horizontal="center" vertical="center"/>
    </xf>
    <xf numFmtId="3" fontId="33" fillId="12" borderId="1" xfId="0" applyNumberFormat="1" applyFont="1" applyFill="1" applyBorder="1" applyAlignment="1">
      <alignment horizontal="center" vertical="center"/>
    </xf>
    <xf numFmtId="3" fontId="33" fillId="15" borderId="1" xfId="0" applyNumberFormat="1" applyFont="1" applyFill="1" applyBorder="1" applyAlignment="1">
      <alignment horizontal="center" vertical="center"/>
    </xf>
    <xf numFmtId="3" fontId="33" fillId="10" borderId="1" xfId="0" applyNumberFormat="1" applyFont="1" applyFill="1" applyBorder="1" applyAlignment="1">
      <alignment horizontal="center" vertical="center"/>
    </xf>
    <xf numFmtId="3" fontId="33" fillId="14" borderId="1" xfId="0" applyNumberFormat="1" applyFont="1" applyFill="1" applyBorder="1" applyAlignment="1">
      <alignment horizontal="center" vertical="center"/>
    </xf>
    <xf numFmtId="3" fontId="33" fillId="9" borderId="1" xfId="0" applyNumberFormat="1" applyFont="1" applyFill="1" applyBorder="1" applyAlignment="1">
      <alignment horizontal="center" vertical="center"/>
    </xf>
    <xf numFmtId="3" fontId="33" fillId="13" borderId="1" xfId="0" applyNumberFormat="1" applyFont="1" applyFill="1" applyBorder="1" applyAlignment="1">
      <alignment horizontal="center" vertical="center"/>
    </xf>
    <xf numFmtId="3" fontId="36" fillId="12" borderId="1" xfId="0" applyNumberFormat="1" applyFont="1" applyFill="1" applyBorder="1" applyAlignment="1">
      <alignment horizontal="center" vertical="center"/>
    </xf>
    <xf numFmtId="0" fontId="39" fillId="9" borderId="33" xfId="0" applyFont="1" applyFill="1" applyBorder="1" applyAlignment="1">
      <alignment horizontal="center" vertical="center" wrapText="1"/>
    </xf>
    <xf numFmtId="0" fontId="0" fillId="9" borderId="26" xfId="0" applyFill="1" applyBorder="1" applyAlignment="1">
      <alignment horizontal="center" vertical="center"/>
    </xf>
    <xf numFmtId="3" fontId="14" fillId="0" borderId="1" xfId="0" applyNumberFormat="1" applyFont="1" applyBorder="1"/>
    <xf numFmtId="0" fontId="33" fillId="10" borderId="7" xfId="0" applyFont="1" applyFill="1" applyBorder="1" applyAlignment="1">
      <alignment horizontal="center" vertical="center"/>
    </xf>
    <xf numFmtId="0" fontId="33" fillId="10" borderId="7" xfId="0" applyFont="1" applyFill="1" applyBorder="1" applyAlignment="1">
      <alignment horizontal="center" vertical="center" wrapText="1"/>
    </xf>
    <xf numFmtId="0" fontId="33" fillId="10" borderId="6" xfId="0" applyFont="1" applyFill="1" applyBorder="1" applyAlignment="1">
      <alignment horizontal="center" vertical="center"/>
    </xf>
    <xf numFmtId="0" fontId="33" fillId="11" borderId="12" xfId="0" applyFont="1" applyFill="1" applyBorder="1" applyAlignment="1">
      <alignment horizontal="center" vertical="center" wrapText="1"/>
    </xf>
    <xf numFmtId="0" fontId="32" fillId="0" borderId="36" xfId="0" applyFont="1" applyBorder="1" applyAlignment="1">
      <alignment vertical="center" wrapText="1"/>
    </xf>
    <xf numFmtId="49" fontId="33" fillId="3" borderId="12" xfId="0" applyNumberFormat="1" applyFont="1" applyFill="1" applyBorder="1" applyAlignment="1">
      <alignment horizontal="center" vertical="center"/>
    </xf>
    <xf numFmtId="0" fontId="33" fillId="3" borderId="12" xfId="0" applyFont="1" applyFill="1" applyBorder="1" applyAlignment="1">
      <alignment horizontal="center" vertical="center"/>
    </xf>
    <xf numFmtId="0" fontId="33" fillId="3" borderId="12"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0" fillId="3" borderId="11" xfId="0" applyFill="1" applyBorder="1" applyAlignment="1">
      <alignment horizontal="center" vertical="center"/>
    </xf>
    <xf numFmtId="0" fontId="32" fillId="0" borderId="37" xfId="0" applyFont="1" applyBorder="1" applyAlignment="1">
      <alignment vertical="center" wrapText="1"/>
    </xf>
    <xf numFmtId="3" fontId="0" fillId="0" borderId="1" xfId="0" applyNumberFormat="1" applyBorder="1"/>
    <xf numFmtId="49" fontId="33" fillId="12" borderId="7" xfId="0" applyNumberFormat="1" applyFont="1" applyFill="1" applyBorder="1" applyAlignment="1">
      <alignment horizontal="center" vertical="center"/>
    </xf>
    <xf numFmtId="0" fontId="33" fillId="12" borderId="7" xfId="0" applyFont="1" applyFill="1" applyBorder="1" applyAlignment="1">
      <alignment horizontal="center" vertical="center"/>
    </xf>
    <xf numFmtId="0" fontId="33" fillId="12" borderId="7" xfId="0" applyFont="1" applyFill="1" applyBorder="1" applyAlignment="1">
      <alignment horizontal="center" vertical="center" wrapText="1"/>
    </xf>
    <xf numFmtId="0" fontId="42" fillId="12" borderId="7" xfId="0" applyFont="1" applyFill="1" applyBorder="1" applyAlignment="1">
      <alignment vertical="center" wrapText="1"/>
    </xf>
    <xf numFmtId="0" fontId="0" fillId="12" borderId="6" xfId="0" applyFill="1" applyBorder="1" applyAlignment="1">
      <alignment horizontal="center" vertical="center" wrapText="1"/>
    </xf>
    <xf numFmtId="3" fontId="33" fillId="12" borderId="44" xfId="0" applyNumberFormat="1" applyFont="1" applyFill="1" applyBorder="1" applyAlignment="1">
      <alignment horizontal="center" vertical="center"/>
    </xf>
    <xf numFmtId="3" fontId="33" fillId="3" borderId="41" xfId="0" applyNumberFormat="1" applyFont="1" applyFill="1" applyBorder="1" applyAlignment="1">
      <alignment horizontal="center" vertical="center"/>
    </xf>
    <xf numFmtId="3" fontId="33" fillId="11" borderId="44" xfId="0" applyNumberFormat="1" applyFont="1" applyFill="1" applyBorder="1" applyAlignment="1">
      <alignment horizontal="center" vertical="center"/>
    </xf>
    <xf numFmtId="3" fontId="33" fillId="11" borderId="41" xfId="0" applyNumberFormat="1" applyFont="1" applyFill="1" applyBorder="1" applyAlignment="1">
      <alignment horizontal="center" vertical="center"/>
    </xf>
    <xf numFmtId="3" fontId="33" fillId="10" borderId="44" xfId="0" applyNumberFormat="1" applyFont="1" applyFill="1" applyBorder="1" applyAlignment="1">
      <alignment horizontal="center" vertical="center"/>
    </xf>
    <xf numFmtId="3" fontId="33" fillId="13" borderId="3" xfId="0" applyNumberFormat="1" applyFont="1" applyFill="1" applyBorder="1" applyAlignment="1">
      <alignment horizontal="center" vertical="center"/>
    </xf>
    <xf numFmtId="3" fontId="33" fillId="3" borderId="1" xfId="0" applyNumberFormat="1" applyFont="1" applyFill="1" applyBorder="1" applyAlignment="1">
      <alignment horizontal="center" vertical="center"/>
    </xf>
    <xf numFmtId="0" fontId="33" fillId="11" borderId="13" xfId="0" applyFont="1" applyFill="1" applyBorder="1" applyAlignment="1">
      <alignment horizontal="center" vertical="center" wrapText="1"/>
    </xf>
    <xf numFmtId="49" fontId="33" fillId="11" borderId="10" xfId="0" applyNumberFormat="1" applyFont="1" applyFill="1" applyBorder="1" applyAlignment="1">
      <alignment horizontal="center" vertical="center"/>
    </xf>
    <xf numFmtId="3" fontId="33" fillId="11" borderId="29" xfId="0" applyNumberFormat="1" applyFont="1" applyFill="1" applyBorder="1" applyAlignment="1">
      <alignment horizontal="center" vertical="center"/>
    </xf>
    <xf numFmtId="0" fontId="33" fillId="11" borderId="2" xfId="0" applyFont="1" applyFill="1" applyBorder="1" applyAlignment="1">
      <alignment horizontal="center" vertical="center" wrapText="1"/>
    </xf>
    <xf numFmtId="3" fontId="33" fillId="11" borderId="14" xfId="0" applyNumberFormat="1" applyFont="1" applyFill="1" applyBorder="1" applyAlignment="1">
      <alignment horizontal="center" vertical="center"/>
    </xf>
    <xf numFmtId="0" fontId="33" fillId="11" borderId="10" xfId="0" applyFont="1" applyFill="1" applyBorder="1" applyAlignment="1">
      <alignment horizontal="center" vertical="center" wrapText="1"/>
    </xf>
    <xf numFmtId="3" fontId="33" fillId="11" borderId="19" xfId="0" applyNumberFormat="1" applyFont="1" applyFill="1" applyBorder="1" applyAlignment="1">
      <alignment horizontal="center" vertical="center"/>
    </xf>
    <xf numFmtId="49" fontId="33" fillId="10" borderId="13" xfId="0" applyNumberFormat="1" applyFont="1" applyFill="1" applyBorder="1" applyAlignment="1">
      <alignment horizontal="center" vertical="center"/>
    </xf>
    <xf numFmtId="3" fontId="9" fillId="0" borderId="1" xfId="0" applyNumberFormat="1" applyFont="1" applyBorder="1" applyAlignment="1">
      <alignment horizontal="center" vertical="center" wrapText="1"/>
    </xf>
    <xf numFmtId="4" fontId="9" fillId="0" borderId="1" xfId="0" applyNumberFormat="1" applyFont="1" applyBorder="1" applyAlignment="1">
      <alignment vertical="center"/>
    </xf>
    <xf numFmtId="49" fontId="0" fillId="0" borderId="1" xfId="0" applyNumberFormat="1" applyBorder="1" applyAlignment="1">
      <alignment vertical="center" wrapText="1"/>
    </xf>
    <xf numFmtId="4" fontId="9" fillId="0" borderId="1" xfId="0" applyNumberFormat="1" applyFont="1" applyBorder="1" applyAlignment="1">
      <alignment vertical="center" wrapText="1"/>
    </xf>
    <xf numFmtId="4" fontId="0" fillId="0" borderId="7" xfId="0" applyNumberFormat="1" applyBorder="1" applyAlignment="1">
      <alignment horizontal="center" vertical="center" wrapText="1"/>
    </xf>
    <xf numFmtId="4" fontId="14" fillId="0" borderId="10" xfId="0" applyNumberFormat="1" applyFont="1" applyBorder="1" applyAlignment="1">
      <alignment horizontal="center" vertical="center" wrapText="1"/>
    </xf>
    <xf numFmtId="49" fontId="8" fillId="0" borderId="18" xfId="0" applyNumberFormat="1" applyFont="1" applyBorder="1" applyAlignment="1">
      <alignment horizontal="left" vertical="center" wrapText="1"/>
    </xf>
    <xf numFmtId="4" fontId="9" fillId="0" borderId="2"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 fontId="0" fillId="5" borderId="1" xfId="0" applyNumberFormat="1" applyFill="1" applyBorder="1"/>
    <xf numFmtId="4" fontId="14" fillId="0" borderId="0" xfId="0" applyNumberFormat="1" applyFont="1" applyAlignment="1">
      <alignment horizontal="center" vertical="center" wrapText="1"/>
    </xf>
    <xf numFmtId="1" fontId="13" fillId="0" borderId="2"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2" fontId="45" fillId="0" borderId="0" xfId="0" applyNumberFormat="1" applyFont="1" applyAlignment="1">
      <alignment horizontal="left" vertical="center" wrapText="1"/>
    </xf>
    <xf numFmtId="0" fontId="5" fillId="0" borderId="0" xfId="0" applyFont="1" applyAlignment="1">
      <alignment wrapText="1"/>
    </xf>
    <xf numFmtId="0" fontId="45" fillId="0" borderId="0" xfId="0" applyFont="1" applyAlignment="1">
      <alignment horizontal="left" vertical="center" wrapText="1"/>
    </xf>
    <xf numFmtId="2" fontId="14" fillId="0" borderId="7" xfId="0" applyNumberFormat="1" applyFont="1" applyBorder="1" applyAlignment="1">
      <alignment horizontal="center" vertical="center" wrapText="1"/>
    </xf>
    <xf numFmtId="4" fontId="14" fillId="0" borderId="1" xfId="0" applyNumberFormat="1" applyFont="1" applyBorder="1" applyAlignment="1">
      <alignment vertical="center" wrapText="1"/>
    </xf>
    <xf numFmtId="4" fontId="14" fillId="0" borderId="1" xfId="0" applyNumberFormat="1" applyFont="1" applyBorder="1" applyAlignment="1">
      <alignment vertical="center"/>
    </xf>
    <xf numFmtId="4" fontId="13" fillId="2" borderId="0" xfId="0" applyNumberFormat="1" applyFont="1" applyFill="1" applyAlignment="1">
      <alignment horizontal="left" vertical="center" wrapText="1"/>
    </xf>
    <xf numFmtId="0" fontId="45" fillId="2" borderId="0" xfId="0" applyFont="1" applyFill="1" applyAlignment="1">
      <alignment horizontal="left" vertical="center" wrapText="1"/>
    </xf>
    <xf numFmtId="0" fontId="45" fillId="4" borderId="0" xfId="0" applyFont="1" applyFill="1" applyAlignment="1">
      <alignment horizontal="left" vertical="center" wrapText="1"/>
    </xf>
    <xf numFmtId="49" fontId="13" fillId="0" borderId="7" xfId="0" applyNumberFormat="1" applyFont="1" applyBorder="1" applyAlignment="1">
      <alignment horizontal="center" vertical="center" wrapText="1"/>
    </xf>
    <xf numFmtId="49" fontId="13" fillId="2" borderId="0" xfId="0" applyNumberFormat="1" applyFont="1" applyFill="1" applyAlignment="1">
      <alignment vertical="top" wrapText="1"/>
    </xf>
    <xf numFmtId="49" fontId="13" fillId="2" borderId="22" xfId="0" applyNumberFormat="1" applyFont="1" applyFill="1" applyBorder="1" applyAlignment="1">
      <alignment horizontal="left" vertical="center" wrapText="1"/>
    </xf>
    <xf numFmtId="0" fontId="45" fillId="0" borderId="9" xfId="0" applyFont="1" applyBorder="1" applyAlignment="1">
      <alignment horizontal="left" vertical="center" wrapText="1"/>
    </xf>
    <xf numFmtId="49" fontId="14" fillId="0" borderId="41" xfId="0" applyNumberFormat="1" applyFont="1" applyBorder="1" applyAlignment="1">
      <alignment horizontal="left" vertical="top" wrapText="1"/>
    </xf>
    <xf numFmtId="49" fontId="14" fillId="0" borderId="44" xfId="0" applyNumberFormat="1" applyFont="1" applyBorder="1" applyAlignment="1">
      <alignment vertical="center" wrapText="1"/>
    </xf>
    <xf numFmtId="49" fontId="0" fillId="0" borderId="3" xfId="0" applyNumberFormat="1" applyBorder="1" applyAlignment="1">
      <alignment vertical="top" wrapText="1"/>
    </xf>
    <xf numFmtId="49" fontId="14" fillId="0" borderId="29" xfId="0" applyNumberFormat="1" applyFont="1" applyBorder="1" applyAlignment="1">
      <alignment vertical="center" wrapText="1"/>
    </xf>
    <xf numFmtId="49" fontId="14" fillId="0" borderId="3" xfId="0" applyNumberFormat="1" applyFont="1" applyBorder="1" applyAlignment="1">
      <alignment vertical="center" wrapText="1"/>
    </xf>
    <xf numFmtId="49" fontId="14" fillId="0" borderId="19" xfId="0" applyNumberFormat="1" applyFont="1" applyBorder="1" applyAlignment="1">
      <alignment vertical="center" wrapText="1"/>
    </xf>
    <xf numFmtId="49" fontId="14" fillId="0" borderId="44" xfId="0" applyNumberFormat="1" applyFont="1" applyBorder="1" applyAlignment="1">
      <alignment wrapText="1"/>
    </xf>
    <xf numFmtId="49" fontId="14" fillId="0" borderId="41" xfId="0" applyNumberFormat="1" applyFont="1" applyBorder="1" applyAlignment="1">
      <alignment vertical="center" wrapText="1"/>
    </xf>
    <xf numFmtId="49" fontId="13" fillId="0" borderId="1" xfId="0" applyNumberFormat="1" applyFont="1" applyBorder="1" applyAlignment="1">
      <alignment vertical="center" wrapText="1"/>
    </xf>
    <xf numFmtId="49" fontId="25" fillId="2" borderId="1" xfId="0" applyNumberFormat="1" applyFont="1" applyFill="1" applyBorder="1" applyAlignment="1">
      <alignment wrapText="1"/>
    </xf>
    <xf numFmtId="0" fontId="13" fillId="2" borderId="1" xfId="0" applyFont="1" applyFill="1" applyBorder="1" applyAlignment="1">
      <alignment vertical="center" wrapText="1"/>
    </xf>
    <xf numFmtId="0" fontId="13" fillId="2" borderId="1" xfId="0" applyFont="1" applyFill="1" applyBorder="1" applyAlignment="1">
      <alignment vertical="top" wrapText="1"/>
    </xf>
    <xf numFmtId="49" fontId="14" fillId="0" borderId="3" xfId="0" applyNumberFormat="1" applyFont="1" applyBorder="1" applyAlignment="1">
      <alignment vertical="top" wrapText="1"/>
    </xf>
    <xf numFmtId="49" fontId="13" fillId="0" borderId="3" xfId="0" applyNumberFormat="1" applyFont="1" applyBorder="1" applyAlignment="1">
      <alignment vertical="top" wrapText="1"/>
    </xf>
    <xf numFmtId="4" fontId="6" fillId="0" borderId="12"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 fontId="0" fillId="8" borderId="2" xfId="0" applyNumberFormat="1" applyFill="1" applyBorder="1" applyAlignment="1">
      <alignment horizontal="center" vertical="center" wrapText="1"/>
    </xf>
    <xf numFmtId="4" fontId="0" fillId="8" borderId="2" xfId="0" applyNumberFormat="1" applyFill="1" applyBorder="1" applyAlignment="1">
      <alignment horizontal="center" vertical="center"/>
    </xf>
    <xf numFmtId="4" fontId="13" fillId="4" borderId="27" xfId="0" applyNumberFormat="1" applyFont="1" applyFill="1" applyBorder="1" applyAlignment="1">
      <alignment horizontal="center" vertical="top" wrapText="1"/>
    </xf>
    <xf numFmtId="49" fontId="13" fillId="4" borderId="4" xfId="0" applyNumberFormat="1" applyFont="1" applyFill="1" applyBorder="1" applyAlignment="1">
      <alignment horizontal="center" vertical="center" wrapText="1"/>
    </xf>
    <xf numFmtId="49" fontId="14" fillId="0" borderId="1" xfId="0" applyNumberFormat="1" applyFont="1" applyBorder="1" applyAlignment="1">
      <alignment horizontal="left" vertical="top" wrapText="1"/>
    </xf>
    <xf numFmtId="49" fontId="9" fillId="0" borderId="7" xfId="0" applyNumberFormat="1" applyFont="1" applyBorder="1" applyAlignment="1">
      <alignment horizontal="center" vertical="center"/>
    </xf>
    <xf numFmtId="3" fontId="9" fillId="0" borderId="7" xfId="0" applyNumberFormat="1" applyFont="1" applyBorder="1" applyAlignment="1">
      <alignment horizontal="center" vertical="center" wrapText="1"/>
    </xf>
    <xf numFmtId="49" fontId="9" fillId="0" borderId="16" xfId="0" applyNumberFormat="1" applyFont="1" applyBorder="1" applyAlignment="1">
      <alignment vertical="center" wrapText="1"/>
    </xf>
    <xf numFmtId="49" fontId="9" fillId="0" borderId="35" xfId="0" applyNumberFormat="1" applyFont="1" applyBorder="1" applyAlignment="1">
      <alignment horizontal="center" vertical="center"/>
    </xf>
    <xf numFmtId="4" fontId="9" fillId="0" borderId="12" xfId="0" applyNumberFormat="1" applyFont="1" applyBorder="1" applyAlignment="1">
      <alignment horizontal="center" vertical="center" wrapText="1"/>
    </xf>
    <xf numFmtId="49" fontId="9" fillId="0" borderId="18" xfId="0" applyNumberFormat="1" applyFont="1" applyBorder="1" applyAlignment="1">
      <alignment vertical="center" wrapText="1"/>
    </xf>
    <xf numFmtId="3" fontId="38" fillId="0" borderId="0" xfId="0" applyNumberFormat="1" applyFont="1" applyAlignment="1">
      <alignment horizontal="center" vertical="center" wrapText="1"/>
    </xf>
    <xf numFmtId="49" fontId="9" fillId="2" borderId="16" xfId="0" applyNumberFormat="1" applyFont="1" applyFill="1" applyBorder="1" applyAlignment="1">
      <alignment vertical="center" wrapText="1"/>
    </xf>
    <xf numFmtId="49" fontId="9" fillId="2" borderId="0" xfId="0" applyNumberFormat="1" applyFont="1" applyFill="1" applyAlignment="1">
      <alignment vertical="top" wrapText="1"/>
    </xf>
    <xf numFmtId="49" fontId="8" fillId="0" borderId="22" xfId="0" applyNumberFormat="1" applyFont="1" applyBorder="1" applyAlignment="1">
      <alignment horizontal="left" vertical="center" wrapText="1"/>
    </xf>
    <xf numFmtId="0" fontId="8" fillId="2" borderId="1" xfId="0" applyFont="1" applyFill="1" applyBorder="1" applyAlignment="1">
      <alignment horizontal="left" vertical="center" wrapText="1"/>
    </xf>
    <xf numFmtId="49" fontId="13" fillId="0" borderId="27" xfId="0" applyNumberFormat="1" applyFont="1" applyBorder="1" applyAlignment="1">
      <alignment horizontal="left" vertical="top" wrapText="1"/>
    </xf>
    <xf numFmtId="0" fontId="0" fillId="0" borderId="0" xfId="0" applyAlignment="1">
      <alignment wrapText="1"/>
    </xf>
    <xf numFmtId="1" fontId="14" fillId="0" borderId="0" xfId="0" applyNumberFormat="1" applyFont="1" applyAlignment="1">
      <alignment horizontal="center" vertical="center" wrapText="1"/>
    </xf>
    <xf numFmtId="0" fontId="0" fillId="5" borderId="0" xfId="0" applyFill="1" applyAlignment="1">
      <alignment wrapText="1"/>
    </xf>
    <xf numFmtId="0" fontId="0" fillId="2" borderId="1" xfId="0" applyFill="1" applyBorder="1" applyAlignment="1">
      <alignment vertical="top" wrapText="1"/>
    </xf>
    <xf numFmtId="0" fontId="0" fillId="2" borderId="1" xfId="0" applyFill="1" applyBorder="1" applyAlignment="1">
      <alignment horizontal="left" vertical="top" wrapText="1"/>
    </xf>
    <xf numFmtId="0" fontId="0" fillId="2" borderId="1" xfId="0" applyFill="1" applyBorder="1" applyAlignment="1">
      <alignment wrapText="1"/>
    </xf>
    <xf numFmtId="0" fontId="13" fillId="0" borderId="1" xfId="0" applyFont="1" applyBorder="1" applyAlignment="1">
      <alignment horizontal="left" vertical="top" wrapText="1"/>
    </xf>
    <xf numFmtId="49" fontId="13" fillId="0" borderId="1" xfId="0" applyNumberFormat="1" applyFont="1" applyBorder="1" applyAlignment="1">
      <alignment horizontal="left" vertical="top" wrapText="1"/>
    </xf>
    <xf numFmtId="0" fontId="13" fillId="2" borderId="1" xfId="0" applyFont="1" applyFill="1" applyBorder="1" applyAlignment="1">
      <alignment horizontal="left" vertical="top" wrapText="1"/>
    </xf>
    <xf numFmtId="166" fontId="14"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51" fillId="17" borderId="47" xfId="0" applyFont="1" applyFill="1" applyBorder="1" applyAlignment="1">
      <alignment horizontal="center" vertical="center"/>
    </xf>
    <xf numFmtId="0" fontId="51" fillId="17" borderId="48" xfId="0" applyFont="1" applyFill="1" applyBorder="1" applyAlignment="1">
      <alignment vertical="center"/>
    </xf>
    <xf numFmtId="0" fontId="4" fillId="0" borderId="0" xfId="0" applyFont="1"/>
    <xf numFmtId="0" fontId="51" fillId="17" borderId="40" xfId="0" applyFont="1" applyFill="1" applyBorder="1" applyAlignment="1">
      <alignment horizontal="center" vertical="center"/>
    </xf>
    <xf numFmtId="0" fontId="51" fillId="17" borderId="49" xfId="0" applyFont="1" applyFill="1" applyBorder="1" applyAlignment="1">
      <alignment vertical="center"/>
    </xf>
    <xf numFmtId="0" fontId="51" fillId="17" borderId="49" xfId="0" applyFont="1" applyFill="1" applyBorder="1" applyAlignment="1">
      <alignment vertical="center" wrapText="1"/>
    </xf>
    <xf numFmtId="0" fontId="51" fillId="17" borderId="50" xfId="0" applyFont="1" applyFill="1" applyBorder="1" applyAlignment="1">
      <alignment vertical="center" wrapText="1"/>
    </xf>
    <xf numFmtId="0" fontId="51" fillId="17" borderId="49" xfId="0" applyFont="1" applyFill="1" applyBorder="1" applyAlignment="1">
      <alignment horizontal="left" vertical="center"/>
    </xf>
    <xf numFmtId="0" fontId="52" fillId="0" borderId="0" xfId="0" applyFont="1"/>
    <xf numFmtId="0" fontId="51" fillId="17" borderId="49" xfId="0" applyFont="1" applyFill="1" applyBorder="1" applyAlignment="1">
      <alignment vertical="top" wrapText="1"/>
    </xf>
    <xf numFmtId="0" fontId="51" fillId="0" borderId="50" xfId="0" applyFont="1" applyBorder="1" applyAlignment="1">
      <alignment vertical="top" wrapText="1"/>
    </xf>
    <xf numFmtId="0" fontId="51" fillId="17" borderId="50" xfId="0" applyFont="1" applyFill="1" applyBorder="1" applyAlignment="1">
      <alignment vertical="top" wrapText="1"/>
    </xf>
    <xf numFmtId="0" fontId="25" fillId="17" borderId="49" xfId="0" applyFont="1" applyFill="1" applyBorder="1" applyAlignment="1">
      <alignment vertical="center" wrapText="1"/>
    </xf>
    <xf numFmtId="4" fontId="14" fillId="0" borderId="1"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3" fontId="14" fillId="17"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wrapText="1"/>
    </xf>
    <xf numFmtId="49" fontId="3" fillId="0" borderId="1" xfId="0" applyNumberFormat="1" applyFont="1" applyBorder="1" applyAlignment="1">
      <alignment vertical="center" wrapText="1"/>
    </xf>
    <xf numFmtId="49" fontId="3" fillId="2" borderId="0" xfId="0" applyNumberFormat="1" applyFont="1" applyFill="1" applyAlignment="1">
      <alignment wrapText="1"/>
    </xf>
    <xf numFmtId="49" fontId="3" fillId="0" borderId="17" xfId="0" applyNumberFormat="1" applyFont="1" applyBorder="1" applyAlignment="1">
      <alignment horizontal="left" vertical="center" wrapText="1"/>
    </xf>
    <xf numFmtId="49" fontId="3" fillId="0" borderId="0" xfId="0" applyNumberFormat="1" applyFont="1" applyAlignment="1">
      <alignment wrapText="1"/>
    </xf>
    <xf numFmtId="0" fontId="3" fillId="0" borderId="1" xfId="0" applyFont="1" applyBorder="1" applyAlignment="1">
      <alignment horizontal="center" vertical="center" wrapText="1"/>
    </xf>
    <xf numFmtId="0" fontId="3" fillId="5" borderId="0" xfId="0" applyFont="1" applyFill="1" applyAlignment="1">
      <alignment wrapText="1"/>
    </xf>
    <xf numFmtId="0" fontId="50" fillId="0" borderId="0" xfId="0" applyFont="1" applyAlignment="1">
      <alignment horizontal="left" vertical="top" wrapText="1"/>
    </xf>
    <xf numFmtId="0" fontId="7" fillId="0" borderId="52" xfId="0" applyFont="1" applyBorder="1" applyAlignment="1">
      <alignment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49" fontId="13" fillId="17" borderId="7" xfId="0" applyNumberFormat="1" applyFont="1" applyFill="1" applyBorder="1" applyAlignment="1">
      <alignment horizontal="center" vertical="center" wrapText="1"/>
    </xf>
    <xf numFmtId="3" fontId="13" fillId="17" borderId="7" xfId="0" applyNumberFormat="1" applyFont="1" applyFill="1" applyBorder="1" applyAlignment="1">
      <alignment horizontal="center" vertical="center" wrapText="1"/>
    </xf>
    <xf numFmtId="49" fontId="13" fillId="17" borderId="1" xfId="0" applyNumberFormat="1" applyFont="1" applyFill="1" applyBorder="1" applyAlignment="1">
      <alignment horizontal="center" vertical="center" wrapText="1"/>
    </xf>
    <xf numFmtId="3" fontId="13" fillId="17" borderId="1" xfId="0" applyNumberFormat="1" applyFont="1" applyFill="1" applyBorder="1" applyAlignment="1">
      <alignment horizontal="center" vertical="center" wrapText="1"/>
    </xf>
    <xf numFmtId="49" fontId="14" fillId="17" borderId="2" xfId="0" applyNumberFormat="1" applyFont="1" applyFill="1" applyBorder="1" applyAlignment="1">
      <alignment horizontal="center" vertical="center" wrapText="1"/>
    </xf>
    <xf numFmtId="49" fontId="14" fillId="17" borderId="1" xfId="0" applyNumberFormat="1" applyFont="1" applyFill="1" applyBorder="1" applyAlignment="1">
      <alignment horizontal="center" vertical="center" wrapText="1"/>
    </xf>
    <xf numFmtId="49" fontId="6" fillId="17" borderId="2" xfId="0" applyNumberFormat="1" applyFont="1" applyFill="1" applyBorder="1" applyAlignment="1">
      <alignment horizontal="center" vertical="center" wrapText="1"/>
    </xf>
    <xf numFmtId="49" fontId="14" fillId="17" borderId="12" xfId="0" applyNumberFormat="1" applyFont="1" applyFill="1" applyBorder="1" applyAlignment="1">
      <alignment horizontal="center" vertical="center" wrapText="1"/>
    </xf>
    <xf numFmtId="4" fontId="14" fillId="17" borderId="1" xfId="0" applyNumberFormat="1" applyFont="1" applyFill="1" applyBorder="1" applyAlignment="1">
      <alignment horizontal="center" vertical="center" wrapText="1"/>
    </xf>
    <xf numFmtId="49" fontId="13" fillId="0" borderId="14" xfId="0" applyNumberFormat="1" applyFont="1" applyBorder="1" applyAlignment="1">
      <alignment horizontal="left" vertical="top" wrapText="1"/>
    </xf>
    <xf numFmtId="3" fontId="13" fillId="0" borderId="12" xfId="0" applyNumberFormat="1" applyFont="1" applyBorder="1" applyAlignment="1">
      <alignment horizontal="center" vertical="center" wrapText="1"/>
    </xf>
    <xf numFmtId="2" fontId="13" fillId="17" borderId="41" xfId="0" applyNumberFormat="1" applyFont="1" applyFill="1" applyBorder="1" applyAlignment="1">
      <alignment horizontal="left" vertical="top" wrapText="1"/>
    </xf>
    <xf numFmtId="49" fontId="13" fillId="17" borderId="13" xfId="0" applyNumberFormat="1" applyFont="1" applyFill="1" applyBorder="1" applyAlignment="1">
      <alignment vertical="center" wrapText="1"/>
    </xf>
    <xf numFmtId="49" fontId="13" fillId="17" borderId="13" xfId="0" applyNumberFormat="1" applyFont="1" applyFill="1" applyBorder="1" applyAlignment="1">
      <alignment horizontal="center" vertical="center" wrapText="1"/>
    </xf>
    <xf numFmtId="3" fontId="13" fillId="17" borderId="13" xfId="0" applyNumberFormat="1" applyFont="1" applyFill="1" applyBorder="1" applyAlignment="1">
      <alignment horizontal="center" vertical="center" wrapText="1"/>
    </xf>
    <xf numFmtId="49" fontId="13" fillId="17" borderId="1" xfId="0" applyNumberFormat="1" applyFont="1" applyFill="1" applyBorder="1" applyAlignment="1">
      <alignment vertical="center" wrapText="1"/>
    </xf>
    <xf numFmtId="166" fontId="14" fillId="17" borderId="1" xfId="0" applyNumberFormat="1" applyFont="1" applyFill="1" applyBorder="1" applyAlignment="1">
      <alignment horizontal="center" vertical="center" wrapText="1"/>
    </xf>
    <xf numFmtId="49" fontId="14" fillId="17" borderId="1" xfId="0" applyNumberFormat="1" applyFont="1" applyFill="1" applyBorder="1" applyAlignment="1">
      <alignment vertical="center" wrapText="1"/>
    </xf>
    <xf numFmtId="0" fontId="14" fillId="17" borderId="1" xfId="0" applyFont="1" applyFill="1" applyBorder="1" applyAlignment="1">
      <alignment vertical="center" wrapText="1"/>
    </xf>
    <xf numFmtId="0" fontId="52" fillId="17" borderId="0" xfId="0" applyFont="1" applyFill="1"/>
    <xf numFmtId="0" fontId="7" fillId="17" borderId="51" xfId="0" applyFont="1" applyFill="1" applyBorder="1" applyAlignment="1">
      <alignment vertical="center" wrapText="1"/>
    </xf>
    <xf numFmtId="0" fontId="7" fillId="17" borderId="52" xfId="0" applyFont="1" applyFill="1" applyBorder="1" applyAlignment="1">
      <alignment vertical="center" wrapText="1"/>
    </xf>
    <xf numFmtId="4" fontId="6" fillId="17" borderId="2" xfId="0" applyNumberFormat="1" applyFont="1" applyFill="1" applyBorder="1" applyAlignment="1">
      <alignment horizontal="center" vertical="center" wrapText="1"/>
    </xf>
    <xf numFmtId="49" fontId="7" fillId="17" borderId="2" xfId="0" applyNumberFormat="1" applyFont="1" applyFill="1" applyBorder="1" applyAlignment="1">
      <alignment horizontal="center" vertical="center" wrapText="1"/>
    </xf>
    <xf numFmtId="0" fontId="7" fillId="17" borderId="52" xfId="0" applyFont="1" applyFill="1" applyBorder="1" applyAlignment="1">
      <alignment horizontal="center" vertical="center" wrapText="1"/>
    </xf>
    <xf numFmtId="49" fontId="14" fillId="0" borderId="9" xfId="0" applyNumberFormat="1" applyFont="1" applyBorder="1" applyAlignment="1">
      <alignment horizontal="center" vertical="center" wrapText="1"/>
    </xf>
    <xf numFmtId="49" fontId="13" fillId="0" borderId="25"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49" fontId="14" fillId="0" borderId="9" xfId="0" applyNumberFormat="1" applyFont="1" applyBorder="1" applyAlignment="1">
      <alignment horizontal="center" vertical="center"/>
    </xf>
    <xf numFmtId="3" fontId="13" fillId="0" borderId="30" xfId="0" applyNumberFormat="1" applyFont="1" applyBorder="1" applyAlignment="1">
      <alignment horizontal="center" vertical="center" wrapText="1"/>
    </xf>
    <xf numFmtId="3" fontId="13" fillId="0" borderId="17" xfId="0" applyNumberFormat="1" applyFont="1" applyBorder="1" applyAlignment="1">
      <alignment horizontal="center" vertical="center" wrapText="1"/>
    </xf>
    <xf numFmtId="49" fontId="14" fillId="0" borderId="2" xfId="0" applyNumberFormat="1" applyFont="1" applyBorder="1" applyAlignment="1">
      <alignment horizontal="center" vertical="center"/>
    </xf>
    <xf numFmtId="49" fontId="14" fillId="0" borderId="44"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49" fontId="13" fillId="17" borderId="3" xfId="0" applyNumberFormat="1" applyFont="1" applyFill="1" applyBorder="1" applyAlignment="1">
      <alignment horizontal="left" vertical="top" wrapText="1"/>
    </xf>
    <xf numFmtId="49" fontId="13" fillId="0" borderId="3" xfId="0" applyNumberFormat="1" applyFont="1" applyBorder="1" applyAlignment="1">
      <alignment horizontal="left" vertical="top" wrapText="1"/>
    </xf>
    <xf numFmtId="49" fontId="56" fillId="0" borderId="3" xfId="0" applyNumberFormat="1" applyFont="1" applyBorder="1" applyAlignment="1">
      <alignment horizontal="left" vertical="top" wrapText="1"/>
    </xf>
    <xf numFmtId="0" fontId="14" fillId="17" borderId="3" xfId="0" applyFont="1" applyFill="1" applyBorder="1" applyAlignment="1">
      <alignment horizontal="left" vertical="top" wrapText="1"/>
    </xf>
    <xf numFmtId="0" fontId="0" fillId="17" borderId="0" xfId="0" applyFill="1"/>
    <xf numFmtId="0" fontId="0" fillId="0" borderId="0" xfId="0" applyAlignment="1">
      <alignment vertical="center"/>
    </xf>
    <xf numFmtId="3" fontId="0" fillId="0" borderId="0" xfId="0" applyNumberFormat="1" applyAlignment="1">
      <alignment horizontal="center" vertical="center"/>
    </xf>
    <xf numFmtId="0" fontId="0" fillId="0" borderId="0" xfId="0" applyAlignment="1">
      <alignment horizontal="left" vertical="top"/>
    </xf>
    <xf numFmtId="4" fontId="0" fillId="0" borderId="0" xfId="0" applyNumberFormat="1" applyAlignment="1">
      <alignment horizontal="left" vertical="center"/>
    </xf>
    <xf numFmtId="0" fontId="2" fillId="17" borderId="0" xfId="0" applyFont="1" applyFill="1"/>
    <xf numFmtId="49" fontId="14" fillId="17" borderId="7" xfId="0" applyNumberFormat="1" applyFont="1" applyFill="1" applyBorder="1" applyAlignment="1">
      <alignment horizontal="center" vertical="center" wrapText="1"/>
    </xf>
    <xf numFmtId="4" fontId="9" fillId="0" borderId="1" xfId="0" applyNumberFormat="1" applyFont="1" applyBorder="1" applyAlignment="1">
      <alignment horizontal="left" vertical="center" wrapText="1"/>
    </xf>
    <xf numFmtId="2" fontId="55" fillId="17" borderId="3" xfId="0" applyNumberFormat="1" applyFont="1" applyFill="1" applyBorder="1" applyAlignment="1">
      <alignment horizontal="left" vertical="top" wrapText="1"/>
    </xf>
    <xf numFmtId="49" fontId="14" fillId="17" borderId="13" xfId="0" applyNumberFormat="1" applyFont="1" applyFill="1" applyBorder="1" applyAlignment="1">
      <alignment horizontal="center" vertical="center" wrapText="1"/>
    </xf>
    <xf numFmtId="0" fontId="20" fillId="0" borderId="0" xfId="0" applyFont="1"/>
    <xf numFmtId="3"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left" vertical="top" wrapText="1"/>
    </xf>
    <xf numFmtId="4" fontId="14" fillId="2" borderId="1" xfId="0" applyNumberFormat="1" applyFont="1" applyFill="1" applyBorder="1" applyAlignment="1">
      <alignment horizontal="left" vertical="center" wrapText="1"/>
    </xf>
    <xf numFmtId="49" fontId="13" fillId="2" borderId="1" xfId="0" applyNumberFormat="1" applyFont="1" applyFill="1" applyBorder="1" applyAlignment="1">
      <alignment horizontal="left" vertical="top" wrapText="1"/>
    </xf>
    <xf numFmtId="49" fontId="14" fillId="2" borderId="1" xfId="0" applyNumberFormat="1" applyFont="1" applyFill="1" applyBorder="1" applyAlignment="1">
      <alignment horizontal="left" vertical="top" wrapText="1"/>
    </xf>
    <xf numFmtId="4" fontId="57" fillId="2" borderId="1" xfId="0" applyNumberFormat="1" applyFont="1" applyFill="1" applyBorder="1" applyAlignment="1">
      <alignment horizontal="left" vertical="top" wrapText="1"/>
    </xf>
    <xf numFmtId="4" fontId="9" fillId="0" borderId="13" xfId="0" applyNumberFormat="1" applyFont="1" applyBorder="1" applyAlignment="1">
      <alignment horizontal="left" vertical="center" wrapText="1"/>
    </xf>
    <xf numFmtId="4" fontId="14" fillId="2" borderId="12" xfId="0" applyNumberFormat="1" applyFont="1" applyFill="1" applyBorder="1" applyAlignment="1">
      <alignment horizontal="left" vertical="center" wrapText="1"/>
    </xf>
    <xf numFmtId="3" fontId="13" fillId="2" borderId="17" xfId="0" applyNumberFormat="1" applyFont="1" applyFill="1" applyBorder="1" applyAlignment="1">
      <alignment horizontal="center" vertical="center" wrapText="1"/>
    </xf>
    <xf numFmtId="164" fontId="13" fillId="2" borderId="17" xfId="0" applyNumberFormat="1" applyFont="1" applyFill="1" applyBorder="1" applyAlignment="1">
      <alignment horizontal="center" vertical="center" wrapText="1"/>
    </xf>
    <xf numFmtId="49" fontId="0" fillId="0" borderId="1" xfId="0" applyNumberFormat="1" applyBorder="1" applyAlignment="1">
      <alignment wrapText="1"/>
    </xf>
    <xf numFmtId="49" fontId="9" fillId="0" borderId="1" xfId="0" applyNumberFormat="1" applyFont="1" applyBorder="1" applyAlignment="1">
      <alignment vertical="center" wrapText="1"/>
    </xf>
    <xf numFmtId="0" fontId="0" fillId="0" borderId="1" xfId="0" applyBorder="1" applyAlignment="1">
      <alignment wrapText="1"/>
    </xf>
    <xf numFmtId="49" fontId="0" fillId="2" borderId="13" xfId="0" applyNumberFormat="1" applyFill="1" applyBorder="1" applyAlignment="1">
      <alignment vertical="center" wrapText="1"/>
    </xf>
    <xf numFmtId="49" fontId="0" fillId="0" borderId="12" xfId="0" applyNumberFormat="1" applyBorder="1" applyAlignment="1">
      <alignment wrapText="1"/>
    </xf>
    <xf numFmtId="49" fontId="13" fillId="2" borderId="3" xfId="0" applyNumberFormat="1" applyFont="1" applyFill="1" applyBorder="1" applyAlignment="1">
      <alignment horizontal="left" vertical="top" wrapText="1"/>
    </xf>
    <xf numFmtId="4" fontId="0" fillId="2" borderId="1" xfId="0" applyNumberFormat="1" applyFill="1" applyBorder="1" applyAlignment="1">
      <alignment horizontal="left" vertical="top" wrapText="1"/>
    </xf>
    <xf numFmtId="0" fontId="0" fillId="0" borderId="0" xfId="0" applyAlignment="1">
      <alignment vertical="center" wrapText="1"/>
    </xf>
    <xf numFmtId="14" fontId="0" fillId="0" borderId="31" xfId="0" applyNumberFormat="1" applyBorder="1" applyAlignment="1">
      <alignment horizontal="center"/>
    </xf>
    <xf numFmtId="0" fontId="0" fillId="0" borderId="0" xfId="0" applyAlignment="1">
      <alignment horizontal="center"/>
    </xf>
    <xf numFmtId="14" fontId="14" fillId="0" borderId="31" xfId="0" applyNumberFormat="1" applyFont="1" applyBorder="1" applyAlignment="1">
      <alignment horizontal="center" vertical="center"/>
    </xf>
    <xf numFmtId="0" fontId="14" fillId="0" borderId="0" xfId="0" applyFont="1" applyAlignment="1">
      <alignment horizontal="center" vertical="center"/>
    </xf>
    <xf numFmtId="4" fontId="35" fillId="0" borderId="43" xfId="0" applyNumberFormat="1" applyFont="1" applyBorder="1" applyAlignment="1">
      <alignment horizontal="center" vertical="center" wrapText="1"/>
    </xf>
    <xf numFmtId="4" fontId="35" fillId="0" borderId="42" xfId="0" applyNumberFormat="1" applyFont="1" applyBorder="1" applyAlignment="1">
      <alignment horizontal="center" vertical="center" wrapText="1"/>
    </xf>
    <xf numFmtId="4" fontId="35" fillId="0" borderId="40" xfId="0" applyNumberFormat="1" applyFont="1" applyBorder="1" applyAlignment="1">
      <alignment horizontal="center" vertical="center" wrapText="1"/>
    </xf>
    <xf numFmtId="3" fontId="41" fillId="0" borderId="31" xfId="0" applyNumberFormat="1" applyFont="1" applyBorder="1" applyAlignment="1">
      <alignment horizontal="center" vertical="center"/>
    </xf>
    <xf numFmtId="3" fontId="41" fillId="0" borderId="0" xfId="0" applyNumberFormat="1" applyFont="1" applyAlignment="1">
      <alignment horizontal="center" vertical="center"/>
    </xf>
    <xf numFmtId="0" fontId="34" fillId="0" borderId="3" xfId="0" applyFont="1" applyBorder="1" applyAlignment="1">
      <alignment horizontal="left" vertical="center" wrapText="1"/>
    </xf>
    <xf numFmtId="0" fontId="0" fillId="0" borderId="37" xfId="0" applyBorder="1" applyAlignment="1">
      <alignment horizontal="left" vertical="center" wrapText="1"/>
    </xf>
    <xf numFmtId="0" fontId="0" fillId="0" borderId="4" xfId="0" applyBorder="1" applyAlignment="1">
      <alignment horizontal="left" vertical="center" wrapText="1"/>
    </xf>
    <xf numFmtId="0" fontId="34" fillId="0" borderId="3" xfId="0" applyFont="1" applyBorder="1" applyAlignment="1">
      <alignment horizontal="left" vertical="center"/>
    </xf>
    <xf numFmtId="0" fontId="0" fillId="0" borderId="37" xfId="0" applyBorder="1" applyAlignment="1">
      <alignment horizontal="left" vertical="center"/>
    </xf>
    <xf numFmtId="0" fontId="0" fillId="0" borderId="4" xfId="0" applyBorder="1" applyAlignment="1">
      <alignment horizontal="left" vertical="center"/>
    </xf>
    <xf numFmtId="0" fontId="32" fillId="0" borderId="45" xfId="0" applyFont="1" applyBorder="1" applyAlignment="1">
      <alignment horizontal="left" vertical="center" wrapText="1"/>
    </xf>
    <xf numFmtId="0" fontId="32" fillId="0" borderId="46" xfId="0" applyFont="1" applyBorder="1" applyAlignment="1">
      <alignment horizontal="left" vertical="center" wrapText="1"/>
    </xf>
    <xf numFmtId="0" fontId="32" fillId="0" borderId="4" xfId="0" applyFont="1" applyBorder="1" applyAlignment="1">
      <alignment horizontal="left" wrapText="1"/>
    </xf>
    <xf numFmtId="0" fontId="33" fillId="12" borderId="15" xfId="0" applyFont="1" applyFill="1" applyBorder="1" applyAlignment="1">
      <alignment horizontal="center" vertical="center"/>
    </xf>
    <xf numFmtId="0" fontId="33" fillId="12" borderId="26" xfId="0" applyFont="1" applyFill="1" applyBorder="1" applyAlignment="1">
      <alignment horizontal="center" vertical="center"/>
    </xf>
    <xf numFmtId="0" fontId="33" fillId="12" borderId="2" xfId="0" applyFont="1" applyFill="1" applyBorder="1" applyAlignment="1">
      <alignment horizontal="center" vertical="center"/>
    </xf>
    <xf numFmtId="0" fontId="33" fillId="12" borderId="5" xfId="0" applyFont="1" applyFill="1" applyBorder="1" applyAlignment="1">
      <alignment horizontal="center" vertical="center"/>
    </xf>
    <xf numFmtId="0" fontId="33" fillId="12" borderId="2" xfId="0" applyFont="1" applyFill="1" applyBorder="1" applyAlignment="1">
      <alignment horizontal="center" vertical="center" wrapText="1"/>
    </xf>
    <xf numFmtId="0" fontId="33" fillId="12" borderId="5" xfId="0" applyFont="1" applyFill="1" applyBorder="1" applyAlignment="1">
      <alignment horizontal="center" vertical="center" wrapText="1"/>
    </xf>
    <xf numFmtId="0" fontId="32" fillId="0" borderId="4" xfId="0" applyFont="1" applyBorder="1" applyAlignment="1">
      <alignment horizontal="left" vertical="center" wrapText="1"/>
    </xf>
    <xf numFmtId="3" fontId="40" fillId="0" borderId="31" xfId="0" applyNumberFormat="1" applyFont="1" applyBorder="1" applyAlignment="1">
      <alignment horizontal="center" vertical="center" wrapText="1"/>
    </xf>
    <xf numFmtId="0" fontId="33" fillId="11" borderId="8" xfId="0" applyFont="1" applyFill="1" applyBorder="1" applyAlignment="1">
      <alignment horizontal="center" vertical="center"/>
    </xf>
    <xf numFmtId="0" fontId="33" fillId="11" borderId="5" xfId="0" applyFont="1" applyFill="1" applyBorder="1" applyAlignment="1">
      <alignment horizontal="center" vertical="center"/>
    </xf>
    <xf numFmtId="0" fontId="33" fillId="11" borderId="10" xfId="0" applyFont="1" applyFill="1" applyBorder="1" applyAlignment="1">
      <alignment horizontal="center" vertical="center"/>
    </xf>
    <xf numFmtId="49" fontId="33" fillId="11" borderId="2" xfId="0" applyNumberFormat="1" applyFont="1" applyFill="1" applyBorder="1" applyAlignment="1">
      <alignment horizontal="center" vertical="center"/>
    </xf>
    <xf numFmtId="49" fontId="33" fillId="11" borderId="13" xfId="0" applyNumberFormat="1" applyFont="1" applyFill="1" applyBorder="1" applyAlignment="1">
      <alignment horizontal="center" vertical="center"/>
    </xf>
    <xf numFmtId="49" fontId="33" fillId="11" borderId="1" xfId="0" applyNumberFormat="1" applyFont="1" applyFill="1" applyBorder="1" applyAlignment="1">
      <alignment horizontal="center" vertical="center"/>
    </xf>
    <xf numFmtId="0" fontId="0" fillId="10" borderId="6" xfId="0" applyFill="1" applyBorder="1" applyAlignment="1">
      <alignment horizontal="center" vertical="center"/>
    </xf>
    <xf numFmtId="0" fontId="0" fillId="10" borderId="9" xfId="0" applyFill="1" applyBorder="1" applyAlignment="1">
      <alignment horizontal="center" vertical="center"/>
    </xf>
    <xf numFmtId="0" fontId="39" fillId="10" borderId="28" xfId="0" applyFont="1" applyFill="1" applyBorder="1" applyAlignment="1">
      <alignment horizontal="center" vertical="center" wrapText="1"/>
    </xf>
    <xf numFmtId="0" fontId="39" fillId="10" borderId="23" xfId="0" applyFont="1" applyFill="1" applyBorder="1" applyAlignment="1">
      <alignment horizontal="center" vertical="center" wrapText="1"/>
    </xf>
    <xf numFmtId="0" fontId="39" fillId="10" borderId="30" xfId="0" applyFont="1" applyFill="1" applyBorder="1" applyAlignment="1">
      <alignment horizontal="center" vertical="center" wrapText="1"/>
    </xf>
    <xf numFmtId="49" fontId="33" fillId="12" borderId="2" xfId="0" applyNumberFormat="1" applyFont="1" applyFill="1" applyBorder="1" applyAlignment="1">
      <alignment horizontal="center" vertical="center"/>
    </xf>
    <xf numFmtId="49" fontId="33" fillId="12" borderId="5" xfId="0" applyNumberFormat="1" applyFont="1" applyFill="1" applyBorder="1" applyAlignment="1">
      <alignment horizontal="center" vertical="center"/>
    </xf>
    <xf numFmtId="3" fontId="33" fillId="12" borderId="20" xfId="0" applyNumberFormat="1" applyFont="1" applyFill="1" applyBorder="1" applyAlignment="1">
      <alignment horizontal="center" vertical="center"/>
    </xf>
    <xf numFmtId="0" fontId="33" fillId="12" borderId="38" xfId="0" applyFont="1" applyFill="1" applyBorder="1" applyAlignment="1">
      <alignment horizontal="center" vertical="center"/>
    </xf>
    <xf numFmtId="0" fontId="0" fillId="14" borderId="15" xfId="0" applyFill="1"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39" fillId="14" borderId="14" xfId="0" applyFont="1" applyFill="1" applyBorder="1" applyAlignment="1">
      <alignment horizontal="center" vertical="center" wrapText="1"/>
    </xf>
    <xf numFmtId="0" fontId="0" fillId="14" borderId="19" xfId="0" applyFill="1" applyBorder="1" applyAlignment="1">
      <alignment horizontal="center" vertical="center" wrapText="1"/>
    </xf>
    <xf numFmtId="0" fontId="0" fillId="14" borderId="29" xfId="0" applyFill="1" applyBorder="1" applyAlignment="1">
      <alignment horizontal="center" vertical="center" wrapText="1"/>
    </xf>
    <xf numFmtId="0" fontId="0" fillId="12" borderId="2" xfId="0" applyFill="1" applyBorder="1" applyAlignment="1">
      <alignment horizontal="center" vertical="center"/>
    </xf>
    <xf numFmtId="0" fontId="0" fillId="12" borderId="13" xfId="0" applyFill="1" applyBorder="1" applyAlignment="1">
      <alignment horizontal="center" vertical="center"/>
    </xf>
    <xf numFmtId="0" fontId="39" fillId="13" borderId="28" xfId="0" applyFont="1" applyFill="1" applyBorder="1" applyAlignment="1">
      <alignment horizontal="center" vertical="center" wrapText="1"/>
    </xf>
    <xf numFmtId="0" fontId="39" fillId="13" borderId="30" xfId="0" applyFont="1" applyFill="1" applyBorder="1" applyAlignment="1">
      <alignment horizontal="center" vertical="center" wrapText="1"/>
    </xf>
    <xf numFmtId="0" fontId="39" fillId="12" borderId="20" xfId="0" applyFont="1" applyFill="1" applyBorder="1" applyAlignment="1">
      <alignment horizontal="center" vertical="center" wrapText="1"/>
    </xf>
    <xf numFmtId="0" fontId="39" fillId="12" borderId="30" xfId="0" applyFont="1" applyFill="1" applyBorder="1" applyAlignment="1">
      <alignment horizontal="center" vertical="center" wrapText="1"/>
    </xf>
    <xf numFmtId="0" fontId="0" fillId="11" borderId="24" xfId="0" applyFill="1" applyBorder="1" applyAlignment="1">
      <alignment horizontal="center" vertical="center"/>
    </xf>
    <xf numFmtId="0" fontId="0" fillId="11" borderId="21" xfId="0" applyFill="1" applyBorder="1" applyAlignment="1">
      <alignment horizontal="center" vertical="center"/>
    </xf>
    <xf numFmtId="0" fontId="0" fillId="11" borderId="26" xfId="0" applyFill="1" applyBorder="1" applyAlignment="1">
      <alignment horizontal="center" vertical="center"/>
    </xf>
    <xf numFmtId="0" fontId="0" fillId="16" borderId="6" xfId="0" applyFill="1" applyBorder="1" applyAlignment="1">
      <alignment horizontal="center" vertical="center" wrapText="1"/>
    </xf>
    <xf numFmtId="0" fontId="0" fillId="16" borderId="11" xfId="0" applyFill="1" applyBorder="1" applyAlignment="1">
      <alignment horizontal="center" vertical="center" wrapText="1"/>
    </xf>
    <xf numFmtId="0" fontId="39" fillId="16" borderId="7" xfId="0" applyFont="1" applyFill="1" applyBorder="1" applyAlignment="1">
      <alignment horizontal="center" vertical="center" wrapText="1"/>
    </xf>
    <xf numFmtId="0" fontId="39" fillId="0" borderId="12" xfId="0" applyFont="1" applyBorder="1" applyAlignment="1">
      <alignment horizontal="center" vertical="center" wrapText="1"/>
    </xf>
    <xf numFmtId="0" fontId="32" fillId="0" borderId="37" xfId="0" applyFont="1" applyBorder="1" applyAlignment="1">
      <alignment vertical="center" wrapText="1"/>
    </xf>
    <xf numFmtId="0" fontId="0" fillId="15" borderId="9" xfId="0" applyFill="1" applyBorder="1" applyAlignment="1">
      <alignment horizontal="center" vertical="center"/>
    </xf>
    <xf numFmtId="0" fontId="39" fillId="15" borderId="1" xfId="0" applyFont="1" applyFill="1" applyBorder="1" applyAlignment="1">
      <alignment horizontal="center" vertical="center" wrapText="1"/>
    </xf>
    <xf numFmtId="0" fontId="33" fillId="11" borderId="24" xfId="0" applyFont="1" applyFill="1" applyBorder="1" applyAlignment="1">
      <alignment horizontal="center" vertical="center"/>
    </xf>
    <xf numFmtId="0" fontId="33" fillId="11" borderId="21" xfId="0" applyFont="1" applyFill="1" applyBorder="1" applyAlignment="1">
      <alignment horizontal="center" vertical="center"/>
    </xf>
    <xf numFmtId="0" fontId="33" fillId="11" borderId="26" xfId="0" applyFont="1" applyFill="1" applyBorder="1" applyAlignment="1">
      <alignment horizontal="center" vertical="center"/>
    </xf>
    <xf numFmtId="0" fontId="39" fillId="11" borderId="28" xfId="0" applyFont="1" applyFill="1" applyBorder="1" applyAlignment="1">
      <alignment horizontal="center" vertical="center" wrapText="1"/>
    </xf>
    <xf numFmtId="0" fontId="39" fillId="11" borderId="23" xfId="0" applyFont="1" applyFill="1" applyBorder="1" applyAlignment="1">
      <alignment horizontal="center" vertical="center" wrapText="1"/>
    </xf>
    <xf numFmtId="0" fontId="39" fillId="11" borderId="38" xfId="0" applyFont="1" applyFill="1" applyBorder="1" applyAlignment="1">
      <alignment horizontal="center" vertical="center" wrapText="1"/>
    </xf>
    <xf numFmtId="49" fontId="6" fillId="0" borderId="43" xfId="0" applyNumberFormat="1" applyFont="1" applyBorder="1" applyAlignment="1">
      <alignment horizontal="center" vertical="center" wrapText="1"/>
    </xf>
    <xf numFmtId="49" fontId="6" fillId="0" borderId="40" xfId="0" applyNumberFormat="1" applyFont="1" applyBorder="1" applyAlignment="1">
      <alignment horizontal="center" vertical="center" wrapText="1"/>
    </xf>
    <xf numFmtId="0" fontId="52" fillId="2" borderId="43" xfId="0" applyFont="1" applyFill="1" applyBorder="1" applyAlignment="1">
      <alignment horizontal="center" vertical="center" wrapText="1"/>
    </xf>
    <xf numFmtId="0" fontId="0" fillId="2" borderId="40" xfId="0" applyFill="1" applyBorder="1" applyAlignment="1">
      <alignment horizontal="center" vertical="center" wrapText="1"/>
    </xf>
    <xf numFmtId="49" fontId="6" fillId="17" borderId="6" xfId="0" applyNumberFormat="1" applyFont="1" applyFill="1" applyBorder="1" applyAlignment="1">
      <alignment horizontal="center" vertical="center" wrapText="1"/>
    </xf>
    <xf numFmtId="49" fontId="6" fillId="17" borderId="15"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4" fontId="6" fillId="17" borderId="7" xfId="0" applyNumberFormat="1" applyFont="1" applyFill="1" applyBorder="1" applyAlignment="1">
      <alignment horizontal="center" vertical="center" wrapText="1"/>
    </xf>
    <xf numFmtId="4" fontId="6" fillId="17" borderId="2" xfId="0" applyNumberFormat="1" applyFont="1" applyFill="1" applyBorder="1" applyAlignment="1">
      <alignment horizontal="center" vertical="center" wrapText="1"/>
    </xf>
    <xf numFmtId="0" fontId="6" fillId="17" borderId="7" xfId="0" applyFont="1" applyFill="1" applyBorder="1" applyAlignment="1">
      <alignment horizontal="center" vertical="top" wrapText="1"/>
    </xf>
    <xf numFmtId="0" fontId="6" fillId="17" borderId="2" xfId="0" applyFont="1" applyFill="1" applyBorder="1" applyAlignment="1">
      <alignment horizontal="center" vertical="top" wrapText="1"/>
    </xf>
    <xf numFmtId="49" fontId="6" fillId="0" borderId="16" xfId="0" applyNumberFormat="1" applyFont="1" applyBorder="1" applyAlignment="1">
      <alignment horizontal="left" vertical="top" wrapText="1"/>
    </xf>
    <xf numFmtId="49" fontId="6" fillId="0" borderId="20" xfId="0" applyNumberFormat="1" applyFont="1" applyBorder="1" applyAlignment="1">
      <alignment horizontal="left" vertical="top" wrapText="1"/>
    </xf>
    <xf numFmtId="49" fontId="6" fillId="17" borderId="7" xfId="0" applyNumberFormat="1" applyFont="1" applyFill="1" applyBorder="1" applyAlignment="1">
      <alignment horizontal="center" vertical="center" wrapText="1"/>
    </xf>
    <xf numFmtId="49" fontId="6" fillId="17" borderId="2" xfId="0" applyNumberFormat="1" applyFont="1" applyFill="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7" xfId="0" applyNumberFormat="1" applyFont="1" applyBorder="1" applyAlignment="1">
      <alignment horizontal="center" vertical="center"/>
    </xf>
    <xf numFmtId="4" fontId="6" fillId="0" borderId="7"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13" fillId="17" borderId="7" xfId="0" applyNumberFormat="1" applyFont="1" applyFill="1" applyBorder="1" applyAlignment="1">
      <alignment horizontal="center" vertical="center" wrapText="1"/>
    </xf>
    <xf numFmtId="49" fontId="13" fillId="17" borderId="1" xfId="0" applyNumberFormat="1" applyFont="1" applyFill="1" applyBorder="1" applyAlignment="1">
      <alignment horizontal="center" vertical="center" wrapText="1"/>
    </xf>
    <xf numFmtId="3" fontId="13" fillId="17" borderId="8" xfId="0" applyNumberFormat="1" applyFont="1" applyFill="1" applyBorder="1" applyAlignment="1">
      <alignment horizontal="center" vertical="center"/>
    </xf>
    <xf numFmtId="3" fontId="13" fillId="17" borderId="10" xfId="0" applyNumberFormat="1" applyFont="1" applyFill="1" applyBorder="1" applyAlignment="1">
      <alignment horizontal="center" vertical="center"/>
    </xf>
    <xf numFmtId="3" fontId="13" fillId="17" borderId="8" xfId="0" applyNumberFormat="1" applyFont="1" applyFill="1" applyBorder="1" applyAlignment="1">
      <alignment horizontal="center" vertical="center" wrapText="1"/>
    </xf>
    <xf numFmtId="3" fontId="13" fillId="17" borderId="10"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xf>
    <xf numFmtId="3" fontId="13" fillId="2" borderId="10" xfId="0" applyNumberFormat="1" applyFont="1" applyFill="1" applyBorder="1" applyAlignment="1">
      <alignment horizontal="center" vertical="center"/>
    </xf>
    <xf numFmtId="3" fontId="13" fillId="2" borderId="8" xfId="0" applyNumberFormat="1" applyFont="1" applyFill="1" applyBorder="1" applyAlignment="1">
      <alignment horizontal="center" vertical="center"/>
    </xf>
    <xf numFmtId="3" fontId="13" fillId="17" borderId="2" xfId="0" applyNumberFormat="1" applyFont="1" applyFill="1" applyBorder="1" applyAlignment="1">
      <alignment horizontal="center" vertical="center"/>
    </xf>
    <xf numFmtId="3" fontId="13" fillId="17" borderId="2" xfId="0" applyNumberFormat="1" applyFont="1" applyFill="1" applyBorder="1" applyAlignment="1">
      <alignment horizontal="center" vertical="center" wrapText="1"/>
    </xf>
    <xf numFmtId="49" fontId="14" fillId="17" borderId="1" xfId="0" applyNumberFormat="1" applyFont="1" applyFill="1" applyBorder="1" applyAlignment="1">
      <alignment horizontal="center" vertical="center" wrapText="1"/>
    </xf>
    <xf numFmtId="49" fontId="0" fillId="17" borderId="6" xfId="0" applyNumberFormat="1" applyFill="1" applyBorder="1" applyAlignment="1">
      <alignment horizontal="center" vertical="center" wrapText="1"/>
    </xf>
    <xf numFmtId="49" fontId="0" fillId="17" borderId="9" xfId="0" applyNumberFormat="1" applyFill="1" applyBorder="1" applyAlignment="1">
      <alignment horizontal="center" vertical="center" wrapText="1"/>
    </xf>
    <xf numFmtId="49" fontId="0" fillId="17" borderId="11" xfId="0" applyNumberFormat="1" applyFill="1" applyBorder="1" applyAlignment="1">
      <alignment horizontal="center" vertical="center" wrapText="1"/>
    </xf>
    <xf numFmtId="3" fontId="14" fillId="17" borderId="7" xfId="0" applyNumberFormat="1" applyFont="1" applyFill="1" applyBorder="1" applyAlignment="1">
      <alignment horizontal="center" vertical="center"/>
    </xf>
    <xf numFmtId="3" fontId="14" fillId="17" borderId="1" xfId="0" applyNumberFormat="1" applyFont="1" applyFill="1" applyBorder="1" applyAlignment="1">
      <alignment horizontal="center" vertical="center"/>
    </xf>
    <xf numFmtId="3" fontId="14" fillId="17" borderId="12" xfId="0" applyNumberFormat="1" applyFont="1" applyFill="1" applyBorder="1" applyAlignment="1">
      <alignment horizontal="center" vertical="center"/>
    </xf>
    <xf numFmtId="49" fontId="13" fillId="17" borderId="12" xfId="0" applyNumberFormat="1" applyFont="1" applyFill="1" applyBorder="1" applyAlignment="1">
      <alignment horizontal="center" vertical="center" wrapText="1"/>
    </xf>
    <xf numFmtId="49" fontId="14" fillId="17" borderId="2" xfId="0" applyNumberFormat="1" applyFont="1" applyFill="1" applyBorder="1" applyAlignment="1">
      <alignment horizontal="center" vertical="center" wrapText="1"/>
    </xf>
    <xf numFmtId="49" fontId="14" fillId="17" borderId="10" xfId="0" applyNumberFormat="1" applyFont="1" applyFill="1" applyBorder="1" applyAlignment="1">
      <alignment horizontal="center" vertical="center" wrapText="1"/>
    </xf>
    <xf numFmtId="49" fontId="14" fillId="17" borderId="12" xfId="0" applyNumberFormat="1" applyFont="1" applyFill="1" applyBorder="1" applyAlignment="1">
      <alignment horizontal="center" vertical="center" wrapText="1"/>
    </xf>
    <xf numFmtId="3" fontId="14" fillId="2" borderId="2" xfId="0" applyNumberFormat="1" applyFont="1" applyFill="1" applyBorder="1" applyAlignment="1">
      <alignment horizontal="center" vertical="center"/>
    </xf>
    <xf numFmtId="3" fontId="14" fillId="2" borderId="5" xfId="0" applyNumberFormat="1" applyFont="1" applyFill="1" applyBorder="1" applyAlignment="1">
      <alignment horizontal="center" vertical="center"/>
    </xf>
    <xf numFmtId="3" fontId="14" fillId="17" borderId="2" xfId="0" applyNumberFormat="1" applyFont="1" applyFill="1" applyBorder="1" applyAlignment="1">
      <alignment horizontal="center" vertical="center"/>
    </xf>
    <xf numFmtId="3" fontId="14" fillId="17" borderId="10" xfId="0" applyNumberFormat="1" applyFont="1" applyFill="1" applyBorder="1" applyAlignment="1">
      <alignment horizontal="center" vertical="center"/>
    </xf>
    <xf numFmtId="3" fontId="14" fillId="17" borderId="5" xfId="0" applyNumberFormat="1" applyFont="1" applyFill="1" applyBorder="1" applyAlignment="1">
      <alignment horizontal="center" vertical="center"/>
    </xf>
    <xf numFmtId="3" fontId="14" fillId="17" borderId="2" xfId="0" applyNumberFormat="1" applyFont="1" applyFill="1" applyBorder="1" applyAlignment="1">
      <alignment horizontal="center" vertical="center" wrapText="1"/>
    </xf>
    <xf numFmtId="3" fontId="14" fillId="17" borderId="5" xfId="0" applyNumberFormat="1" applyFont="1" applyFill="1" applyBorder="1" applyAlignment="1">
      <alignment horizontal="center" vertical="center" wrapText="1"/>
    </xf>
    <xf numFmtId="3" fontId="14" fillId="2" borderId="10" xfId="0" applyNumberFormat="1" applyFont="1" applyFill="1" applyBorder="1" applyAlignment="1">
      <alignment horizontal="center" vertical="center"/>
    </xf>
    <xf numFmtId="3" fontId="14" fillId="17" borderId="10" xfId="0" applyNumberFormat="1"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17" borderId="10" xfId="0"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5" xfId="0" applyNumberFormat="1" applyBorder="1" applyAlignment="1">
      <alignment horizontal="center"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49" fontId="14" fillId="0" borderId="24" xfId="0" applyNumberFormat="1" applyFont="1" applyBorder="1" applyAlignment="1">
      <alignment horizontal="center" vertical="center" wrapText="1"/>
    </xf>
    <xf numFmtId="49" fontId="0" fillId="0" borderId="21" xfId="0" applyNumberFormat="1" applyBorder="1" applyAlignment="1">
      <alignment horizontal="center" vertical="center"/>
    </xf>
    <xf numFmtId="4" fontId="0" fillId="0" borderId="8" xfId="0" applyNumberFormat="1" applyBorder="1" applyAlignment="1">
      <alignment horizontal="center" vertical="center" wrapText="1"/>
    </xf>
    <xf numFmtId="4" fontId="0" fillId="0" borderId="10" xfId="0" applyNumberFormat="1" applyBorder="1" applyAlignment="1">
      <alignment horizontal="center" vertical="center" wrapText="1"/>
    </xf>
    <xf numFmtId="4" fontId="0" fillId="0" borderId="5" xfId="0" applyNumberFormat="1" applyBorder="1" applyAlignment="1">
      <alignment horizontal="center" vertical="center" wrapText="1"/>
    </xf>
    <xf numFmtId="4" fontId="14" fillId="0" borderId="8" xfId="0" applyNumberFormat="1" applyFont="1" applyBorder="1" applyAlignment="1">
      <alignment horizontal="center" vertical="center" wrapText="1"/>
    </xf>
    <xf numFmtId="4" fontId="14" fillId="0" borderId="10" xfId="0" applyNumberFormat="1" applyFont="1" applyBorder="1" applyAlignment="1">
      <alignment horizontal="center" vertical="center" wrapText="1"/>
    </xf>
    <xf numFmtId="4" fontId="0" fillId="0" borderId="1" xfId="0" applyNumberFormat="1" applyBorder="1" applyAlignment="1">
      <alignment horizontal="center" vertical="center"/>
    </xf>
    <xf numFmtId="4" fontId="0" fillId="0" borderId="10" xfId="0" applyNumberFormat="1" applyBorder="1" applyAlignment="1">
      <alignment horizontal="center" vertical="center"/>
    </xf>
    <xf numFmtId="4" fontId="0" fillId="0" borderId="5" xfId="0" applyNumberFormat="1" applyBorder="1" applyAlignment="1">
      <alignment horizontal="center" vertical="center"/>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0" borderId="8" xfId="0" applyFont="1" applyBorder="1" applyAlignment="1">
      <alignment horizontal="center" vertical="top" wrapText="1"/>
    </xf>
    <xf numFmtId="0" fontId="6" fillId="0" borderId="5" xfId="0" applyFont="1" applyBorder="1" applyAlignment="1">
      <alignment horizontal="center" vertical="top" wrapText="1"/>
    </xf>
    <xf numFmtId="4" fontId="0" fillId="0" borderId="2" xfId="0" applyNumberFormat="1" applyBorder="1" applyAlignment="1">
      <alignment horizontal="center" vertical="center" wrapText="1"/>
    </xf>
    <xf numFmtId="4" fontId="0" fillId="0" borderId="13" xfId="0" applyNumberFormat="1" applyBorder="1" applyAlignment="1">
      <alignment horizontal="center" vertical="center" wrapText="1"/>
    </xf>
    <xf numFmtId="49" fontId="3" fillId="0" borderId="2"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0" fillId="0" borderId="13" xfId="0" applyNumberForma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13" xfId="0" applyNumberFormat="1" applyFont="1" applyBorder="1" applyAlignment="1">
      <alignment horizontal="center" vertical="center" wrapText="1"/>
    </xf>
    <xf numFmtId="0" fontId="6" fillId="0" borderId="1" xfId="0" applyFont="1" applyBorder="1" applyAlignment="1">
      <alignment horizontal="center" vertical="top"/>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2" xfId="0" applyFont="1" applyBorder="1" applyAlignment="1">
      <alignment horizontal="center" vertical="top"/>
    </xf>
    <xf numFmtId="0" fontId="6" fillId="0" borderId="10" xfId="0" applyFont="1" applyBorder="1" applyAlignment="1">
      <alignment horizontal="center" vertical="top"/>
    </xf>
    <xf numFmtId="0" fontId="6" fillId="0" borderId="10" xfId="0" applyFont="1" applyBorder="1" applyAlignment="1">
      <alignment horizontal="center" vertical="top" wrapText="1"/>
    </xf>
    <xf numFmtId="0" fontId="6" fillId="0" borderId="2" xfId="0" applyFont="1" applyBorder="1" applyAlignment="1">
      <alignment horizontal="left" vertical="top"/>
    </xf>
    <xf numFmtId="0" fontId="6" fillId="0" borderId="13" xfId="0" applyFont="1" applyBorder="1" applyAlignment="1">
      <alignment horizontal="left" vertical="top"/>
    </xf>
    <xf numFmtId="49" fontId="0" fillId="6" borderId="8" xfId="0" applyNumberFormat="1" applyFill="1" applyBorder="1" applyAlignment="1">
      <alignment horizontal="center" vertical="center" wrapText="1"/>
    </xf>
    <xf numFmtId="49" fontId="0" fillId="6" borderId="10" xfId="0" applyNumberFormat="1" applyFill="1" applyBorder="1" applyAlignment="1">
      <alignment horizontal="center" vertical="center" wrapText="1"/>
    </xf>
    <xf numFmtId="49" fontId="0" fillId="0" borderId="8" xfId="0" applyNumberFormat="1" applyBorder="1" applyAlignment="1">
      <alignment horizontal="center" vertical="center" wrapText="1"/>
    </xf>
    <xf numFmtId="4" fontId="9" fillId="0" borderId="2" xfId="0" applyNumberFormat="1" applyFont="1" applyBorder="1" applyAlignment="1">
      <alignment horizontal="center" vertical="center"/>
    </xf>
    <xf numFmtId="4" fontId="9" fillId="0" borderId="10" xfId="0" applyNumberFormat="1" applyFont="1" applyBorder="1" applyAlignment="1">
      <alignment horizontal="center" vertical="center"/>
    </xf>
    <xf numFmtId="4" fontId="9" fillId="0" borderId="13" xfId="0" applyNumberFormat="1" applyFont="1" applyBorder="1" applyAlignment="1">
      <alignment horizontal="center" vertical="center"/>
    </xf>
    <xf numFmtId="49" fontId="0" fillId="0" borderId="15" xfId="0" applyNumberFormat="1" applyBorder="1" applyAlignment="1">
      <alignment horizontal="center" vertical="center" wrapText="1"/>
    </xf>
    <xf numFmtId="49" fontId="0" fillId="0" borderId="21" xfId="0" applyNumberFormat="1" applyBorder="1" applyAlignment="1">
      <alignment horizontal="center" vertical="center" wrapText="1"/>
    </xf>
    <xf numFmtId="4" fontId="9" fillId="0" borderId="8" xfId="0" applyNumberFormat="1" applyFont="1" applyBorder="1" applyAlignment="1">
      <alignment horizontal="center" vertical="center"/>
    </xf>
    <xf numFmtId="49" fontId="3" fillId="0" borderId="8" xfId="0" applyNumberFormat="1" applyFont="1" applyBorder="1" applyAlignment="1">
      <alignment horizontal="center" vertical="center" wrapText="1"/>
    </xf>
    <xf numFmtId="49" fontId="0" fillId="0" borderId="0" xfId="0" applyNumberFormat="1" applyAlignment="1">
      <alignment horizontal="center" vertical="center" wrapText="1"/>
    </xf>
    <xf numFmtId="4" fontId="0" fillId="0" borderId="8" xfId="0" applyNumberFormat="1" applyBorder="1" applyAlignment="1">
      <alignment horizontal="center" vertical="center"/>
    </xf>
    <xf numFmtId="49" fontId="3"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0" fillId="0" borderId="36" xfId="0" applyNumberFormat="1" applyBorder="1" applyAlignment="1">
      <alignment horizontal="center" vertical="center" wrapText="1"/>
    </xf>
    <xf numFmtId="49" fontId="0" fillId="0" borderId="37"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26" xfId="0" applyNumberFormat="1" applyBorder="1" applyAlignment="1">
      <alignment horizontal="center" vertical="center" wrapText="1"/>
    </xf>
    <xf numFmtId="4" fontId="9" fillId="0" borderId="5" xfId="0" applyNumberFormat="1" applyFont="1" applyBorder="1" applyAlignment="1">
      <alignment horizontal="center" vertical="center"/>
    </xf>
    <xf numFmtId="4" fontId="0" fillId="0" borderId="7" xfId="0" applyNumberFormat="1" applyBorder="1" applyAlignment="1">
      <alignment horizontal="center" vertical="center"/>
    </xf>
    <xf numFmtId="4" fontId="0" fillId="0" borderId="12" xfId="0" applyNumberFormat="1" applyBorder="1" applyAlignment="1">
      <alignment horizontal="center" vertical="center"/>
    </xf>
    <xf numFmtId="49" fontId="0" fillId="6" borderId="5" xfId="0" applyNumberFormat="1" applyFill="1" applyBorder="1" applyAlignment="1">
      <alignment horizontal="center" vertical="center" wrapText="1"/>
    </xf>
    <xf numFmtId="49" fontId="0" fillId="6" borderId="2" xfId="0" applyNumberFormat="1" applyFill="1" applyBorder="1" applyAlignment="1">
      <alignment horizontal="center" vertical="center" wrapText="1"/>
    </xf>
    <xf numFmtId="49" fontId="0" fillId="6" borderId="13" xfId="0" applyNumberFormat="1" applyFill="1" applyBorder="1" applyAlignment="1">
      <alignment horizontal="center" vertical="center" wrapText="1"/>
    </xf>
    <xf numFmtId="49" fontId="14" fillId="6" borderId="8" xfId="0" applyNumberFormat="1" applyFont="1" applyFill="1" applyBorder="1" applyAlignment="1">
      <alignment horizontal="center" vertical="center" wrapText="1"/>
    </xf>
    <xf numFmtId="49" fontId="14" fillId="6" borderId="10" xfId="0" applyNumberFormat="1" applyFont="1" applyFill="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49" fontId="13" fillId="0" borderId="10"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 fontId="14" fillId="0" borderId="5" xfId="0" applyNumberFormat="1" applyFont="1" applyBorder="1" applyAlignment="1">
      <alignment horizontal="center" vertical="center" wrapText="1"/>
    </xf>
    <xf numFmtId="4"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wrapText="1"/>
    </xf>
    <xf numFmtId="49" fontId="0" fillId="3" borderId="1" xfId="0" applyNumberFormat="1" applyFill="1" applyBorder="1" applyAlignment="1">
      <alignment horizontal="center" vertical="center" wrapText="1"/>
    </xf>
    <xf numFmtId="49" fontId="9" fillId="3" borderId="7"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2" fontId="47" fillId="0" borderId="0" xfId="0" applyNumberFormat="1" applyFont="1" applyAlignment="1">
      <alignment horizontal="center" vertical="center" wrapText="1"/>
    </xf>
    <xf numFmtId="0" fontId="0" fillId="0" borderId="1" xfId="0" applyBorder="1" applyAlignment="1">
      <alignment horizontal="center" vertical="center" wrapText="1"/>
    </xf>
    <xf numFmtId="4" fontId="0" fillId="8" borderId="10" xfId="0" applyNumberFormat="1" applyFill="1" applyBorder="1" applyAlignment="1">
      <alignment horizontal="center" vertical="center"/>
    </xf>
    <xf numFmtId="4" fontId="0" fillId="8" borderId="5" xfId="0" applyNumberFormat="1" applyFill="1" applyBorder="1" applyAlignment="1">
      <alignment horizontal="center" vertical="center"/>
    </xf>
    <xf numFmtId="49" fontId="14" fillId="8" borderId="2" xfId="0" applyNumberFormat="1" applyFont="1" applyFill="1" applyBorder="1" applyAlignment="1">
      <alignment horizontal="center" vertical="center" wrapText="1"/>
    </xf>
    <xf numFmtId="49" fontId="14" fillId="8" borderId="5" xfId="0" applyNumberFormat="1" applyFont="1" applyFill="1" applyBorder="1" applyAlignment="1">
      <alignment horizontal="center" vertical="center" wrapText="1"/>
    </xf>
    <xf numFmtId="4" fontId="0" fillId="8" borderId="2" xfId="0" applyNumberFormat="1" applyFill="1" applyBorder="1" applyAlignment="1">
      <alignment horizontal="center" vertical="center" wrapText="1"/>
    </xf>
    <xf numFmtId="4" fontId="0" fillId="8" borderId="5" xfId="0" applyNumberFormat="1" applyFill="1" applyBorder="1" applyAlignment="1">
      <alignment horizontal="center" vertical="center" wrapText="1"/>
    </xf>
    <xf numFmtId="4" fontId="0" fillId="8" borderId="2" xfId="0" applyNumberFormat="1" applyFill="1" applyBorder="1" applyAlignment="1">
      <alignment horizontal="center" vertical="center"/>
    </xf>
    <xf numFmtId="49" fontId="9" fillId="0" borderId="24"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18" xfId="0" applyNumberFormat="1" applyFont="1" applyBorder="1" applyAlignment="1">
      <alignment horizontal="left" vertical="top" wrapText="1"/>
    </xf>
    <xf numFmtId="4" fontId="6" fillId="0" borderId="12"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0" fontId="51" fillId="17" borderId="43" xfId="0" applyFont="1" applyFill="1" applyBorder="1" applyAlignment="1">
      <alignment horizontal="center" vertical="center"/>
    </xf>
    <xf numFmtId="0" fontId="51" fillId="17" borderId="42" xfId="0" applyFont="1" applyFill="1" applyBorder="1" applyAlignment="1">
      <alignment horizontal="center" vertical="center"/>
    </xf>
    <xf numFmtId="0" fontId="51" fillId="17" borderId="40" xfId="0" applyFont="1" applyFill="1" applyBorder="1" applyAlignment="1">
      <alignment horizontal="center" vertical="center"/>
    </xf>
    <xf numFmtId="0" fontId="51" fillId="17" borderId="43" xfId="0" applyFont="1" applyFill="1" applyBorder="1" applyAlignment="1">
      <alignment vertical="center"/>
    </xf>
    <xf numFmtId="0" fontId="51" fillId="17" borderId="42" xfId="0" applyFont="1" applyFill="1" applyBorder="1" applyAlignment="1">
      <alignment vertical="center"/>
    </xf>
    <xf numFmtId="0" fontId="51" fillId="17" borderId="40" xfId="0" applyFont="1" applyFill="1" applyBorder="1" applyAlignment="1">
      <alignment vertical="center"/>
    </xf>
    <xf numFmtId="0" fontId="51" fillId="17" borderId="43" xfId="0" applyFont="1" applyFill="1" applyBorder="1" applyAlignment="1">
      <alignment horizontal="center" vertical="center" wrapText="1"/>
    </xf>
    <xf numFmtId="0" fontId="51" fillId="17" borderId="42" xfId="0" applyFont="1" applyFill="1" applyBorder="1" applyAlignment="1">
      <alignment horizontal="center" vertical="center" wrapText="1"/>
    </xf>
    <xf numFmtId="0" fontId="51" fillId="17" borderId="40" xfId="0" applyFont="1" applyFill="1" applyBorder="1" applyAlignment="1">
      <alignment horizontal="center" vertical="center" wrapText="1"/>
    </xf>
    <xf numFmtId="0" fontId="51" fillId="17" borderId="43" xfId="0" applyFont="1" applyFill="1" applyBorder="1" applyAlignment="1">
      <alignment horizontal="left" vertical="center" wrapText="1"/>
    </xf>
    <xf numFmtId="0" fontId="51" fillId="17" borderId="40"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rsumin.sharepoint.com/24_vp_dep/bendras/Stebesenos_rodikliai/Post%202020/VP%20projektai/4%20draft/8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zoomScale="55" zoomScaleNormal="55" workbookViewId="0">
      <selection activeCell="J3" sqref="J3"/>
    </sheetView>
  </sheetViews>
  <sheetFormatPr defaultRowHeight="15" x14ac:dyDescent="0.25"/>
  <cols>
    <col min="1" max="1" width="15" customWidth="1"/>
    <col min="2" max="2" width="31.140625" customWidth="1"/>
    <col min="3" max="3" width="10.85546875" style="148" customWidth="1"/>
    <col min="4" max="4" width="11" style="148" customWidth="1"/>
    <col min="5" max="5" width="15.140625" style="150" customWidth="1"/>
    <col min="6" max="6" width="12.85546875" style="148" customWidth="1"/>
    <col min="7" max="7" width="12.85546875" style="149" customWidth="1"/>
    <col min="8" max="10" width="23.42578125" style="148" customWidth="1"/>
    <col min="11" max="11" width="54.42578125" style="147"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85546875" bestFit="1" customWidth="1"/>
  </cols>
  <sheetData>
    <row r="1" spans="1:16" ht="18.75" x14ac:dyDescent="0.3">
      <c r="C1" s="486" t="s">
        <v>0</v>
      </c>
      <c r="D1" s="487"/>
      <c r="E1" s="487"/>
      <c r="F1" s="487"/>
      <c r="G1" s="487"/>
      <c r="H1" s="488"/>
      <c r="I1" s="159"/>
      <c r="J1" s="159"/>
      <c r="L1" s="158"/>
    </row>
    <row r="2" spans="1:16" ht="32.25" thickBot="1" x14ac:dyDescent="0.35">
      <c r="C2" s="207" t="s">
        <v>1</v>
      </c>
      <c r="D2" s="207" t="s">
        <v>2</v>
      </c>
      <c r="E2" s="207" t="s">
        <v>3</v>
      </c>
      <c r="F2" s="207" t="s">
        <v>4</v>
      </c>
      <c r="G2" s="208" t="s">
        <v>5</v>
      </c>
      <c r="H2" s="207" t="s">
        <v>6</v>
      </c>
      <c r="I2" s="253" t="s">
        <v>7</v>
      </c>
      <c r="J2" s="253" t="s">
        <v>8</v>
      </c>
      <c r="L2" s="158"/>
    </row>
    <row r="3" spans="1:16" ht="38.25" customHeight="1" x14ac:dyDescent="0.25">
      <c r="A3" s="530" t="s">
        <v>9</v>
      </c>
      <c r="B3" s="532" t="s">
        <v>10</v>
      </c>
      <c r="C3" s="251">
        <v>2</v>
      </c>
      <c r="D3" s="251" t="s">
        <v>11</v>
      </c>
      <c r="E3" s="252" t="s">
        <v>12</v>
      </c>
      <c r="F3" s="251" t="s">
        <v>13</v>
      </c>
      <c r="G3" s="250" t="s">
        <v>14</v>
      </c>
      <c r="H3" s="254">
        <v>103039200</v>
      </c>
      <c r="I3" s="261">
        <f>H3+20897600-10000000</f>
        <v>113936800</v>
      </c>
      <c r="J3" s="261">
        <f>124531822+10000000</f>
        <v>134531822</v>
      </c>
      <c r="K3" s="534" t="s">
        <v>15</v>
      </c>
      <c r="L3" s="478" t="s">
        <v>16</v>
      </c>
      <c r="M3" s="474">
        <v>44105</v>
      </c>
      <c r="N3" s="475"/>
    </row>
    <row r="4" spans="1:16" ht="67.150000000000006" customHeight="1" thickBot="1" x14ac:dyDescent="0.3">
      <c r="A4" s="531"/>
      <c r="B4" s="533"/>
      <c r="C4" s="248">
        <v>2</v>
      </c>
      <c r="D4" s="248" t="s">
        <v>17</v>
      </c>
      <c r="E4" s="249" t="s">
        <v>18</v>
      </c>
      <c r="F4" s="248" t="s">
        <v>13</v>
      </c>
      <c r="G4" s="247" t="s">
        <v>14</v>
      </c>
      <c r="H4" s="255">
        <v>7000000</v>
      </c>
      <c r="I4" s="261">
        <f>H4-600000</f>
        <v>6400000</v>
      </c>
      <c r="J4" s="261">
        <v>6400000</v>
      </c>
      <c r="K4" s="534"/>
      <c r="L4" s="479"/>
      <c r="M4" s="481">
        <v>123936800</v>
      </c>
      <c r="N4" s="482"/>
      <c r="O4" s="3" t="s">
        <v>11</v>
      </c>
      <c r="P4" s="283">
        <f>I3+I8</f>
        <v>123936800</v>
      </c>
    </row>
    <row r="5" spans="1:16" ht="40.5" customHeight="1" x14ac:dyDescent="0.25">
      <c r="A5" s="288" t="s">
        <v>19</v>
      </c>
      <c r="B5" s="287" t="s">
        <v>20</v>
      </c>
      <c r="C5" s="285">
        <v>2</v>
      </c>
      <c r="D5" s="285" t="s">
        <v>17</v>
      </c>
      <c r="E5" s="286" t="s">
        <v>18</v>
      </c>
      <c r="F5" s="285" t="s">
        <v>21</v>
      </c>
      <c r="G5" s="284" t="s">
        <v>22</v>
      </c>
      <c r="H5" s="289">
        <v>122382600</v>
      </c>
      <c r="I5" s="262">
        <f>(H5-615010)</f>
        <v>121767590</v>
      </c>
      <c r="J5" s="262">
        <v>121730794</v>
      </c>
      <c r="K5" s="282" t="s">
        <v>23</v>
      </c>
      <c r="L5" s="479"/>
      <c r="M5" s="481">
        <v>173867590</v>
      </c>
      <c r="N5" s="482"/>
      <c r="O5" s="3" t="s">
        <v>24</v>
      </c>
      <c r="P5" s="283">
        <f>SUM(I5:I7)</f>
        <v>167467590</v>
      </c>
    </row>
    <row r="6" spans="1:16" ht="16.5" customHeight="1" x14ac:dyDescent="0.25">
      <c r="A6" s="535" t="s">
        <v>25</v>
      </c>
      <c r="B6" s="536" t="s">
        <v>26</v>
      </c>
      <c r="C6" s="245">
        <v>2</v>
      </c>
      <c r="D6" s="245" t="s">
        <v>17</v>
      </c>
      <c r="E6" s="246" t="s">
        <v>18</v>
      </c>
      <c r="F6" s="245" t="s">
        <v>21</v>
      </c>
      <c r="G6" s="244" t="s">
        <v>14</v>
      </c>
      <c r="H6" s="243">
        <v>300000</v>
      </c>
      <c r="I6" s="263">
        <v>0</v>
      </c>
      <c r="J6" s="263">
        <v>0</v>
      </c>
      <c r="K6" s="282" t="s">
        <v>15</v>
      </c>
      <c r="L6" s="479"/>
      <c r="M6" s="233"/>
      <c r="N6" s="233"/>
    </row>
    <row r="7" spans="1:16" ht="25.5" customHeight="1" x14ac:dyDescent="0.25">
      <c r="A7" s="535"/>
      <c r="B7" s="536"/>
      <c r="C7" s="245">
        <v>2</v>
      </c>
      <c r="D7" s="245" t="s">
        <v>17</v>
      </c>
      <c r="E7" s="246" t="s">
        <v>18</v>
      </c>
      <c r="F7" s="245" t="s">
        <v>21</v>
      </c>
      <c r="G7" s="244" t="s">
        <v>27</v>
      </c>
      <c r="H7" s="243">
        <v>46000000</v>
      </c>
      <c r="I7" s="263">
        <f>H7-600000+H6</f>
        <v>45700000</v>
      </c>
      <c r="J7" s="263">
        <v>45700000</v>
      </c>
      <c r="K7" s="276" t="s">
        <v>28</v>
      </c>
      <c r="L7" s="479"/>
      <c r="M7" s="233"/>
      <c r="N7" s="242"/>
    </row>
    <row r="8" spans="1:16" ht="25.5" customHeight="1" thickBot="1" x14ac:dyDescent="0.3">
      <c r="A8" s="281" t="s">
        <v>29</v>
      </c>
      <c r="B8" s="280" t="s">
        <v>30</v>
      </c>
      <c r="C8" s="278">
        <v>2</v>
      </c>
      <c r="D8" s="278" t="s">
        <v>11</v>
      </c>
      <c r="E8" s="279" t="s">
        <v>12</v>
      </c>
      <c r="F8" s="278" t="s">
        <v>21</v>
      </c>
      <c r="G8" s="277" t="s">
        <v>31</v>
      </c>
      <c r="H8" s="290">
        <v>8000000</v>
      </c>
      <c r="I8" s="295">
        <v>10000000</v>
      </c>
      <c r="J8" s="295">
        <v>0</v>
      </c>
      <c r="K8" s="276" t="s">
        <v>32</v>
      </c>
      <c r="L8" s="480"/>
      <c r="M8" s="233"/>
      <c r="N8" s="242"/>
    </row>
    <row r="9" spans="1:16" ht="39.75" customHeight="1" x14ac:dyDescent="0.25">
      <c r="A9" s="527" t="s">
        <v>33</v>
      </c>
      <c r="B9" s="540" t="s">
        <v>34</v>
      </c>
      <c r="C9" s="537">
        <v>3</v>
      </c>
      <c r="D9" s="500" t="s">
        <v>11</v>
      </c>
      <c r="E9" s="191" t="s">
        <v>12</v>
      </c>
      <c r="F9" s="241"/>
      <c r="G9" s="240" t="s">
        <v>35</v>
      </c>
      <c r="H9" s="291">
        <v>5000000</v>
      </c>
      <c r="I9" s="234">
        <f>H9+1250000+ 6250000</f>
        <v>12500000</v>
      </c>
      <c r="J9" s="234">
        <v>11908130</v>
      </c>
      <c r="K9" s="222" t="s">
        <v>36</v>
      </c>
      <c r="L9" s="478" t="s">
        <v>37</v>
      </c>
      <c r="M9" s="233"/>
      <c r="N9" s="233"/>
    </row>
    <row r="10" spans="1:16" ht="39.75" customHeight="1" thickBot="1" x14ac:dyDescent="0.3">
      <c r="A10" s="528"/>
      <c r="B10" s="541"/>
      <c r="C10" s="538"/>
      <c r="D10" s="501"/>
      <c r="E10" s="296" t="s">
        <v>38</v>
      </c>
      <c r="F10" s="502" t="s">
        <v>39</v>
      </c>
      <c r="G10" s="297"/>
      <c r="H10" s="298"/>
      <c r="I10" s="234"/>
      <c r="J10" s="234">
        <v>588200</v>
      </c>
      <c r="K10" s="210"/>
      <c r="L10" s="479"/>
      <c r="M10" s="233"/>
      <c r="N10" s="233"/>
    </row>
    <row r="11" spans="1:16" s="236" customFormat="1" ht="59.25" customHeight="1" x14ac:dyDescent="0.25">
      <c r="A11" s="528"/>
      <c r="B11" s="541"/>
      <c r="C11" s="538"/>
      <c r="D11" s="500" t="s">
        <v>11</v>
      </c>
      <c r="E11" s="235" t="s">
        <v>12</v>
      </c>
      <c r="F11" s="502"/>
      <c r="G11" s="503" t="s">
        <v>40</v>
      </c>
      <c r="H11" s="256">
        <v>5000000</v>
      </c>
      <c r="I11" s="234">
        <v>0</v>
      </c>
      <c r="J11" s="234">
        <v>0</v>
      </c>
      <c r="K11" s="238" t="s">
        <v>41</v>
      </c>
      <c r="L11" s="479"/>
      <c r="M11" s="233"/>
      <c r="N11" s="233"/>
    </row>
    <row r="12" spans="1:16" s="236" customFormat="1" ht="59.25" customHeight="1" thickBot="1" x14ac:dyDescent="0.3">
      <c r="A12" s="528"/>
      <c r="B12" s="541"/>
      <c r="C12" s="538"/>
      <c r="D12" s="501"/>
      <c r="E12" s="235" t="s">
        <v>38</v>
      </c>
      <c r="F12" s="502"/>
      <c r="G12" s="504"/>
      <c r="H12" s="256"/>
      <c r="I12" s="234"/>
      <c r="J12" s="234">
        <v>0</v>
      </c>
      <c r="K12" s="238"/>
      <c r="L12" s="479"/>
      <c r="M12" s="233"/>
      <c r="N12" s="233"/>
    </row>
    <row r="13" spans="1:16" s="236" customFormat="1" ht="42" customHeight="1" x14ac:dyDescent="0.25">
      <c r="A13" s="528"/>
      <c r="B13" s="541"/>
      <c r="C13" s="538"/>
      <c r="D13" s="500" t="s">
        <v>11</v>
      </c>
      <c r="E13" s="235" t="s">
        <v>12</v>
      </c>
      <c r="F13" s="502"/>
      <c r="G13" s="505" t="s">
        <v>42</v>
      </c>
      <c r="H13" s="256">
        <v>5000000</v>
      </c>
      <c r="I13" s="234">
        <f>H13+1250000</f>
        <v>6250000</v>
      </c>
      <c r="J13" s="234">
        <v>5960260</v>
      </c>
      <c r="K13" s="237" t="s">
        <v>43</v>
      </c>
      <c r="L13" s="479"/>
      <c r="M13" s="233"/>
      <c r="N13" s="233"/>
    </row>
    <row r="14" spans="1:16" s="236" customFormat="1" ht="42" customHeight="1" thickBot="1" x14ac:dyDescent="0.3">
      <c r="A14" s="528"/>
      <c r="B14" s="541"/>
      <c r="C14" s="538"/>
      <c r="D14" s="501"/>
      <c r="E14" s="299" t="s">
        <v>38</v>
      </c>
      <c r="F14" s="502"/>
      <c r="G14" s="505"/>
      <c r="H14" s="300"/>
      <c r="I14" s="234"/>
      <c r="J14" s="234">
        <v>291200</v>
      </c>
      <c r="K14" s="237"/>
      <c r="L14" s="479"/>
      <c r="M14" s="233"/>
      <c r="N14" s="233"/>
    </row>
    <row r="15" spans="1:16" ht="42" customHeight="1" thickBot="1" x14ac:dyDescent="0.3">
      <c r="A15" s="528"/>
      <c r="B15" s="541"/>
      <c r="C15" s="538"/>
      <c r="D15" s="500" t="s">
        <v>11</v>
      </c>
      <c r="E15" s="275" t="s">
        <v>12</v>
      </c>
      <c r="F15" s="502"/>
      <c r="G15" s="239" t="s">
        <v>44</v>
      </c>
      <c r="H15" s="292">
        <v>5000000</v>
      </c>
      <c r="I15" s="234">
        <f>H15+1250000</f>
        <v>6250000</v>
      </c>
      <c r="J15" s="234">
        <v>5961710</v>
      </c>
      <c r="K15" s="222" t="s">
        <v>45</v>
      </c>
      <c r="L15" s="479"/>
      <c r="M15" s="233"/>
      <c r="N15" s="233"/>
    </row>
    <row r="16" spans="1:16" ht="42" customHeight="1" thickBot="1" x14ac:dyDescent="0.3">
      <c r="A16" s="529"/>
      <c r="B16" s="542"/>
      <c r="C16" s="539"/>
      <c r="D16" s="501"/>
      <c r="E16" s="301"/>
      <c r="F16" s="501"/>
      <c r="G16" s="239"/>
      <c r="H16" s="302"/>
      <c r="I16" s="234"/>
      <c r="J16" s="234">
        <v>290500</v>
      </c>
      <c r="K16" s="222"/>
      <c r="L16" s="479"/>
      <c r="M16" s="233"/>
      <c r="N16" s="233"/>
    </row>
    <row r="17" spans="1:20" ht="14.25" customHeight="1" x14ac:dyDescent="0.25">
      <c r="A17" s="506" t="s">
        <v>46</v>
      </c>
      <c r="B17" s="508" t="s">
        <v>47</v>
      </c>
      <c r="C17" s="274">
        <v>3</v>
      </c>
      <c r="D17" s="272" t="s">
        <v>17</v>
      </c>
      <c r="E17" s="273" t="s">
        <v>18</v>
      </c>
      <c r="F17" s="272" t="s">
        <v>48</v>
      </c>
      <c r="G17" s="303" t="s">
        <v>49</v>
      </c>
      <c r="H17" s="293">
        <v>94000000</v>
      </c>
      <c r="I17" s="264">
        <f>H17-900000+2000000</f>
        <v>95100000</v>
      </c>
      <c r="J17" s="264">
        <f>I17</f>
        <v>95100000</v>
      </c>
      <c r="K17" s="222" t="s">
        <v>50</v>
      </c>
      <c r="L17" s="479"/>
      <c r="M17" s="233"/>
      <c r="N17" s="233"/>
    </row>
    <row r="18" spans="1:20" ht="25.5" customHeight="1" x14ac:dyDescent="0.25">
      <c r="A18" s="507"/>
      <c r="B18" s="509"/>
      <c r="C18" s="185">
        <v>3</v>
      </c>
      <c r="D18" s="183" t="s">
        <v>17</v>
      </c>
      <c r="E18" s="184" t="s">
        <v>18</v>
      </c>
      <c r="F18" s="183" t="s">
        <v>48</v>
      </c>
      <c r="G18" s="182" t="s">
        <v>51</v>
      </c>
      <c r="H18" s="257">
        <v>52290000</v>
      </c>
      <c r="I18" s="264">
        <f>H18-800000</f>
        <v>51490000</v>
      </c>
      <c r="J18" s="264">
        <f>I18</f>
        <v>51490000</v>
      </c>
      <c r="K18" s="222" t="s">
        <v>52</v>
      </c>
      <c r="L18" s="479"/>
      <c r="M18" s="233"/>
      <c r="N18" s="242">
        <f>I17+I18+I19+I24</f>
        <v>158790000</v>
      </c>
      <c r="P18" s="85"/>
      <c r="S18">
        <f>123936800+121767590+45700000+6400000+25000000+90080000+10000000+146790000+242432250+10000000+2000000</f>
        <v>824106640</v>
      </c>
    </row>
    <row r="19" spans="1:20" ht="86.25" customHeight="1" x14ac:dyDescent="0.25">
      <c r="A19" s="507"/>
      <c r="B19" s="510"/>
      <c r="C19" s="185">
        <v>3</v>
      </c>
      <c r="D19" s="183" t="s">
        <v>17</v>
      </c>
      <c r="E19" s="184" t="s">
        <v>18</v>
      </c>
      <c r="F19" s="183" t="s">
        <v>48</v>
      </c>
      <c r="G19" s="182" t="s">
        <v>53</v>
      </c>
      <c r="H19" s="257">
        <v>3000000</v>
      </c>
      <c r="I19" s="264">
        <f>H19-800000</f>
        <v>2200000</v>
      </c>
      <c r="J19" s="264">
        <f>I19</f>
        <v>2200000</v>
      </c>
      <c r="K19" s="228" t="s">
        <v>54</v>
      </c>
      <c r="L19" s="479"/>
      <c r="M19" s="476">
        <v>44105</v>
      </c>
      <c r="N19" s="477"/>
      <c r="P19" s="85"/>
      <c r="S19">
        <f>113936800+10000000+121767590+45700000+6400000+25000000+90080000+10000000+148790000+242432250+10000000</f>
        <v>824106640</v>
      </c>
      <c r="T19" s="17">
        <f>824106640-S19</f>
        <v>0</v>
      </c>
    </row>
    <row r="20" spans="1:20" ht="25.5" customHeight="1" x14ac:dyDescent="0.25">
      <c r="A20" s="515" t="s">
        <v>55</v>
      </c>
      <c r="B20" s="518" t="s">
        <v>56</v>
      </c>
      <c r="C20" s="232">
        <v>3</v>
      </c>
      <c r="D20" s="230" t="s">
        <v>17</v>
      </c>
      <c r="E20" s="231" t="s">
        <v>18</v>
      </c>
      <c r="F20" s="230" t="s">
        <v>48</v>
      </c>
      <c r="G20" s="229" t="s">
        <v>57</v>
      </c>
      <c r="H20" s="258">
        <v>177000000</v>
      </c>
      <c r="I20" s="265">
        <v>63315000</v>
      </c>
      <c r="J20" s="265">
        <v>65530043</v>
      </c>
      <c r="K20" s="222" t="s">
        <v>58</v>
      </c>
      <c r="L20" s="479"/>
      <c r="M20" s="481">
        <v>125080000</v>
      </c>
      <c r="N20" s="482"/>
      <c r="O20" s="3" t="s">
        <v>11</v>
      </c>
      <c r="P20" s="4">
        <f>SUM(I9:I15,I25)</f>
        <v>115080000</v>
      </c>
    </row>
    <row r="21" spans="1:20" ht="36" customHeight="1" x14ac:dyDescent="0.25">
      <c r="A21" s="516"/>
      <c r="B21" s="519"/>
      <c r="C21" s="232">
        <v>3</v>
      </c>
      <c r="D21" s="230" t="s">
        <v>17</v>
      </c>
      <c r="E21" s="231" t="s">
        <v>18</v>
      </c>
      <c r="F21" s="230" t="s">
        <v>48</v>
      </c>
      <c r="G21" s="229" t="s">
        <v>59</v>
      </c>
      <c r="H21" s="258">
        <v>44500000</v>
      </c>
      <c r="I21" s="265">
        <v>147896000</v>
      </c>
      <c r="J21" s="265">
        <v>147844205</v>
      </c>
      <c r="K21" s="228" t="s">
        <v>60</v>
      </c>
      <c r="L21" s="479"/>
      <c r="M21" s="481">
        <v>401222250</v>
      </c>
      <c r="N21" s="482"/>
      <c r="O21" s="3" t="s">
        <v>61</v>
      </c>
      <c r="P21" s="271">
        <f>SUM(I17:I24)</f>
        <v>401222250</v>
      </c>
      <c r="R21" s="85"/>
    </row>
    <row r="22" spans="1:20" ht="15" customHeight="1" x14ac:dyDescent="0.25">
      <c r="A22" s="516"/>
      <c r="B22" s="519"/>
      <c r="C22" s="232">
        <v>3</v>
      </c>
      <c r="D22" s="230" t="s">
        <v>17</v>
      </c>
      <c r="E22" s="231" t="s">
        <v>18</v>
      </c>
      <c r="F22" s="230" t="s">
        <v>48</v>
      </c>
      <c r="G22" s="229" t="s">
        <v>62</v>
      </c>
      <c r="H22" s="258">
        <v>18500000</v>
      </c>
      <c r="I22" s="265">
        <v>26671250</v>
      </c>
      <c r="J22" s="265">
        <v>26661909</v>
      </c>
      <c r="K22" s="228" t="s">
        <v>63</v>
      </c>
      <c r="L22" s="479"/>
    </row>
    <row r="23" spans="1:20" x14ac:dyDescent="0.25">
      <c r="A23" s="517"/>
      <c r="B23" s="520"/>
      <c r="C23" s="232">
        <v>3</v>
      </c>
      <c r="D23" s="230" t="s">
        <v>17</v>
      </c>
      <c r="E23" s="231" t="s">
        <v>18</v>
      </c>
      <c r="F23" s="230" t="s">
        <v>48</v>
      </c>
      <c r="G23" s="229" t="s">
        <v>64</v>
      </c>
      <c r="H23" s="258">
        <v>5000000</v>
      </c>
      <c r="I23" s="265">
        <v>4550000</v>
      </c>
      <c r="J23" s="265">
        <v>2311190</v>
      </c>
      <c r="K23" s="228" t="s">
        <v>65</v>
      </c>
      <c r="L23" s="479"/>
    </row>
    <row r="24" spans="1:20" ht="34.5" thickBot="1" x14ac:dyDescent="0.3">
      <c r="A24" s="270" t="s">
        <v>66</v>
      </c>
      <c r="B24" s="269" t="s">
        <v>67</v>
      </c>
      <c r="C24" s="173">
        <v>3</v>
      </c>
      <c r="D24" s="171" t="s">
        <v>17</v>
      </c>
      <c r="E24" s="172" t="s">
        <v>18</v>
      </c>
      <c r="F24" s="171" t="s">
        <v>48</v>
      </c>
      <c r="G24" s="170" t="s">
        <v>68</v>
      </c>
      <c r="H24" s="259">
        <v>10000000</v>
      </c>
      <c r="I24" s="266">
        <f>H24</f>
        <v>10000000</v>
      </c>
      <c r="J24" s="266">
        <f>I24</f>
        <v>10000000</v>
      </c>
      <c r="K24" s="228" t="s">
        <v>69</v>
      </c>
      <c r="L24" s="479"/>
      <c r="P24" s="85"/>
    </row>
    <row r="25" spans="1:20" ht="135.75" customHeight="1" x14ac:dyDescent="0.25">
      <c r="A25" s="227" t="s">
        <v>70</v>
      </c>
      <c r="B25" s="523" t="s">
        <v>71</v>
      </c>
      <c r="C25" s="226">
        <v>3</v>
      </c>
      <c r="D25" s="224" t="s">
        <v>11</v>
      </c>
      <c r="E25" s="225" t="s">
        <v>12</v>
      </c>
      <c r="F25" s="224" t="s">
        <v>72</v>
      </c>
      <c r="G25" s="223" t="s">
        <v>73</v>
      </c>
      <c r="H25" s="260">
        <v>82017360</v>
      </c>
      <c r="I25" s="267">
        <f>H25+8062640</f>
        <v>90080000</v>
      </c>
      <c r="J25" s="267">
        <v>87958750</v>
      </c>
      <c r="K25" s="222" t="s">
        <v>74</v>
      </c>
      <c r="L25" s="479"/>
      <c r="N25" s="85">
        <f>I20+I21+I22+I23</f>
        <v>242432250</v>
      </c>
    </row>
    <row r="26" spans="1:20" ht="135.75" customHeight="1" x14ac:dyDescent="0.25">
      <c r="A26" s="227"/>
      <c r="B26" s="524"/>
      <c r="C26" s="226">
        <v>3</v>
      </c>
      <c r="D26" s="224" t="s">
        <v>11</v>
      </c>
      <c r="E26" s="225" t="s">
        <v>12</v>
      </c>
      <c r="F26" s="224" t="s">
        <v>72</v>
      </c>
      <c r="G26" s="223" t="s">
        <v>31</v>
      </c>
      <c r="H26" s="294"/>
      <c r="I26" s="267">
        <v>10000000</v>
      </c>
      <c r="J26" s="267">
        <v>10000000</v>
      </c>
      <c r="K26" s="228" t="s">
        <v>32</v>
      </c>
      <c r="L26" s="479"/>
      <c r="N26" s="85"/>
    </row>
    <row r="27" spans="1:20" ht="123.75" customHeight="1" x14ac:dyDescent="0.25">
      <c r="A27" s="521" t="s">
        <v>75</v>
      </c>
      <c r="B27" s="525" t="s">
        <v>76</v>
      </c>
      <c r="C27" s="221">
        <v>3</v>
      </c>
      <c r="D27" s="219" t="s">
        <v>11</v>
      </c>
      <c r="E27" s="220" t="s">
        <v>12</v>
      </c>
      <c r="F27" s="219" t="s">
        <v>72</v>
      </c>
      <c r="G27" s="218" t="s">
        <v>31</v>
      </c>
      <c r="H27" s="217">
        <v>8000000</v>
      </c>
      <c r="I27" s="262">
        <v>0</v>
      </c>
      <c r="J27" s="262"/>
      <c r="K27" s="489" t="s">
        <v>32</v>
      </c>
      <c r="L27" s="479"/>
      <c r="N27">
        <f>123936800+121767590+45700000+6400000+25000000+90080000+10000000+146790000+242432250+10000000+2000000</f>
        <v>824106640</v>
      </c>
    </row>
    <row r="28" spans="1:20" ht="38.25" customHeight="1" thickBot="1" x14ac:dyDescent="0.3">
      <c r="A28" s="522"/>
      <c r="B28" s="526"/>
      <c r="C28" s="216">
        <v>3</v>
      </c>
      <c r="D28" s="214" t="s">
        <v>11</v>
      </c>
      <c r="E28" s="215" t="s">
        <v>38</v>
      </c>
      <c r="F28" s="214" t="s">
        <v>72</v>
      </c>
      <c r="G28" s="213" t="s">
        <v>31</v>
      </c>
      <c r="H28" s="212">
        <v>2000000</v>
      </c>
      <c r="I28" s="211">
        <v>0</v>
      </c>
      <c r="J28" s="268"/>
      <c r="K28" s="490"/>
      <c r="L28" s="480"/>
    </row>
    <row r="29" spans="1:20" ht="15" customHeight="1" thickBot="1" x14ac:dyDescent="0.35">
      <c r="A29" s="15"/>
      <c r="B29" s="209"/>
      <c r="H29" s="160"/>
      <c r="I29" s="160"/>
      <c r="J29" s="160"/>
      <c r="K29" s="210"/>
      <c r="L29" s="158"/>
    </row>
    <row r="30" spans="1:20" ht="18" customHeight="1" x14ac:dyDescent="0.3">
      <c r="A30" s="15"/>
      <c r="B30" s="209"/>
      <c r="G30" s="166" t="s">
        <v>77</v>
      </c>
      <c r="H30" s="165">
        <f>H3</f>
        <v>103039200</v>
      </c>
      <c r="I30" s="165">
        <f>I3+I8</f>
        <v>123936800</v>
      </c>
      <c r="J30" s="165">
        <f>J3+J8</f>
        <v>134531822</v>
      </c>
      <c r="K30" s="499">
        <f>J30+J31</f>
        <v>308362616</v>
      </c>
      <c r="L30" s="158"/>
    </row>
    <row r="31" spans="1:20" ht="18.75" customHeight="1" x14ac:dyDescent="0.3">
      <c r="A31" s="15"/>
      <c r="B31" s="209"/>
      <c r="G31" s="164" t="s">
        <v>78</v>
      </c>
      <c r="H31" s="163">
        <f>H4+H5+H6+H7</f>
        <v>175682600</v>
      </c>
      <c r="I31" s="163">
        <f>I4+I5+I6+I7</f>
        <v>173867590</v>
      </c>
      <c r="J31" s="163">
        <f>J4+J5+J6+J7</f>
        <v>173830794</v>
      </c>
      <c r="K31" s="499"/>
      <c r="L31" s="158"/>
    </row>
    <row r="32" spans="1:20" ht="18" customHeight="1" x14ac:dyDescent="0.3">
      <c r="A32" s="15"/>
      <c r="B32" s="209"/>
      <c r="G32" s="164" t="s">
        <v>79</v>
      </c>
      <c r="H32" s="163">
        <f>H9+H11+H13+H15+H25+H27</f>
        <v>110017360</v>
      </c>
      <c r="I32" s="163">
        <f>I9+I11+I13+I15+I25+I26</f>
        <v>125080000</v>
      </c>
      <c r="J32" s="163">
        <f>SUM(J9:J16,J25:J26)</f>
        <v>122958750</v>
      </c>
      <c r="K32" s="499">
        <f>J32+J33</f>
        <v>524096097</v>
      </c>
      <c r="L32" s="158"/>
    </row>
    <row r="33" spans="1:12" ht="18.600000000000001" customHeight="1" thickBot="1" x14ac:dyDescent="0.35">
      <c r="A33" s="15"/>
      <c r="B33" s="209"/>
      <c r="G33" s="162" t="s">
        <v>80</v>
      </c>
      <c r="H33" s="161">
        <f>H17+H18+H19+H20+H21+H22+H23+H24+H28</f>
        <v>406290000</v>
      </c>
      <c r="I33" s="161">
        <f>I17+I18+I19+I20+I21+I22+I23+I24</f>
        <v>401222250</v>
      </c>
      <c r="J33" s="161">
        <f>J17+J18+J19+J20+J21+J22+J23+J24</f>
        <v>401137347</v>
      </c>
      <c r="K33" s="499"/>
      <c r="L33" s="158"/>
    </row>
    <row r="34" spans="1:12" ht="18.75" x14ac:dyDescent="0.3">
      <c r="A34" s="15"/>
      <c r="B34" s="209"/>
      <c r="H34" s="160"/>
      <c r="I34" s="160">
        <f>SUM(I30:I33)</f>
        <v>824106640</v>
      </c>
      <c r="J34" s="160">
        <f>SUM(J30:J33)</f>
        <v>832458713</v>
      </c>
      <c r="K34" s="358">
        <f>K30+K32</f>
        <v>832458713</v>
      </c>
      <c r="L34" s="158"/>
    </row>
    <row r="35" spans="1:12" ht="25.5" customHeight="1" x14ac:dyDescent="0.3">
      <c r="L35" s="158"/>
    </row>
    <row r="36" spans="1:12" ht="18.75" x14ac:dyDescent="0.3">
      <c r="C36" s="486" t="s">
        <v>81</v>
      </c>
      <c r="D36" s="487"/>
      <c r="E36" s="487"/>
      <c r="F36" s="487"/>
      <c r="G36" s="487"/>
      <c r="H36" s="488"/>
      <c r="I36" s="159"/>
      <c r="J36" s="159"/>
      <c r="L36" s="158"/>
    </row>
    <row r="37" spans="1:12" ht="26.25" thickBot="1" x14ac:dyDescent="0.35">
      <c r="C37" s="207" t="s">
        <v>1</v>
      </c>
      <c r="D37" s="207" t="s">
        <v>2</v>
      </c>
      <c r="E37" s="207" t="s">
        <v>3</v>
      </c>
      <c r="F37" s="207" t="s">
        <v>4</v>
      </c>
      <c r="G37" s="208" t="s">
        <v>5</v>
      </c>
      <c r="H37" s="207" t="s">
        <v>6</v>
      </c>
      <c r="I37" s="154"/>
      <c r="J37" s="154"/>
      <c r="L37" s="158"/>
    </row>
    <row r="38" spans="1:12" ht="19.5" customHeight="1" x14ac:dyDescent="0.3">
      <c r="C38" s="206">
        <v>2</v>
      </c>
      <c r="D38" s="204" t="s">
        <v>11</v>
      </c>
      <c r="E38" s="205" t="s">
        <v>12</v>
      </c>
      <c r="F38" s="204" t="s">
        <v>13</v>
      </c>
      <c r="G38" s="203" t="s">
        <v>82</v>
      </c>
      <c r="H38" s="202">
        <f>H3</f>
        <v>103039200</v>
      </c>
      <c r="I38" s="201"/>
      <c r="J38" s="201"/>
      <c r="K38" s="491" t="s">
        <v>83</v>
      </c>
      <c r="L38" s="158"/>
    </row>
    <row r="39" spans="1:12" ht="38.25" customHeight="1" x14ac:dyDescent="0.3">
      <c r="C39" s="200">
        <v>2</v>
      </c>
      <c r="D39" s="198" t="s">
        <v>17</v>
      </c>
      <c r="E39" s="199" t="s">
        <v>18</v>
      </c>
      <c r="F39" s="198" t="s">
        <v>13</v>
      </c>
      <c r="G39" s="197" t="s">
        <v>82</v>
      </c>
      <c r="H39" s="196">
        <f>H4</f>
        <v>7000000</v>
      </c>
      <c r="I39" s="195"/>
      <c r="J39" s="195"/>
      <c r="K39" s="491"/>
      <c r="L39" s="158"/>
    </row>
    <row r="40" spans="1:12" ht="47.25" customHeight="1" x14ac:dyDescent="0.3">
      <c r="C40" s="492">
        <v>2</v>
      </c>
      <c r="D40" s="494" t="s">
        <v>17</v>
      </c>
      <c r="E40" s="496" t="s">
        <v>18</v>
      </c>
      <c r="F40" s="494" t="s">
        <v>21</v>
      </c>
      <c r="G40" s="511" t="s">
        <v>84</v>
      </c>
      <c r="H40" s="513">
        <f>SUM(H5:H7)</f>
        <v>168682600</v>
      </c>
      <c r="I40" s="194"/>
      <c r="J40" s="194"/>
      <c r="K40" s="498" t="s">
        <v>85</v>
      </c>
      <c r="L40" s="158"/>
    </row>
    <row r="41" spans="1:12" ht="19.5" thickBot="1" x14ac:dyDescent="0.35">
      <c r="C41" s="493"/>
      <c r="D41" s="495"/>
      <c r="E41" s="497"/>
      <c r="F41" s="495"/>
      <c r="G41" s="512"/>
      <c r="H41" s="514"/>
      <c r="I41" s="193"/>
      <c r="J41" s="193"/>
      <c r="K41" s="498"/>
      <c r="L41" s="158"/>
    </row>
    <row r="42" spans="1:12" ht="25.5" x14ac:dyDescent="0.25">
      <c r="C42" s="192">
        <v>3</v>
      </c>
      <c r="D42" s="190" t="s">
        <v>11</v>
      </c>
      <c r="E42" s="191" t="s">
        <v>12</v>
      </c>
      <c r="F42" s="190" t="s">
        <v>39</v>
      </c>
      <c r="G42" s="189" t="s">
        <v>84</v>
      </c>
      <c r="H42" s="188">
        <f>SUM(H9:H15)</f>
        <v>20000000</v>
      </c>
      <c r="I42" s="187"/>
      <c r="J42" s="187"/>
      <c r="K42" s="498"/>
      <c r="L42" s="186"/>
    </row>
    <row r="43" spans="1:12" ht="25.5" customHeight="1" x14ac:dyDescent="0.25">
      <c r="C43" s="185">
        <v>3</v>
      </c>
      <c r="D43" s="183" t="s">
        <v>17</v>
      </c>
      <c r="E43" s="184" t="s">
        <v>18</v>
      </c>
      <c r="F43" s="183" t="s">
        <v>48</v>
      </c>
      <c r="G43" s="182" t="s">
        <v>84</v>
      </c>
      <c r="H43" s="181">
        <f>SUM(H17:H24)</f>
        <v>404290000</v>
      </c>
      <c r="I43" s="180"/>
      <c r="J43" s="180"/>
      <c r="K43" s="498"/>
      <c r="L43" s="167"/>
    </row>
    <row r="44" spans="1:12" ht="25.5" x14ac:dyDescent="0.25">
      <c r="C44" s="179"/>
      <c r="D44" s="177" t="s">
        <v>11</v>
      </c>
      <c r="E44" s="178" t="s">
        <v>12</v>
      </c>
      <c r="F44" s="177" t="s">
        <v>72</v>
      </c>
      <c r="G44" s="176" t="s">
        <v>84</v>
      </c>
      <c r="H44" s="175">
        <f>SUM(H25:H27)</f>
        <v>90017360</v>
      </c>
      <c r="I44" s="174"/>
      <c r="J44" s="174"/>
      <c r="K44" s="498"/>
      <c r="L44" s="167"/>
    </row>
    <row r="45" spans="1:12" ht="19.5" thickBot="1" x14ac:dyDescent="0.3">
      <c r="C45" s="173">
        <v>3</v>
      </c>
      <c r="D45" s="171" t="s">
        <v>17</v>
      </c>
      <c r="E45" s="172" t="s">
        <v>18</v>
      </c>
      <c r="F45" s="171" t="s">
        <v>72</v>
      </c>
      <c r="G45" s="170" t="s">
        <v>84</v>
      </c>
      <c r="H45" s="169">
        <f>H28</f>
        <v>2000000</v>
      </c>
      <c r="I45" s="168"/>
      <c r="J45" s="168"/>
      <c r="K45" s="498"/>
      <c r="L45" s="167"/>
    </row>
    <row r="46" spans="1:12" ht="19.5" thickBot="1" x14ac:dyDescent="0.35">
      <c r="L46" s="158"/>
    </row>
    <row r="47" spans="1:12" ht="18.75" x14ac:dyDescent="0.3">
      <c r="G47" s="166" t="s">
        <v>77</v>
      </c>
      <c r="H47" s="165">
        <f>H38</f>
        <v>103039200</v>
      </c>
      <c r="I47" s="160"/>
      <c r="J47" s="160"/>
      <c r="L47" s="158"/>
    </row>
    <row r="48" spans="1:12" ht="18.75" x14ac:dyDescent="0.3">
      <c r="G48" s="164" t="s">
        <v>78</v>
      </c>
      <c r="H48" s="163">
        <f>H39+H40</f>
        <v>175682600</v>
      </c>
      <c r="I48" s="160"/>
      <c r="J48" s="160"/>
      <c r="L48" s="158"/>
    </row>
    <row r="49" spans="3:12" ht="18.75" x14ac:dyDescent="0.3">
      <c r="G49" s="164" t="s">
        <v>79</v>
      </c>
      <c r="H49" s="163">
        <f>H42+H44</f>
        <v>110017360</v>
      </c>
      <c r="I49" s="160"/>
      <c r="J49" s="160"/>
      <c r="L49" s="158"/>
    </row>
    <row r="50" spans="3:12" ht="19.5" thickBot="1" x14ac:dyDescent="0.35">
      <c r="G50" s="162" t="s">
        <v>80</v>
      </c>
      <c r="H50" s="161">
        <f>H43+H45</f>
        <v>406290000</v>
      </c>
      <c r="I50" s="160"/>
      <c r="J50" s="160"/>
      <c r="L50" s="158"/>
    </row>
    <row r="51" spans="3:12" ht="18.75" x14ac:dyDescent="0.3">
      <c r="L51" s="158"/>
    </row>
    <row r="52" spans="3:12" ht="18.75" x14ac:dyDescent="0.3">
      <c r="C52" s="486" t="s">
        <v>86</v>
      </c>
      <c r="D52" s="487"/>
      <c r="E52" s="487"/>
      <c r="F52" s="487"/>
      <c r="G52" s="487"/>
      <c r="H52" s="488"/>
      <c r="I52" s="159"/>
      <c r="J52" s="159"/>
      <c r="L52" s="158"/>
    </row>
    <row r="53" spans="3:12" ht="25.5" x14ac:dyDescent="0.3">
      <c r="C53" s="155" t="s">
        <v>1</v>
      </c>
      <c r="D53" s="155" t="s">
        <v>2</v>
      </c>
      <c r="E53" s="155" t="s">
        <v>3</v>
      </c>
      <c r="F53" s="155" t="s">
        <v>4</v>
      </c>
      <c r="G53" s="156" t="s">
        <v>5</v>
      </c>
      <c r="H53" s="155" t="s">
        <v>6</v>
      </c>
      <c r="I53" s="154"/>
      <c r="J53" s="154"/>
      <c r="L53" s="158"/>
    </row>
    <row r="54" spans="3:12" ht="18.75" x14ac:dyDescent="0.3">
      <c r="C54" s="151"/>
      <c r="D54" s="151"/>
      <c r="E54" s="153"/>
      <c r="F54" s="151"/>
      <c r="G54" s="152"/>
      <c r="H54" s="151"/>
      <c r="L54" s="158"/>
    </row>
    <row r="55" spans="3:12" ht="18.75" x14ac:dyDescent="0.3">
      <c r="C55" s="151"/>
      <c r="D55" s="151"/>
      <c r="E55" s="153"/>
      <c r="F55" s="151"/>
      <c r="G55" s="152"/>
      <c r="H55" s="151"/>
      <c r="L55" s="158"/>
    </row>
    <row r="56" spans="3:12" ht="18.75" x14ac:dyDescent="0.3">
      <c r="C56" s="151"/>
      <c r="D56" s="151"/>
      <c r="E56" s="153"/>
      <c r="F56" s="151"/>
      <c r="G56" s="152"/>
      <c r="H56" s="151"/>
      <c r="L56" s="158"/>
    </row>
    <row r="57" spans="3:12" ht="18.75" x14ac:dyDescent="0.3">
      <c r="C57" s="151"/>
      <c r="D57" s="151"/>
      <c r="E57" s="153"/>
      <c r="F57" s="151"/>
      <c r="G57" s="152"/>
      <c r="H57" s="151"/>
      <c r="L57" s="158"/>
    </row>
    <row r="58" spans="3:12" ht="18.75" x14ac:dyDescent="0.3">
      <c r="C58" s="151"/>
      <c r="D58" s="151"/>
      <c r="E58" s="153"/>
      <c r="F58" s="151"/>
      <c r="G58" s="152"/>
      <c r="H58" s="151"/>
      <c r="L58" s="158"/>
    </row>
    <row r="59" spans="3:12" ht="18.75" x14ac:dyDescent="0.3">
      <c r="C59" s="151"/>
      <c r="D59" s="151"/>
      <c r="E59" s="153"/>
      <c r="F59" s="151"/>
      <c r="G59" s="152"/>
      <c r="H59" s="151"/>
      <c r="L59" s="158"/>
    </row>
    <row r="60" spans="3:12" ht="18.75" x14ac:dyDescent="0.3">
      <c r="C60" s="151"/>
      <c r="D60" s="151"/>
      <c r="E60" s="153"/>
      <c r="F60" s="151"/>
      <c r="G60" s="152"/>
      <c r="H60" s="151"/>
      <c r="L60" s="158"/>
    </row>
    <row r="61" spans="3:12" ht="18.75" x14ac:dyDescent="0.3">
      <c r="C61" s="151"/>
      <c r="D61" s="151"/>
      <c r="E61" s="153"/>
      <c r="F61" s="151"/>
      <c r="G61" s="152"/>
      <c r="H61" s="151"/>
      <c r="L61" s="158"/>
    </row>
    <row r="62" spans="3:12" ht="18.75" x14ac:dyDescent="0.3">
      <c r="C62" s="151"/>
      <c r="D62" s="151"/>
      <c r="E62" s="153"/>
      <c r="F62" s="151"/>
      <c r="G62" s="152"/>
      <c r="H62" s="151"/>
      <c r="L62" s="158"/>
    </row>
    <row r="63" spans="3:12" ht="18.75" x14ac:dyDescent="0.3">
      <c r="C63" s="151"/>
      <c r="D63" s="151"/>
      <c r="E63" s="153"/>
      <c r="F63" s="151"/>
      <c r="G63" s="152"/>
      <c r="H63" s="151"/>
      <c r="L63" s="158"/>
    </row>
    <row r="64" spans="3:12" ht="18.75" x14ac:dyDescent="0.3">
      <c r="C64" s="151"/>
      <c r="D64" s="151"/>
      <c r="E64" s="153"/>
      <c r="F64" s="151"/>
      <c r="G64" s="152"/>
      <c r="H64" s="151"/>
      <c r="L64" s="158"/>
    </row>
    <row r="65" spans="3:12" ht="18.75" x14ac:dyDescent="0.3">
      <c r="L65" s="158"/>
    </row>
    <row r="66" spans="3:12" ht="18.75" x14ac:dyDescent="0.3">
      <c r="L66" s="158"/>
    </row>
    <row r="67" spans="3:12" ht="18.75" x14ac:dyDescent="0.3">
      <c r="L67" s="158"/>
    </row>
    <row r="68" spans="3:12" ht="18.75" x14ac:dyDescent="0.3">
      <c r="L68" s="158"/>
    </row>
    <row r="69" spans="3:12" ht="18.75" x14ac:dyDescent="0.3">
      <c r="L69" s="158"/>
    </row>
    <row r="70" spans="3:12" ht="18.75" x14ac:dyDescent="0.3">
      <c r="L70" s="158"/>
    </row>
    <row r="71" spans="3:12" x14ac:dyDescent="0.25">
      <c r="C71" s="151"/>
      <c r="D71" s="151"/>
      <c r="E71" s="153"/>
      <c r="F71" s="151"/>
      <c r="G71" s="152"/>
      <c r="H71" s="151"/>
    </row>
    <row r="72" spans="3:12" x14ac:dyDescent="0.25">
      <c r="C72" s="151"/>
      <c r="D72" s="151"/>
      <c r="E72" s="153"/>
      <c r="F72" s="151"/>
      <c r="G72" s="152"/>
      <c r="H72" s="151"/>
    </row>
    <row r="73" spans="3:12" x14ac:dyDescent="0.25">
      <c r="C73" s="151"/>
      <c r="D73" s="151"/>
      <c r="E73" s="153"/>
      <c r="F73" s="151"/>
      <c r="G73" s="152"/>
      <c r="H73" s="151"/>
    </row>
    <row r="76" spans="3:12" ht="15.75" customHeight="1" x14ac:dyDescent="0.25">
      <c r="C76" s="483" t="s">
        <v>87</v>
      </c>
      <c r="D76" s="484"/>
      <c r="E76" s="484"/>
      <c r="F76" s="484"/>
      <c r="G76" s="484"/>
      <c r="H76" s="485"/>
      <c r="I76" s="157"/>
      <c r="J76" s="157"/>
    </row>
    <row r="77" spans="3:12" ht="25.5" x14ac:dyDescent="0.25">
      <c r="C77" s="155" t="s">
        <v>1</v>
      </c>
      <c r="D77" s="155" t="s">
        <v>2</v>
      </c>
      <c r="E77" s="155" t="s">
        <v>3</v>
      </c>
      <c r="F77" s="155" t="s">
        <v>4</v>
      </c>
      <c r="G77" s="156" t="s">
        <v>5</v>
      </c>
      <c r="H77" s="155" t="s">
        <v>6</v>
      </c>
      <c r="I77" s="154"/>
      <c r="J77" s="154"/>
    </row>
    <row r="78" spans="3:12" ht="25.5" customHeight="1" x14ac:dyDescent="0.25">
      <c r="C78" s="151"/>
      <c r="D78" s="151"/>
      <c r="E78" s="153"/>
      <c r="F78" s="151"/>
      <c r="G78" s="152"/>
      <c r="H78" s="151"/>
    </row>
    <row r="79" spans="3:12" x14ac:dyDescent="0.25">
      <c r="C79" s="151"/>
      <c r="D79" s="151"/>
      <c r="E79" s="153"/>
      <c r="F79" s="151"/>
      <c r="G79" s="152"/>
      <c r="H79" s="151"/>
    </row>
    <row r="80" spans="3:12" x14ac:dyDescent="0.25">
      <c r="C80" s="151"/>
      <c r="D80" s="151"/>
      <c r="E80" s="153"/>
      <c r="F80" s="151"/>
      <c r="G80" s="152"/>
      <c r="H80" s="151"/>
    </row>
    <row r="81" spans="3:8" x14ac:dyDescent="0.25">
      <c r="C81" s="151"/>
      <c r="D81" s="151"/>
      <c r="E81" s="153"/>
      <c r="F81" s="151"/>
      <c r="G81" s="152"/>
      <c r="H81" s="151"/>
    </row>
    <row r="82" spans="3:8" x14ac:dyDescent="0.25">
      <c r="C82" s="151"/>
      <c r="D82" s="151"/>
      <c r="E82" s="153"/>
      <c r="F82" s="151"/>
      <c r="G82" s="152"/>
      <c r="H82" s="151"/>
    </row>
    <row r="83" spans="3:8" x14ac:dyDescent="0.25">
      <c r="C83" s="151"/>
      <c r="D83" s="151"/>
      <c r="E83" s="153"/>
      <c r="F83" s="151"/>
      <c r="G83" s="152"/>
      <c r="H83" s="151"/>
    </row>
    <row r="84" spans="3:8" x14ac:dyDescent="0.25">
      <c r="C84" s="151"/>
      <c r="D84" s="151"/>
      <c r="E84" s="153"/>
      <c r="F84" s="151"/>
      <c r="G84" s="152"/>
      <c r="H84" s="151"/>
    </row>
    <row r="85" spans="3:8" x14ac:dyDescent="0.25">
      <c r="C85" s="151"/>
      <c r="D85" s="151"/>
      <c r="E85" s="153"/>
      <c r="F85" s="151"/>
      <c r="G85" s="152"/>
      <c r="H85" s="151"/>
    </row>
    <row r="86" spans="3:8" x14ac:dyDescent="0.25">
      <c r="C86" s="151"/>
      <c r="D86" s="151"/>
      <c r="E86" s="153"/>
      <c r="F86" s="151"/>
      <c r="G86" s="152"/>
      <c r="H86" s="151"/>
    </row>
    <row r="87" spans="3:8" x14ac:dyDescent="0.25">
      <c r="C87" s="151"/>
      <c r="D87" s="151"/>
      <c r="E87" s="153"/>
      <c r="F87" s="151"/>
      <c r="G87" s="152"/>
      <c r="H87" s="151"/>
    </row>
    <row r="88" spans="3:8" x14ac:dyDescent="0.25">
      <c r="C88" s="151"/>
      <c r="D88" s="151"/>
      <c r="E88" s="153"/>
      <c r="F88" s="151"/>
      <c r="G88" s="152"/>
      <c r="H88" s="151"/>
    </row>
  </sheetData>
  <mergeCells count="45">
    <mergeCell ref="A9:A16"/>
    <mergeCell ref="A3:A4"/>
    <mergeCell ref="B3:B4"/>
    <mergeCell ref="K3:K4"/>
    <mergeCell ref="A6:A7"/>
    <mergeCell ref="B6:B7"/>
    <mergeCell ref="D15:D16"/>
    <mergeCell ref="D13:D14"/>
    <mergeCell ref="D11:D12"/>
    <mergeCell ref="C9:C16"/>
    <mergeCell ref="B9:B16"/>
    <mergeCell ref="A17:A19"/>
    <mergeCell ref="B17:B19"/>
    <mergeCell ref="F40:F41"/>
    <mergeCell ref="G40:G41"/>
    <mergeCell ref="H40:H41"/>
    <mergeCell ref="A20:A23"/>
    <mergeCell ref="B20:B23"/>
    <mergeCell ref="A27:A28"/>
    <mergeCell ref="B25:B26"/>
    <mergeCell ref="B27:B28"/>
    <mergeCell ref="C1:H1"/>
    <mergeCell ref="D9:D10"/>
    <mergeCell ref="F10:F16"/>
    <mergeCell ref="G11:G12"/>
    <mergeCell ref="G13:G14"/>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M3:N3"/>
    <mergeCell ref="M19:N19"/>
    <mergeCell ref="L3:L8"/>
    <mergeCell ref="M4:N4"/>
    <mergeCell ref="M5:N5"/>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E62"/>
  <sheetViews>
    <sheetView tabSelected="1" topLeftCell="A38" zoomScale="70" zoomScaleNormal="70" workbookViewId="0">
      <selection activeCell="I46" sqref="I46"/>
    </sheetView>
  </sheetViews>
  <sheetFormatPr defaultColWidth="9.140625" defaultRowHeight="15" x14ac:dyDescent="0.25"/>
  <cols>
    <col min="1" max="1" width="20.5703125" customWidth="1"/>
    <col min="2" max="2" width="32.42578125" customWidth="1"/>
    <col min="3" max="3" width="16.5703125" bestFit="1" customWidth="1"/>
    <col min="4" max="4" width="17" bestFit="1" customWidth="1"/>
    <col min="5" max="5" width="16.28515625" customWidth="1"/>
    <col min="6" max="6" width="14" bestFit="1" customWidth="1"/>
    <col min="7" max="7" width="16.5703125" customWidth="1"/>
    <col min="8" max="8" width="14.7109375" bestFit="1" customWidth="1"/>
    <col min="9" max="9" width="21.42578125" style="444" customWidth="1"/>
    <col min="10" max="10" width="17.5703125" bestFit="1" customWidth="1"/>
    <col min="11" max="11" width="9.5703125" customWidth="1"/>
    <col min="12" max="12" width="13.5703125" customWidth="1"/>
    <col min="13" max="13" width="10.5703125" customWidth="1"/>
    <col min="14" max="14" width="8.140625" customWidth="1"/>
    <col min="15" max="15" width="10.85546875" customWidth="1"/>
    <col min="16" max="16" width="11.42578125" style="445" bestFit="1" customWidth="1"/>
    <col min="17" max="17" width="14.5703125" customWidth="1"/>
    <col min="18" max="18" width="130.7109375" style="446" customWidth="1"/>
    <col min="19" max="19" width="130.7109375" style="447" customWidth="1"/>
    <col min="20" max="20" width="26" customWidth="1"/>
  </cols>
  <sheetData>
    <row r="1" spans="1:31" x14ac:dyDescent="0.25">
      <c r="A1" s="424" t="s">
        <v>88</v>
      </c>
      <c r="B1" s="424"/>
      <c r="C1" s="383"/>
      <c r="D1" s="424"/>
      <c r="E1" s="424"/>
      <c r="F1" s="424"/>
      <c r="G1" s="443"/>
      <c r="L1" s="453"/>
    </row>
    <row r="2" spans="1:31" x14ac:dyDescent="0.25">
      <c r="A2" s="424" t="s">
        <v>89</v>
      </c>
      <c r="B2" s="424"/>
      <c r="C2" s="383"/>
      <c r="D2" s="424"/>
      <c r="E2" s="424"/>
      <c r="F2" s="424"/>
      <c r="G2" s="443"/>
      <c r="L2" s="453"/>
    </row>
    <row r="3" spans="1:31" ht="15.75" thickBot="1" x14ac:dyDescent="0.3">
      <c r="A3" s="448" t="s">
        <v>90</v>
      </c>
      <c r="B3" s="443"/>
      <c r="D3" s="443"/>
      <c r="E3" s="443"/>
      <c r="F3" s="443"/>
      <c r="G3" s="443"/>
    </row>
    <row r="4" spans="1:31" x14ac:dyDescent="0.25">
      <c r="A4" s="547" t="s">
        <v>91</v>
      </c>
      <c r="B4" s="553" t="s">
        <v>92</v>
      </c>
      <c r="C4" s="549" t="s">
        <v>93</v>
      </c>
      <c r="D4" s="559" t="s">
        <v>94</v>
      </c>
      <c r="E4" s="559"/>
      <c r="F4" s="559"/>
      <c r="G4" s="551" t="s">
        <v>95</v>
      </c>
      <c r="H4" s="560" t="s">
        <v>96</v>
      </c>
      <c r="I4" s="560"/>
      <c r="J4" s="557" t="s">
        <v>97</v>
      </c>
      <c r="K4" s="557" t="s">
        <v>98</v>
      </c>
      <c r="L4" s="559" t="s">
        <v>99</v>
      </c>
      <c r="M4" s="559" t="s">
        <v>100</v>
      </c>
      <c r="N4" s="559"/>
      <c r="O4" s="561" t="s">
        <v>101</v>
      </c>
      <c r="P4" s="563" t="s">
        <v>102</v>
      </c>
      <c r="Q4" s="557" t="s">
        <v>103</v>
      </c>
      <c r="R4" s="555" t="s">
        <v>104</v>
      </c>
      <c r="S4" s="545" t="s">
        <v>415</v>
      </c>
      <c r="T4" s="543" t="s">
        <v>430</v>
      </c>
      <c r="U4" s="39"/>
      <c r="V4" s="10"/>
      <c r="W4" s="10"/>
      <c r="X4" s="10"/>
      <c r="Y4" s="10"/>
      <c r="Z4" s="10"/>
      <c r="AA4" s="10"/>
      <c r="AB4" s="10"/>
      <c r="AC4" s="10"/>
      <c r="AD4" s="10"/>
      <c r="AE4" s="10"/>
    </row>
    <row r="5" spans="1:31" ht="45.75" thickBot="1" x14ac:dyDescent="0.3">
      <c r="A5" s="548"/>
      <c r="B5" s="554"/>
      <c r="C5" s="550"/>
      <c r="D5" s="411" t="s">
        <v>105</v>
      </c>
      <c r="E5" s="427" t="s">
        <v>106</v>
      </c>
      <c r="F5" s="428" t="s">
        <v>107</v>
      </c>
      <c r="G5" s="552"/>
      <c r="H5" s="374" t="s">
        <v>108</v>
      </c>
      <c r="I5" s="374" t="s">
        <v>109</v>
      </c>
      <c r="J5" s="558"/>
      <c r="K5" s="558"/>
      <c r="L5" s="565"/>
      <c r="M5" s="374" t="s">
        <v>110</v>
      </c>
      <c r="N5" s="374" t="s">
        <v>111</v>
      </c>
      <c r="O5" s="562"/>
      <c r="P5" s="564"/>
      <c r="Q5" s="558"/>
      <c r="R5" s="556"/>
      <c r="S5" s="546"/>
      <c r="T5" s="544"/>
      <c r="U5" s="39"/>
      <c r="V5" s="10"/>
      <c r="W5" s="10"/>
      <c r="X5" s="10"/>
      <c r="Y5" s="10"/>
      <c r="Z5" s="10"/>
      <c r="AA5" s="10"/>
      <c r="AB5" s="10"/>
      <c r="AC5" s="10"/>
      <c r="AD5" s="10"/>
      <c r="AE5" s="10"/>
    </row>
    <row r="6" spans="1:31" ht="285" x14ac:dyDescent="0.25">
      <c r="A6" s="578" t="s">
        <v>112</v>
      </c>
      <c r="B6" s="581">
        <f>F6+F10+F14+F16+F18+F21+F24+F26</f>
        <v>273226532.52631575</v>
      </c>
      <c r="C6" s="574">
        <f>50515204-26015204</f>
        <v>24500000</v>
      </c>
      <c r="D6" s="566" t="s">
        <v>113</v>
      </c>
      <c r="E6" s="570">
        <f>C6/0.95*0.05</f>
        <v>1289473.6842105265</v>
      </c>
      <c r="F6" s="568">
        <f>C6+E6</f>
        <v>25789473.684210528</v>
      </c>
      <c r="G6" s="568">
        <f>F6</f>
        <v>25789473.684210528</v>
      </c>
      <c r="H6" s="327" t="s">
        <v>114</v>
      </c>
      <c r="I6" s="449" t="s">
        <v>115</v>
      </c>
      <c r="J6" s="566" t="s">
        <v>116</v>
      </c>
      <c r="K6" s="566" t="s">
        <v>117</v>
      </c>
      <c r="L6" s="405" t="s">
        <v>118</v>
      </c>
      <c r="M6" s="405" t="s">
        <v>119</v>
      </c>
      <c r="N6" s="405" t="s">
        <v>120</v>
      </c>
      <c r="O6" s="406">
        <v>0</v>
      </c>
      <c r="P6" s="406" t="s">
        <v>411</v>
      </c>
      <c r="Q6" s="405" t="s">
        <v>121</v>
      </c>
      <c r="R6" s="437" t="s">
        <v>122</v>
      </c>
      <c r="S6" s="462"/>
      <c r="T6" s="469" t="s">
        <v>431</v>
      </c>
      <c r="U6" s="39"/>
      <c r="V6" s="10"/>
      <c r="W6" s="10"/>
      <c r="X6" s="10"/>
      <c r="Y6" s="10"/>
      <c r="Z6" s="10"/>
      <c r="AA6" s="10"/>
      <c r="AB6" s="10"/>
      <c r="AC6" s="10"/>
      <c r="AD6" s="10"/>
      <c r="AE6" s="10"/>
    </row>
    <row r="7" spans="1:31" ht="375" x14ac:dyDescent="0.25">
      <c r="A7" s="579"/>
      <c r="B7" s="582"/>
      <c r="C7" s="573"/>
      <c r="D7" s="567"/>
      <c r="E7" s="571"/>
      <c r="F7" s="569"/>
      <c r="G7" s="569"/>
      <c r="H7" s="391" t="s">
        <v>123</v>
      </c>
      <c r="I7" s="410" t="s">
        <v>124</v>
      </c>
      <c r="J7" s="567"/>
      <c r="K7" s="567"/>
      <c r="L7" s="407" t="s">
        <v>125</v>
      </c>
      <c r="M7" s="407" t="s">
        <v>119</v>
      </c>
      <c r="N7" s="407" t="s">
        <v>120</v>
      </c>
      <c r="O7" s="408">
        <v>0</v>
      </c>
      <c r="P7" s="408">
        <v>2</v>
      </c>
      <c r="Q7" s="407" t="s">
        <v>127</v>
      </c>
      <c r="R7" s="438" t="s">
        <v>409</v>
      </c>
      <c r="S7" s="450"/>
      <c r="T7" s="466"/>
      <c r="U7" s="39"/>
      <c r="V7" s="10"/>
      <c r="W7" s="10"/>
      <c r="X7" s="10"/>
      <c r="Y7" s="10"/>
      <c r="Z7" s="10"/>
      <c r="AA7" s="10"/>
      <c r="AB7" s="10"/>
      <c r="AC7" s="10"/>
      <c r="AD7" s="10"/>
      <c r="AE7" s="10"/>
    </row>
    <row r="8" spans="1:31" ht="90" x14ac:dyDescent="0.25">
      <c r="A8" s="579"/>
      <c r="B8" s="582"/>
      <c r="C8" s="573"/>
      <c r="D8" s="567"/>
      <c r="E8" s="571"/>
      <c r="F8" s="569"/>
      <c r="G8" s="569"/>
      <c r="H8" s="436" t="s">
        <v>128</v>
      </c>
      <c r="I8" s="409" t="s">
        <v>129</v>
      </c>
      <c r="J8" s="567"/>
      <c r="K8" s="567"/>
      <c r="L8" s="409" t="s">
        <v>130</v>
      </c>
      <c r="M8" s="454">
        <v>916233</v>
      </c>
      <c r="N8" s="34" t="s">
        <v>131</v>
      </c>
      <c r="O8" s="373" t="s">
        <v>120</v>
      </c>
      <c r="P8" s="455">
        <v>509018</v>
      </c>
      <c r="Q8" s="409" t="s">
        <v>132</v>
      </c>
      <c r="R8" s="414" t="s">
        <v>416</v>
      </c>
      <c r="S8" s="460" t="s">
        <v>417</v>
      </c>
      <c r="T8" s="466"/>
      <c r="U8" s="10"/>
      <c r="V8" s="10"/>
      <c r="W8" s="10"/>
      <c r="X8" s="10"/>
      <c r="Y8" s="10"/>
      <c r="Z8" s="10"/>
      <c r="AA8" s="10"/>
      <c r="AB8" s="10"/>
      <c r="AC8" s="10"/>
      <c r="AD8" s="10"/>
    </row>
    <row r="9" spans="1:31" ht="120" x14ac:dyDescent="0.25">
      <c r="A9" s="579"/>
      <c r="B9" s="582"/>
      <c r="C9" s="573"/>
      <c r="D9" s="567"/>
      <c r="E9" s="571"/>
      <c r="F9" s="569"/>
      <c r="G9" s="569"/>
      <c r="H9" s="34" t="s">
        <v>133</v>
      </c>
      <c r="I9" s="410" t="s">
        <v>134</v>
      </c>
      <c r="J9" s="567"/>
      <c r="K9" s="567"/>
      <c r="L9" s="410" t="s">
        <v>135</v>
      </c>
      <c r="M9" s="34" t="s">
        <v>119</v>
      </c>
      <c r="N9" s="34" t="s">
        <v>120</v>
      </c>
      <c r="O9" s="16">
        <f>P9*0.1</f>
        <v>2.6</v>
      </c>
      <c r="P9" s="455">
        <v>26</v>
      </c>
      <c r="Q9" s="410" t="s">
        <v>132</v>
      </c>
      <c r="R9" s="439" t="s">
        <v>136</v>
      </c>
      <c r="S9" s="461" t="s">
        <v>418</v>
      </c>
      <c r="T9" s="466"/>
      <c r="U9" s="10"/>
      <c r="V9" s="10"/>
      <c r="W9" s="10"/>
      <c r="X9" s="10"/>
      <c r="Y9" s="10"/>
      <c r="Z9" s="10"/>
      <c r="AA9" s="10"/>
      <c r="AB9" s="10"/>
      <c r="AC9" s="10"/>
      <c r="AD9" s="10"/>
    </row>
    <row r="10" spans="1:31" ht="165" x14ac:dyDescent="0.25">
      <c r="A10" s="579"/>
      <c r="B10" s="582"/>
      <c r="C10" s="572">
        <f>6000000-3016500</f>
        <v>2983500</v>
      </c>
      <c r="D10" s="567"/>
      <c r="E10" s="576">
        <f>C10/0.95*0.05</f>
        <v>157026.31578947368</v>
      </c>
      <c r="F10" s="575">
        <f>C10+E10</f>
        <v>3140526.3157894737</v>
      </c>
      <c r="G10" s="575">
        <f>F10</f>
        <v>3140526.3157894737</v>
      </c>
      <c r="H10" s="34" t="s">
        <v>137</v>
      </c>
      <c r="I10" s="410" t="s">
        <v>138</v>
      </c>
      <c r="J10" s="577" t="s">
        <v>139</v>
      </c>
      <c r="K10" s="577" t="s">
        <v>140</v>
      </c>
      <c r="L10" s="407" t="s">
        <v>118</v>
      </c>
      <c r="M10" s="391" t="s">
        <v>119</v>
      </c>
      <c r="N10" s="391" t="s">
        <v>120</v>
      </c>
      <c r="O10" s="392">
        <v>0</v>
      </c>
      <c r="P10" s="408">
        <v>598136</v>
      </c>
      <c r="Q10" s="407" t="s">
        <v>121</v>
      </c>
      <c r="R10" s="440" t="s">
        <v>141</v>
      </c>
      <c r="S10" s="450"/>
      <c r="T10" s="466"/>
      <c r="U10" s="10"/>
      <c r="V10" s="10"/>
      <c r="W10" s="10"/>
      <c r="X10" s="10"/>
      <c r="Y10" s="10"/>
      <c r="Z10" s="10"/>
      <c r="AA10" s="10"/>
      <c r="AB10" s="10"/>
      <c r="AC10" s="10"/>
      <c r="AD10" s="10"/>
    </row>
    <row r="11" spans="1:31" ht="105" x14ac:dyDescent="0.25">
      <c r="A11" s="579"/>
      <c r="B11" s="582"/>
      <c r="C11" s="573"/>
      <c r="D11" s="567"/>
      <c r="E11" s="571"/>
      <c r="F11" s="569"/>
      <c r="G11" s="569"/>
      <c r="H11" s="34" t="s">
        <v>137</v>
      </c>
      <c r="I11" s="410" t="s">
        <v>124</v>
      </c>
      <c r="J11" s="577"/>
      <c r="K11" s="577"/>
      <c r="L11" s="407" t="s">
        <v>125</v>
      </c>
      <c r="M11" s="391" t="s">
        <v>119</v>
      </c>
      <c r="N11" s="391" t="s">
        <v>120</v>
      </c>
      <c r="O11" s="392">
        <v>0</v>
      </c>
      <c r="P11" s="408" t="s">
        <v>142</v>
      </c>
      <c r="Q11" s="407" t="s">
        <v>127</v>
      </c>
      <c r="R11" s="440" t="s">
        <v>143</v>
      </c>
      <c r="S11" s="450"/>
      <c r="T11" s="466"/>
      <c r="U11" s="10"/>
      <c r="V11" s="10"/>
      <c r="W11" s="10"/>
      <c r="X11" s="10"/>
      <c r="Y11" s="10"/>
      <c r="Z11" s="10"/>
      <c r="AA11" s="10"/>
      <c r="AB11" s="10"/>
      <c r="AC11" s="10"/>
      <c r="AD11" s="10"/>
    </row>
    <row r="12" spans="1:31" ht="90" x14ac:dyDescent="0.25">
      <c r="A12" s="579"/>
      <c r="B12" s="582"/>
      <c r="C12" s="573"/>
      <c r="D12" s="567"/>
      <c r="E12" s="571"/>
      <c r="F12" s="569"/>
      <c r="G12" s="569"/>
      <c r="H12" s="33" t="s">
        <v>128</v>
      </c>
      <c r="I12" s="409" t="s">
        <v>129</v>
      </c>
      <c r="J12" s="577"/>
      <c r="K12" s="577"/>
      <c r="L12" s="409" t="s">
        <v>130</v>
      </c>
      <c r="M12" s="455">
        <v>38176</v>
      </c>
      <c r="N12" s="34" t="s">
        <v>131</v>
      </c>
      <c r="O12" s="16" t="s">
        <v>120</v>
      </c>
      <c r="P12" s="455">
        <v>21209</v>
      </c>
      <c r="Q12" s="409" t="s">
        <v>132</v>
      </c>
      <c r="R12" s="414" t="s">
        <v>144</v>
      </c>
      <c r="S12" s="460" t="s">
        <v>419</v>
      </c>
      <c r="T12" s="466"/>
      <c r="U12" s="10"/>
      <c r="V12" s="10"/>
      <c r="W12" s="10"/>
      <c r="X12" s="10"/>
      <c r="Y12" s="10"/>
      <c r="Z12" s="10"/>
      <c r="AA12" s="10"/>
      <c r="AB12" s="10"/>
      <c r="AC12" s="10"/>
      <c r="AD12" s="10"/>
    </row>
    <row r="13" spans="1:31" ht="135" x14ac:dyDescent="0.25">
      <c r="A13" s="579"/>
      <c r="B13" s="582"/>
      <c r="C13" s="573"/>
      <c r="D13" s="567"/>
      <c r="E13" s="571"/>
      <c r="F13" s="569"/>
      <c r="G13" s="569"/>
      <c r="H13" s="34" t="s">
        <v>133</v>
      </c>
      <c r="I13" s="410" t="s">
        <v>134</v>
      </c>
      <c r="J13" s="577"/>
      <c r="K13" s="577"/>
      <c r="L13" s="410" t="s">
        <v>135</v>
      </c>
      <c r="M13" s="34" t="s">
        <v>119</v>
      </c>
      <c r="N13" s="34" t="s">
        <v>120</v>
      </c>
      <c r="O13" s="16">
        <f>P13*0.1</f>
        <v>0.1</v>
      </c>
      <c r="P13" s="455">
        <v>1</v>
      </c>
      <c r="Q13" s="410" t="s">
        <v>132</v>
      </c>
      <c r="R13" s="439" t="s">
        <v>145</v>
      </c>
      <c r="S13" s="457" t="s">
        <v>420</v>
      </c>
      <c r="T13" s="466"/>
      <c r="U13" s="10"/>
      <c r="V13" s="10"/>
      <c r="W13" s="10"/>
      <c r="X13" s="10"/>
      <c r="Y13" s="10"/>
      <c r="Z13" s="10"/>
      <c r="AA13" s="10"/>
      <c r="AB13" s="10"/>
      <c r="AC13" s="10"/>
      <c r="AD13" s="10"/>
    </row>
    <row r="14" spans="1:31" ht="409.5" x14ac:dyDescent="0.25">
      <c r="A14" s="579"/>
      <c r="B14" s="582"/>
      <c r="C14" s="572">
        <f>19550000-13450000</f>
        <v>6100000</v>
      </c>
      <c r="D14" s="577" t="s">
        <v>146</v>
      </c>
      <c r="E14" s="576">
        <f>C14/0.95*0.05</f>
        <v>321052.63157894742</v>
      </c>
      <c r="F14" s="575">
        <f>C14+E14</f>
        <v>6421052.6315789474</v>
      </c>
      <c r="G14" s="575">
        <f>F14</f>
        <v>6421052.6315789474</v>
      </c>
      <c r="H14" s="34" t="s">
        <v>147</v>
      </c>
      <c r="I14" s="410" t="s">
        <v>148</v>
      </c>
      <c r="J14" s="585" t="s">
        <v>116</v>
      </c>
      <c r="K14" s="585" t="s">
        <v>117</v>
      </c>
      <c r="L14" s="410" t="s">
        <v>149</v>
      </c>
      <c r="M14" s="34" t="s">
        <v>119</v>
      </c>
      <c r="N14" s="34" t="s">
        <v>120</v>
      </c>
      <c r="O14" s="16">
        <v>161</v>
      </c>
      <c r="P14" s="455">
        <v>776</v>
      </c>
      <c r="Q14" s="410" t="s">
        <v>132</v>
      </c>
      <c r="R14" s="441" t="s">
        <v>413</v>
      </c>
      <c r="S14" s="457" t="s">
        <v>429</v>
      </c>
      <c r="T14" s="467"/>
      <c r="U14" s="10"/>
      <c r="V14" s="10"/>
      <c r="W14" s="10"/>
      <c r="X14" s="10"/>
      <c r="Y14" s="10"/>
      <c r="Z14" s="10"/>
      <c r="AA14" s="10"/>
      <c r="AB14" s="10"/>
      <c r="AC14" s="10"/>
      <c r="AD14" s="10"/>
    </row>
    <row r="15" spans="1:31" ht="165" x14ac:dyDescent="0.25">
      <c r="A15" s="579"/>
      <c r="B15" s="582"/>
      <c r="C15" s="573"/>
      <c r="D15" s="577"/>
      <c r="E15" s="571"/>
      <c r="F15" s="569"/>
      <c r="G15" s="569"/>
      <c r="H15" s="34" t="s">
        <v>128</v>
      </c>
      <c r="I15" s="410" t="s">
        <v>129</v>
      </c>
      <c r="J15" s="586"/>
      <c r="K15" s="586"/>
      <c r="L15" s="410" t="s">
        <v>130</v>
      </c>
      <c r="M15" s="454">
        <v>673380</v>
      </c>
      <c r="N15" s="34" t="s">
        <v>131</v>
      </c>
      <c r="O15" s="16" t="s">
        <v>120</v>
      </c>
      <c r="P15" s="408">
        <v>0</v>
      </c>
      <c r="Q15" s="410" t="s">
        <v>132</v>
      </c>
      <c r="R15" s="440" t="s">
        <v>407</v>
      </c>
      <c r="S15" s="459" t="s">
        <v>422</v>
      </c>
      <c r="T15" s="466"/>
      <c r="U15" s="10"/>
      <c r="V15" s="10"/>
      <c r="W15" s="10"/>
      <c r="X15" s="10"/>
      <c r="Y15" s="10"/>
      <c r="Z15" s="10"/>
      <c r="AA15" s="10"/>
      <c r="AB15" s="10"/>
      <c r="AC15" s="10"/>
      <c r="AD15" s="10"/>
    </row>
    <row r="16" spans="1:31" ht="409.5" x14ac:dyDescent="0.25">
      <c r="A16" s="579"/>
      <c r="B16" s="582"/>
      <c r="C16" s="588">
        <f>6500000-2500000</f>
        <v>4000000</v>
      </c>
      <c r="D16" s="577"/>
      <c r="E16" s="593">
        <f>C16/0.95*0.05</f>
        <v>210526.31578947371</v>
      </c>
      <c r="F16" s="590">
        <f>C16+E16</f>
        <v>4210526.3157894742</v>
      </c>
      <c r="G16" s="590">
        <f>F16</f>
        <v>4210526.3157894742</v>
      </c>
      <c r="H16" s="34" t="s">
        <v>147</v>
      </c>
      <c r="I16" s="410" t="s">
        <v>148</v>
      </c>
      <c r="J16" s="577" t="s">
        <v>139</v>
      </c>
      <c r="K16" s="577" t="s">
        <v>140</v>
      </c>
      <c r="L16" s="410" t="s">
        <v>149</v>
      </c>
      <c r="M16" s="34" t="s">
        <v>119</v>
      </c>
      <c r="N16" s="34" t="s">
        <v>120</v>
      </c>
      <c r="O16" s="390">
        <v>135</v>
      </c>
      <c r="P16" s="455">
        <v>1096</v>
      </c>
      <c r="Q16" s="410" t="s">
        <v>132</v>
      </c>
      <c r="R16" s="439" t="s">
        <v>412</v>
      </c>
      <c r="S16" s="457" t="s">
        <v>428</v>
      </c>
      <c r="T16" s="468"/>
      <c r="U16" s="10"/>
      <c r="V16" s="10"/>
      <c r="W16" s="10"/>
      <c r="X16" s="10"/>
      <c r="Y16" s="10"/>
      <c r="Z16" s="10"/>
      <c r="AA16" s="10"/>
      <c r="AB16" s="10"/>
      <c r="AC16" s="10"/>
      <c r="AD16" s="10"/>
    </row>
    <row r="17" spans="1:30" ht="150" x14ac:dyDescent="0.25">
      <c r="A17" s="579"/>
      <c r="B17" s="582"/>
      <c r="C17" s="595"/>
      <c r="D17" s="577"/>
      <c r="E17" s="596"/>
      <c r="F17" s="591"/>
      <c r="G17" s="591"/>
      <c r="H17" s="34" t="s">
        <v>128</v>
      </c>
      <c r="I17" s="410" t="s">
        <v>129</v>
      </c>
      <c r="J17" s="577"/>
      <c r="K17" s="577"/>
      <c r="L17" s="410" t="s">
        <v>130</v>
      </c>
      <c r="M17" s="454">
        <v>953520</v>
      </c>
      <c r="N17" s="34" t="s">
        <v>131</v>
      </c>
      <c r="O17" s="16" t="s">
        <v>120</v>
      </c>
      <c r="P17" s="408">
        <v>0</v>
      </c>
      <c r="Q17" s="410" t="s">
        <v>132</v>
      </c>
      <c r="R17" s="440" t="s">
        <v>406</v>
      </c>
      <c r="S17" s="459" t="s">
        <v>421</v>
      </c>
      <c r="T17" s="466"/>
      <c r="U17" s="10"/>
      <c r="V17" s="10"/>
      <c r="W17" s="10"/>
      <c r="X17" s="10"/>
      <c r="Y17" s="10"/>
      <c r="Z17" s="10"/>
      <c r="AA17" s="10"/>
      <c r="AB17" s="10"/>
      <c r="AC17" s="10"/>
      <c r="AD17" s="10"/>
    </row>
    <row r="18" spans="1:30" ht="135" x14ac:dyDescent="0.25">
      <c r="A18" s="579"/>
      <c r="B18" s="582"/>
      <c r="C18" s="588">
        <f>145000000-85034796</f>
        <v>59965204</v>
      </c>
      <c r="D18" s="577" t="s">
        <v>150</v>
      </c>
      <c r="E18" s="593">
        <f>C18/0.95*0.05</f>
        <v>3156063.368421053</v>
      </c>
      <c r="F18" s="590">
        <f>C18+E18</f>
        <v>63121267.368421055</v>
      </c>
      <c r="G18" s="590">
        <f>F18</f>
        <v>63121267.368421055</v>
      </c>
      <c r="H18" s="34" t="s">
        <v>151</v>
      </c>
      <c r="I18" s="410" t="s">
        <v>152</v>
      </c>
      <c r="J18" s="585" t="s">
        <v>116</v>
      </c>
      <c r="K18" s="585" t="s">
        <v>117</v>
      </c>
      <c r="L18" s="410" t="s">
        <v>153</v>
      </c>
      <c r="M18" s="410" t="s">
        <v>119</v>
      </c>
      <c r="N18" s="410" t="s">
        <v>120</v>
      </c>
      <c r="O18" s="390">
        <v>2790</v>
      </c>
      <c r="P18" s="455">
        <v>11520</v>
      </c>
      <c r="Q18" s="410" t="s">
        <v>132</v>
      </c>
      <c r="R18" s="440" t="s">
        <v>154</v>
      </c>
      <c r="S18" s="471" t="s">
        <v>432</v>
      </c>
      <c r="T18" s="466"/>
      <c r="U18" s="10"/>
      <c r="V18" s="10"/>
      <c r="W18" s="10"/>
      <c r="X18" s="10"/>
      <c r="Y18" s="10"/>
      <c r="Z18" s="10"/>
      <c r="AA18" s="10"/>
      <c r="AB18" s="10"/>
      <c r="AC18" s="10"/>
      <c r="AD18" s="10"/>
    </row>
    <row r="19" spans="1:30" ht="90" x14ac:dyDescent="0.25">
      <c r="A19" s="579"/>
      <c r="B19" s="582"/>
      <c r="C19" s="595"/>
      <c r="D19" s="577"/>
      <c r="E19" s="596"/>
      <c r="F19" s="591"/>
      <c r="G19" s="591"/>
      <c r="H19" s="34" t="s">
        <v>155</v>
      </c>
      <c r="I19" s="410" t="s">
        <v>156</v>
      </c>
      <c r="J19" s="586"/>
      <c r="K19" s="586"/>
      <c r="L19" s="410" t="s">
        <v>157</v>
      </c>
      <c r="M19" s="410" t="s">
        <v>119</v>
      </c>
      <c r="N19" s="410" t="s">
        <v>131</v>
      </c>
      <c r="O19" s="390" t="s">
        <v>120</v>
      </c>
      <c r="P19" s="455">
        <v>4993664</v>
      </c>
      <c r="Q19" s="410" t="s">
        <v>158</v>
      </c>
      <c r="R19" s="440" t="s">
        <v>159</v>
      </c>
      <c r="S19" s="471" t="s">
        <v>433</v>
      </c>
      <c r="T19" s="466"/>
      <c r="U19" s="10"/>
      <c r="V19" s="10"/>
      <c r="W19" s="10"/>
      <c r="X19" s="10"/>
      <c r="Y19" s="10"/>
      <c r="Z19" s="10"/>
      <c r="AA19" s="10"/>
      <c r="AB19" s="10"/>
      <c r="AC19" s="10"/>
      <c r="AD19" s="10"/>
    </row>
    <row r="20" spans="1:30" ht="180" x14ac:dyDescent="0.25">
      <c r="A20" s="579"/>
      <c r="B20" s="582"/>
      <c r="C20" s="595"/>
      <c r="D20" s="577"/>
      <c r="E20" s="596"/>
      <c r="F20" s="591"/>
      <c r="G20" s="591"/>
      <c r="H20" s="34" t="s">
        <v>133</v>
      </c>
      <c r="I20" s="410" t="s">
        <v>160</v>
      </c>
      <c r="J20" s="586"/>
      <c r="K20" s="586"/>
      <c r="L20" s="410" t="s">
        <v>135</v>
      </c>
      <c r="M20" s="410" t="s">
        <v>119</v>
      </c>
      <c r="N20" s="410" t="s">
        <v>120</v>
      </c>
      <c r="O20" s="390">
        <v>31</v>
      </c>
      <c r="P20" s="455">
        <v>128</v>
      </c>
      <c r="Q20" s="410" t="s">
        <v>132</v>
      </c>
      <c r="R20" s="440" t="s">
        <v>161</v>
      </c>
      <c r="S20" s="472" t="s">
        <v>434</v>
      </c>
      <c r="T20" s="466"/>
      <c r="U20" s="10"/>
      <c r="V20" s="10"/>
      <c r="W20" s="10"/>
      <c r="X20" s="10"/>
      <c r="Y20" s="10"/>
      <c r="Z20" s="10"/>
      <c r="AA20" s="10"/>
      <c r="AB20" s="10"/>
      <c r="AC20" s="10"/>
      <c r="AD20" s="10"/>
    </row>
    <row r="21" spans="1:30" ht="135" x14ac:dyDescent="0.25">
      <c r="A21" s="579"/>
      <c r="B21" s="582"/>
      <c r="C21" s="588">
        <f>15000000+21000000</f>
        <v>36000000</v>
      </c>
      <c r="D21" s="577"/>
      <c r="E21" s="593">
        <f>C21/0.95*0.05+2</f>
        <v>1894738.8421052631</v>
      </c>
      <c r="F21" s="590">
        <f>C21+E21</f>
        <v>37894738.842105262</v>
      </c>
      <c r="G21" s="590">
        <f>F21</f>
        <v>37894738.842105262</v>
      </c>
      <c r="H21" s="34" t="s">
        <v>151</v>
      </c>
      <c r="I21" s="410" t="s">
        <v>152</v>
      </c>
      <c r="J21" s="597" t="s">
        <v>139</v>
      </c>
      <c r="K21" s="597" t="s">
        <v>140</v>
      </c>
      <c r="L21" s="410" t="s">
        <v>153</v>
      </c>
      <c r="M21" s="410" t="s">
        <v>119</v>
      </c>
      <c r="N21" s="410" t="s">
        <v>120</v>
      </c>
      <c r="O21" s="390">
        <v>270</v>
      </c>
      <c r="P21" s="455">
        <v>6930</v>
      </c>
      <c r="Q21" s="410" t="s">
        <v>132</v>
      </c>
      <c r="R21" s="440" t="s">
        <v>162</v>
      </c>
      <c r="S21" s="459" t="s">
        <v>425</v>
      </c>
      <c r="T21" s="466"/>
      <c r="U21" s="10"/>
      <c r="V21" s="10"/>
      <c r="W21" s="10"/>
      <c r="X21" s="10"/>
      <c r="Y21" s="10"/>
      <c r="Z21" s="10"/>
      <c r="AA21" s="10"/>
      <c r="AB21" s="10"/>
      <c r="AC21" s="10"/>
      <c r="AD21" s="10"/>
    </row>
    <row r="22" spans="1:30" ht="90" x14ac:dyDescent="0.25">
      <c r="A22" s="579"/>
      <c r="B22" s="582"/>
      <c r="C22" s="595"/>
      <c r="D22" s="577"/>
      <c r="E22" s="596"/>
      <c r="F22" s="591"/>
      <c r="G22" s="591"/>
      <c r="H22" s="34" t="s">
        <v>155</v>
      </c>
      <c r="I22" s="410" t="s">
        <v>156</v>
      </c>
      <c r="J22" s="598"/>
      <c r="K22" s="598"/>
      <c r="L22" s="410" t="s">
        <v>157</v>
      </c>
      <c r="M22" s="410" t="s">
        <v>119</v>
      </c>
      <c r="N22" s="410" t="s">
        <v>131</v>
      </c>
      <c r="O22" s="413" t="s">
        <v>120</v>
      </c>
      <c r="P22" s="455">
        <v>3004001</v>
      </c>
      <c r="Q22" s="410" t="s">
        <v>158</v>
      </c>
      <c r="R22" s="440" t="s">
        <v>163</v>
      </c>
      <c r="S22" s="459" t="s">
        <v>427</v>
      </c>
      <c r="T22" s="466"/>
      <c r="U22" s="10"/>
      <c r="V22" s="10"/>
      <c r="W22" s="10"/>
      <c r="X22" s="10"/>
      <c r="Y22" s="10"/>
      <c r="Z22" s="10"/>
      <c r="AA22" s="10"/>
      <c r="AB22" s="10"/>
      <c r="AC22" s="10"/>
      <c r="AD22" s="10"/>
    </row>
    <row r="23" spans="1:30" ht="180" x14ac:dyDescent="0.25">
      <c r="A23" s="579"/>
      <c r="B23" s="582"/>
      <c r="C23" s="595"/>
      <c r="D23" s="577"/>
      <c r="E23" s="596"/>
      <c r="F23" s="591"/>
      <c r="G23" s="591"/>
      <c r="H23" s="34" t="s">
        <v>133</v>
      </c>
      <c r="I23" s="410" t="s">
        <v>160</v>
      </c>
      <c r="J23" s="598"/>
      <c r="K23" s="598"/>
      <c r="L23" s="410" t="s">
        <v>135</v>
      </c>
      <c r="M23" s="410" t="s">
        <v>119</v>
      </c>
      <c r="N23" s="410" t="s">
        <v>120</v>
      </c>
      <c r="O23" s="16">
        <v>3</v>
      </c>
      <c r="P23" s="455">
        <v>77</v>
      </c>
      <c r="Q23" s="410" t="s">
        <v>132</v>
      </c>
      <c r="R23" s="440" t="s">
        <v>164</v>
      </c>
      <c r="S23" s="459" t="s">
        <v>435</v>
      </c>
      <c r="T23" s="466"/>
      <c r="U23" s="10"/>
      <c r="V23" s="10"/>
      <c r="W23" s="10"/>
      <c r="X23" s="10"/>
      <c r="Y23" s="10"/>
      <c r="Z23" s="10"/>
      <c r="AA23" s="10"/>
      <c r="AB23" s="10"/>
      <c r="AC23" s="10"/>
      <c r="AD23" s="10"/>
    </row>
    <row r="24" spans="1:30" ht="195" x14ac:dyDescent="0.25">
      <c r="A24" s="579"/>
      <c r="B24" s="582"/>
      <c r="C24" s="588">
        <f>77500000+41500000</f>
        <v>119000000</v>
      </c>
      <c r="D24" s="567" t="s">
        <v>165</v>
      </c>
      <c r="E24" s="593">
        <f>C24/0.95*0.05</f>
        <v>6263157.8947368423</v>
      </c>
      <c r="F24" s="590">
        <f>C24+E24</f>
        <v>125263157.89473684</v>
      </c>
      <c r="G24" s="590">
        <f>F24</f>
        <v>125263157.89473684</v>
      </c>
      <c r="H24" s="34" t="s">
        <v>166</v>
      </c>
      <c r="I24" s="410" t="s">
        <v>167</v>
      </c>
      <c r="J24" s="577" t="s">
        <v>116</v>
      </c>
      <c r="K24" s="577" t="s">
        <v>117</v>
      </c>
      <c r="L24" s="410" t="s">
        <v>168</v>
      </c>
      <c r="M24" s="34" t="s">
        <v>119</v>
      </c>
      <c r="N24" s="34" t="s">
        <v>120</v>
      </c>
      <c r="O24" s="16">
        <v>41</v>
      </c>
      <c r="P24" s="455">
        <v>179</v>
      </c>
      <c r="Q24" s="410" t="s">
        <v>132</v>
      </c>
      <c r="R24" s="442" t="s">
        <v>169</v>
      </c>
      <c r="S24" s="457" t="s">
        <v>426</v>
      </c>
      <c r="T24" s="466"/>
      <c r="U24" s="10"/>
      <c r="V24" s="10"/>
      <c r="W24" s="10"/>
      <c r="X24" s="10"/>
      <c r="Y24" s="10"/>
      <c r="Z24" s="10"/>
      <c r="AA24" s="10"/>
      <c r="AB24" s="10"/>
      <c r="AC24" s="10"/>
      <c r="AD24" s="10"/>
    </row>
    <row r="25" spans="1:30" ht="135" x14ac:dyDescent="0.25">
      <c r="A25" s="579"/>
      <c r="B25" s="582"/>
      <c r="C25" s="595"/>
      <c r="D25" s="567"/>
      <c r="E25" s="596"/>
      <c r="F25" s="591"/>
      <c r="G25" s="591"/>
      <c r="H25" s="34" t="s">
        <v>170</v>
      </c>
      <c r="I25" s="410" t="s">
        <v>171</v>
      </c>
      <c r="J25" s="577"/>
      <c r="K25" s="577"/>
      <c r="L25" s="410" t="s">
        <v>157</v>
      </c>
      <c r="M25" s="16">
        <v>84318</v>
      </c>
      <c r="N25" s="34" t="s">
        <v>131</v>
      </c>
      <c r="O25" s="388" t="s">
        <v>120</v>
      </c>
      <c r="P25" s="408">
        <v>144529</v>
      </c>
      <c r="Q25" s="410" t="s">
        <v>132</v>
      </c>
      <c r="R25" s="442" t="s">
        <v>172</v>
      </c>
      <c r="S25" s="458" t="s">
        <v>423</v>
      </c>
      <c r="T25" s="466"/>
      <c r="U25" s="10"/>
      <c r="V25" s="10"/>
      <c r="W25" s="10"/>
      <c r="X25" s="10"/>
      <c r="Y25" s="10"/>
      <c r="Z25" s="10"/>
      <c r="AA25" s="10"/>
      <c r="AB25" s="10"/>
      <c r="AC25" s="10"/>
      <c r="AD25" s="10"/>
    </row>
    <row r="26" spans="1:30" ht="180" x14ac:dyDescent="0.25">
      <c r="A26" s="579"/>
      <c r="B26" s="582"/>
      <c r="C26" s="588">
        <f>22500000-15483500</f>
        <v>7016500</v>
      </c>
      <c r="D26" s="567"/>
      <c r="E26" s="593">
        <f>C26/0.95*0.05</f>
        <v>369289.47368421056</v>
      </c>
      <c r="F26" s="590">
        <f>C26+E26</f>
        <v>7385789.4736842103</v>
      </c>
      <c r="G26" s="590">
        <f>F26</f>
        <v>7385789.4736842103</v>
      </c>
      <c r="H26" s="34" t="s">
        <v>166</v>
      </c>
      <c r="I26" s="410" t="s">
        <v>167</v>
      </c>
      <c r="J26" s="577" t="s">
        <v>139</v>
      </c>
      <c r="K26" s="577" t="s">
        <v>140</v>
      </c>
      <c r="L26" s="410" t="s">
        <v>168</v>
      </c>
      <c r="M26" s="34" t="s">
        <v>173</v>
      </c>
      <c r="N26" s="34" t="s">
        <v>120</v>
      </c>
      <c r="O26" s="16">
        <v>12</v>
      </c>
      <c r="P26" s="456">
        <v>7.8</v>
      </c>
      <c r="Q26" s="410" t="s">
        <v>132</v>
      </c>
      <c r="R26" s="451" t="s">
        <v>410</v>
      </c>
      <c r="S26" s="457" t="s">
        <v>424</v>
      </c>
      <c r="T26" s="466"/>
      <c r="U26" s="10"/>
      <c r="V26" s="10"/>
      <c r="W26" s="10"/>
      <c r="X26" s="10"/>
      <c r="Y26" s="10"/>
      <c r="Z26" s="10"/>
      <c r="AA26" s="10"/>
      <c r="AB26" s="10"/>
      <c r="AC26" s="10"/>
      <c r="AD26" s="10"/>
    </row>
    <row r="27" spans="1:30" ht="120.75" thickBot="1" x14ac:dyDescent="0.3">
      <c r="A27" s="580"/>
      <c r="B27" s="583"/>
      <c r="C27" s="589"/>
      <c r="D27" s="584"/>
      <c r="E27" s="594"/>
      <c r="F27" s="592"/>
      <c r="G27" s="592"/>
      <c r="H27" s="95" t="s">
        <v>170</v>
      </c>
      <c r="I27" s="412" t="s">
        <v>171</v>
      </c>
      <c r="J27" s="587"/>
      <c r="K27" s="587"/>
      <c r="L27" s="412" t="s">
        <v>157</v>
      </c>
      <c r="M27" s="68">
        <v>40600</v>
      </c>
      <c r="N27" s="95" t="s">
        <v>131</v>
      </c>
      <c r="O27" s="389" t="s">
        <v>120</v>
      </c>
      <c r="P27" s="415">
        <v>69593</v>
      </c>
      <c r="Q27" s="412" t="s">
        <v>132</v>
      </c>
      <c r="R27" s="416" t="s">
        <v>414</v>
      </c>
      <c r="S27" s="463" t="s">
        <v>423</v>
      </c>
      <c r="T27" s="470"/>
      <c r="U27" s="10"/>
      <c r="V27" s="10"/>
      <c r="W27" s="10"/>
      <c r="X27" s="10"/>
      <c r="Y27" s="10"/>
      <c r="Z27" s="10"/>
      <c r="AA27" s="10"/>
      <c r="AB27" s="10"/>
      <c r="AC27" s="10"/>
      <c r="AD27" s="10"/>
    </row>
    <row r="28" spans="1:30" x14ac:dyDescent="0.25">
      <c r="B28" t="s">
        <v>139</v>
      </c>
      <c r="C28" s="85">
        <f>C10+C16+C21+C26</f>
        <v>50000000</v>
      </c>
      <c r="D28" s="85"/>
      <c r="E28" s="85">
        <f>E10+E16+E21+E26</f>
        <v>2631580.9473684207</v>
      </c>
      <c r="F28" s="85">
        <f>F10+F16+F21+F26</f>
        <v>52631580.947368413</v>
      </c>
      <c r="G28" s="85">
        <f>G10+G16+G21+G26</f>
        <v>52631580.947368413</v>
      </c>
      <c r="M28" s="85">
        <f>SUM(M6:M27)</f>
        <v>2706227</v>
      </c>
      <c r="N28" s="85"/>
      <c r="O28" s="85">
        <f t="shared" ref="O28:P28" si="0">SUM(O6:O27)</f>
        <v>3445.7</v>
      </c>
      <c r="P28" s="85">
        <f t="shared" si="0"/>
        <v>9360892.8000000007</v>
      </c>
    </row>
    <row r="29" spans="1:30" x14ac:dyDescent="0.25">
      <c r="B29" t="s">
        <v>174</v>
      </c>
      <c r="C29" s="85">
        <f>C6+C14+C18+C24</f>
        <v>209565204</v>
      </c>
      <c r="D29" s="85"/>
      <c r="E29" s="85">
        <f>E6+E14+E18+E24</f>
        <v>11029747.578947369</v>
      </c>
      <c r="F29" s="85">
        <f>F6+F14+F18+F24</f>
        <v>220594951.57894737</v>
      </c>
      <c r="G29" s="85">
        <f>G6+G14+G18+G24</f>
        <v>220594951.57894737</v>
      </c>
    </row>
    <row r="30" spans="1:30" x14ac:dyDescent="0.25">
      <c r="B30" t="s">
        <v>408</v>
      </c>
      <c r="C30" s="85">
        <f>C28+C29</f>
        <v>259565204</v>
      </c>
      <c r="D30" s="85"/>
      <c r="E30" s="85">
        <f t="shared" ref="E30:G30" si="1">E28+E29</f>
        <v>13661328.52631579</v>
      </c>
      <c r="F30" s="85">
        <f t="shared" si="1"/>
        <v>273226532.52631581</v>
      </c>
      <c r="G30" s="85">
        <f t="shared" si="1"/>
        <v>273226532.52631581</v>
      </c>
    </row>
    <row r="31" spans="1:30" ht="15.75" thickBot="1" x14ac:dyDescent="0.3">
      <c r="C31" s="85"/>
      <c r="D31" s="85"/>
      <c r="E31" s="85"/>
      <c r="F31" s="85"/>
      <c r="G31" s="85"/>
    </row>
    <row r="32" spans="1:30" ht="30.75" thickBot="1" x14ac:dyDescent="0.3">
      <c r="A32" s="425" t="s">
        <v>175</v>
      </c>
      <c r="B32" s="426" t="s">
        <v>176</v>
      </c>
      <c r="C32" s="402" t="s">
        <v>177</v>
      </c>
      <c r="D32" s="426" t="s">
        <v>178</v>
      </c>
      <c r="E32" s="426" t="s">
        <v>97</v>
      </c>
      <c r="F32" s="429" t="s">
        <v>98</v>
      </c>
      <c r="G32" s="426" t="s">
        <v>179</v>
      </c>
      <c r="H32" s="403" t="s">
        <v>180</v>
      </c>
      <c r="I32" s="404" t="s">
        <v>102</v>
      </c>
    </row>
    <row r="33" spans="1:18" ht="105" x14ac:dyDescent="0.25">
      <c r="A33" s="431" t="s">
        <v>114</v>
      </c>
      <c r="B33" s="452" t="s">
        <v>115</v>
      </c>
      <c r="C33" s="417" t="s">
        <v>118</v>
      </c>
      <c r="D33" s="419" t="s">
        <v>119</v>
      </c>
      <c r="E33" s="418" t="s">
        <v>116</v>
      </c>
      <c r="F33" s="418" t="s">
        <v>117</v>
      </c>
      <c r="G33" s="418" t="s">
        <v>120</v>
      </c>
      <c r="H33" s="419">
        <v>0</v>
      </c>
      <c r="I33" s="434" t="str">
        <f>P6</f>
        <v>189 906</v>
      </c>
      <c r="R33" s="401"/>
    </row>
    <row r="34" spans="1:18" ht="75" x14ac:dyDescent="0.25">
      <c r="A34" s="432" t="s">
        <v>123</v>
      </c>
      <c r="B34" s="410" t="s">
        <v>124</v>
      </c>
      <c r="C34" s="420" t="s">
        <v>125</v>
      </c>
      <c r="D34" s="408" t="s">
        <v>119</v>
      </c>
      <c r="E34" s="407" t="s">
        <v>116</v>
      </c>
      <c r="F34" s="407" t="s">
        <v>117</v>
      </c>
      <c r="G34" s="407" t="s">
        <v>120</v>
      </c>
      <c r="H34" s="408">
        <v>0</v>
      </c>
      <c r="I34" s="435">
        <f>P7</f>
        <v>2</v>
      </c>
      <c r="J34" s="13"/>
      <c r="K34" s="12"/>
      <c r="N34" s="15"/>
      <c r="O34" s="15"/>
    </row>
    <row r="35" spans="1:18" ht="75" x14ac:dyDescent="0.25">
      <c r="A35" s="433" t="s">
        <v>128</v>
      </c>
      <c r="B35" s="410" t="s">
        <v>129</v>
      </c>
      <c r="C35" s="420" t="s">
        <v>130</v>
      </c>
      <c r="D35" s="455">
        <f>M8+M15</f>
        <v>1589613</v>
      </c>
      <c r="E35" s="410" t="s">
        <v>116</v>
      </c>
      <c r="F35" s="390" t="s">
        <v>117</v>
      </c>
      <c r="G35" s="410" t="s">
        <v>131</v>
      </c>
      <c r="H35" s="421" t="s">
        <v>120</v>
      </c>
      <c r="I35" s="464">
        <f>P8+P15</f>
        <v>509018</v>
      </c>
      <c r="J35" s="13"/>
      <c r="K35" s="12"/>
      <c r="N35" s="15"/>
      <c r="O35" s="15"/>
    </row>
    <row r="36" spans="1:18" ht="75" x14ac:dyDescent="0.25">
      <c r="A36" s="430" t="s">
        <v>128</v>
      </c>
      <c r="B36" s="410" t="s">
        <v>129</v>
      </c>
      <c r="C36" s="422" t="s">
        <v>130</v>
      </c>
      <c r="D36" s="454">
        <f>M12+M17</f>
        <v>991696</v>
      </c>
      <c r="E36" s="410" t="s">
        <v>139</v>
      </c>
      <c r="F36" s="410" t="s">
        <v>140</v>
      </c>
      <c r="G36" s="410" t="s">
        <v>131</v>
      </c>
      <c r="H36" s="390" t="s">
        <v>120</v>
      </c>
      <c r="I36" s="464">
        <f>P12+P17</f>
        <v>21209</v>
      </c>
      <c r="J36" s="13"/>
      <c r="K36" s="12"/>
      <c r="N36" s="15"/>
      <c r="O36" s="15"/>
    </row>
    <row r="37" spans="1:18" ht="75" x14ac:dyDescent="0.25">
      <c r="A37" s="430" t="s">
        <v>151</v>
      </c>
      <c r="B37" s="410" t="s">
        <v>152</v>
      </c>
      <c r="C37" s="422" t="s">
        <v>153</v>
      </c>
      <c r="D37" s="390" t="s">
        <v>119</v>
      </c>
      <c r="E37" s="410" t="s">
        <v>116</v>
      </c>
      <c r="F37" s="410" t="s">
        <v>117</v>
      </c>
      <c r="G37" s="410" t="s">
        <v>120</v>
      </c>
      <c r="H37" s="390">
        <v>2790</v>
      </c>
      <c r="I37" s="464">
        <f>P18</f>
        <v>11520</v>
      </c>
      <c r="J37" s="13"/>
      <c r="K37" s="12"/>
      <c r="N37" s="15"/>
      <c r="O37" s="15"/>
    </row>
    <row r="38" spans="1:18" ht="75" x14ac:dyDescent="0.25">
      <c r="A38" s="430" t="s">
        <v>151</v>
      </c>
      <c r="B38" s="410" t="s">
        <v>152</v>
      </c>
      <c r="C38" s="423" t="s">
        <v>153</v>
      </c>
      <c r="D38" s="390" t="s">
        <v>119</v>
      </c>
      <c r="E38" s="410" t="s">
        <v>139</v>
      </c>
      <c r="F38" s="410" t="s">
        <v>140</v>
      </c>
      <c r="G38" s="410" t="s">
        <v>120</v>
      </c>
      <c r="H38" s="390">
        <v>270</v>
      </c>
      <c r="I38" s="464">
        <f>P21</f>
        <v>6930</v>
      </c>
      <c r="J38" s="13"/>
      <c r="K38" s="12"/>
      <c r="N38" s="15"/>
      <c r="O38" s="15"/>
    </row>
    <row r="39" spans="1:18" ht="60" x14ac:dyDescent="0.25">
      <c r="A39" s="430" t="s">
        <v>166</v>
      </c>
      <c r="B39" s="410" t="s">
        <v>167</v>
      </c>
      <c r="C39" s="422" t="s">
        <v>168</v>
      </c>
      <c r="D39" s="390" t="s">
        <v>119</v>
      </c>
      <c r="E39" s="410" t="s">
        <v>116</v>
      </c>
      <c r="F39" s="410" t="s">
        <v>117</v>
      </c>
      <c r="G39" s="410" t="s">
        <v>120</v>
      </c>
      <c r="H39" s="16">
        <f>O24</f>
        <v>41</v>
      </c>
      <c r="I39" s="464">
        <f>P24</f>
        <v>179</v>
      </c>
      <c r="J39" s="13"/>
      <c r="K39" s="12"/>
      <c r="N39" s="15"/>
      <c r="O39" s="15"/>
    </row>
    <row r="40" spans="1:18" ht="60" x14ac:dyDescent="0.25">
      <c r="A40" s="430" t="s">
        <v>166</v>
      </c>
      <c r="B40" s="410" t="s">
        <v>167</v>
      </c>
      <c r="C40" s="422" t="s">
        <v>168</v>
      </c>
      <c r="D40" s="390" t="s">
        <v>173</v>
      </c>
      <c r="E40" s="410" t="s">
        <v>139</v>
      </c>
      <c r="F40" s="410" t="s">
        <v>140</v>
      </c>
      <c r="G40" s="410" t="s">
        <v>120</v>
      </c>
      <c r="H40" s="390">
        <v>12</v>
      </c>
      <c r="I40" s="465">
        <f>P26</f>
        <v>7.8</v>
      </c>
      <c r="J40" s="13"/>
      <c r="K40" s="12"/>
      <c r="N40" s="15"/>
      <c r="O40" s="15"/>
    </row>
    <row r="41" spans="1:18" ht="75" x14ac:dyDescent="0.25">
      <c r="A41" s="430" t="s">
        <v>147</v>
      </c>
      <c r="B41" s="410" t="s">
        <v>148</v>
      </c>
      <c r="C41" s="422" t="s">
        <v>149</v>
      </c>
      <c r="D41" s="390" t="s">
        <v>119</v>
      </c>
      <c r="E41" s="410" t="s">
        <v>116</v>
      </c>
      <c r="F41" s="410" t="s">
        <v>117</v>
      </c>
      <c r="G41" s="410" t="s">
        <v>120</v>
      </c>
      <c r="H41" s="390">
        <v>161</v>
      </c>
      <c r="I41" s="464">
        <f>P14</f>
        <v>776</v>
      </c>
      <c r="J41" s="13"/>
      <c r="K41" s="12"/>
      <c r="N41" s="15"/>
      <c r="O41" s="15"/>
    </row>
    <row r="42" spans="1:18" ht="75" x14ac:dyDescent="0.25">
      <c r="A42" s="430" t="s">
        <v>147</v>
      </c>
      <c r="B42" s="410" t="s">
        <v>148</v>
      </c>
      <c r="C42" s="422" t="s">
        <v>149</v>
      </c>
      <c r="D42" s="390" t="s">
        <v>119</v>
      </c>
      <c r="E42" s="410" t="s">
        <v>139</v>
      </c>
      <c r="F42" s="410" t="s">
        <v>140</v>
      </c>
      <c r="G42" s="410" t="s">
        <v>120</v>
      </c>
      <c r="H42" s="390">
        <v>135</v>
      </c>
      <c r="I42" s="464">
        <f>P16</f>
        <v>1096</v>
      </c>
      <c r="J42" s="473"/>
      <c r="R42" s="401"/>
    </row>
    <row r="43" spans="1:18" ht="75" x14ac:dyDescent="0.25">
      <c r="A43" s="430" t="s">
        <v>155</v>
      </c>
      <c r="B43" s="410" t="s">
        <v>156</v>
      </c>
      <c r="C43" s="422" t="s">
        <v>157</v>
      </c>
      <c r="D43" s="390" t="s">
        <v>119</v>
      </c>
      <c r="E43" s="410" t="s">
        <v>116</v>
      </c>
      <c r="F43" s="410" t="s">
        <v>117</v>
      </c>
      <c r="G43" s="410" t="s">
        <v>131</v>
      </c>
      <c r="H43" s="390" t="s">
        <v>120</v>
      </c>
      <c r="I43" s="464">
        <f>P19</f>
        <v>4993664</v>
      </c>
      <c r="J43" s="473"/>
    </row>
    <row r="44" spans="1:18" ht="75" x14ac:dyDescent="0.25">
      <c r="A44" s="430" t="s">
        <v>155</v>
      </c>
      <c r="B44" s="410" t="s">
        <v>156</v>
      </c>
      <c r="C44" s="423" t="s">
        <v>157</v>
      </c>
      <c r="D44" s="390" t="s">
        <v>119</v>
      </c>
      <c r="E44" s="410" t="s">
        <v>139</v>
      </c>
      <c r="F44" s="410" t="s">
        <v>140</v>
      </c>
      <c r="G44" s="410" t="s">
        <v>131</v>
      </c>
      <c r="H44" s="413" t="s">
        <v>120</v>
      </c>
      <c r="I44" s="464">
        <f>P22</f>
        <v>3004001</v>
      </c>
      <c r="J44" s="473"/>
    </row>
    <row r="45" spans="1:18" ht="60" x14ac:dyDescent="0.25">
      <c r="A45" s="430" t="s">
        <v>170</v>
      </c>
      <c r="B45" s="410" t="s">
        <v>171</v>
      </c>
      <c r="C45" s="422" t="s">
        <v>157</v>
      </c>
      <c r="D45" s="390">
        <v>84318</v>
      </c>
      <c r="E45" s="410" t="s">
        <v>116</v>
      </c>
      <c r="F45" s="390" t="s">
        <v>117</v>
      </c>
      <c r="G45" s="410" t="s">
        <v>131</v>
      </c>
      <c r="H45" s="413" t="s">
        <v>120</v>
      </c>
      <c r="I45" s="435">
        <f>P25</f>
        <v>144529</v>
      </c>
      <c r="J45" s="473"/>
    </row>
    <row r="46" spans="1:18" ht="60" x14ac:dyDescent="0.25">
      <c r="A46" s="430" t="s">
        <v>170</v>
      </c>
      <c r="B46" s="410" t="s">
        <v>171</v>
      </c>
      <c r="C46" s="422" t="s">
        <v>157</v>
      </c>
      <c r="D46" s="390">
        <v>40600</v>
      </c>
      <c r="E46" s="410" t="s">
        <v>139</v>
      </c>
      <c r="F46" s="390" t="s">
        <v>140</v>
      </c>
      <c r="G46" s="410" t="s">
        <v>131</v>
      </c>
      <c r="H46" s="413" t="s">
        <v>120</v>
      </c>
      <c r="I46" s="435">
        <f>P27</f>
        <v>69593</v>
      </c>
      <c r="J46" s="473"/>
    </row>
    <row r="47" spans="1:18" ht="45" x14ac:dyDescent="0.25">
      <c r="A47" s="430" t="s">
        <v>133</v>
      </c>
      <c r="B47" s="410" t="s">
        <v>134</v>
      </c>
      <c r="C47" s="420" t="s">
        <v>135</v>
      </c>
      <c r="D47" s="408" t="s">
        <v>119</v>
      </c>
      <c r="E47" s="410" t="s">
        <v>116</v>
      </c>
      <c r="F47" s="410" t="s">
        <v>117</v>
      </c>
      <c r="G47" s="410" t="s">
        <v>120</v>
      </c>
      <c r="H47" s="390">
        <f>I47*0.1</f>
        <v>2.6</v>
      </c>
      <c r="I47" s="464">
        <f>P9</f>
        <v>26</v>
      </c>
      <c r="J47" s="473"/>
    </row>
    <row r="48" spans="1:18" ht="105" x14ac:dyDescent="0.25">
      <c r="A48" s="430" t="s">
        <v>137</v>
      </c>
      <c r="B48" s="410" t="s">
        <v>138</v>
      </c>
      <c r="C48" s="422" t="s">
        <v>118</v>
      </c>
      <c r="D48" s="390" t="s">
        <v>119</v>
      </c>
      <c r="E48" s="407" t="s">
        <v>139</v>
      </c>
      <c r="F48" s="407" t="s">
        <v>140</v>
      </c>
      <c r="G48" s="407" t="s">
        <v>120</v>
      </c>
      <c r="H48" s="408">
        <v>0</v>
      </c>
      <c r="I48" s="435">
        <f>P10</f>
        <v>598136</v>
      </c>
      <c r="J48" s="473"/>
    </row>
    <row r="49" spans="1:10" ht="60" customHeight="1" x14ac:dyDescent="0.25">
      <c r="A49" s="430" t="s">
        <v>137</v>
      </c>
      <c r="B49" s="410" t="s">
        <v>124</v>
      </c>
      <c r="C49" s="422" t="s">
        <v>125</v>
      </c>
      <c r="D49" s="390" t="s">
        <v>119</v>
      </c>
      <c r="E49" s="407" t="s">
        <v>139</v>
      </c>
      <c r="F49" s="407" t="s">
        <v>140</v>
      </c>
      <c r="G49" s="407" t="s">
        <v>120</v>
      </c>
      <c r="H49" s="408">
        <v>0</v>
      </c>
      <c r="I49" s="435" t="str">
        <f>P11</f>
        <v>1</v>
      </c>
      <c r="J49" s="473"/>
    </row>
    <row r="50" spans="1:10" ht="45" x14ac:dyDescent="0.25">
      <c r="A50" s="430" t="s">
        <v>133</v>
      </c>
      <c r="B50" s="410" t="s">
        <v>134</v>
      </c>
      <c r="C50" s="422" t="s">
        <v>135</v>
      </c>
      <c r="D50" s="390" t="s">
        <v>119</v>
      </c>
      <c r="E50" s="410" t="s">
        <v>139</v>
      </c>
      <c r="F50" s="410" t="s">
        <v>140</v>
      </c>
      <c r="G50" s="410" t="s">
        <v>120</v>
      </c>
      <c r="H50" s="390">
        <f>I50*0.1</f>
        <v>0.1</v>
      </c>
      <c r="I50" s="464">
        <f>P13</f>
        <v>1</v>
      </c>
      <c r="J50" s="473"/>
    </row>
    <row r="51" spans="1:10" ht="75" x14ac:dyDescent="0.25">
      <c r="A51" s="430" t="s">
        <v>133</v>
      </c>
      <c r="B51" s="410" t="s">
        <v>160</v>
      </c>
      <c r="C51" s="422" t="s">
        <v>135</v>
      </c>
      <c r="D51" s="390" t="s">
        <v>119</v>
      </c>
      <c r="E51" s="410" t="s">
        <v>116</v>
      </c>
      <c r="F51" s="410" t="s">
        <v>117</v>
      </c>
      <c r="G51" s="410" t="s">
        <v>120</v>
      </c>
      <c r="H51" s="390">
        <f>O20</f>
        <v>31</v>
      </c>
      <c r="I51" s="464">
        <f>P20</f>
        <v>128</v>
      </c>
    </row>
    <row r="52" spans="1:10" ht="75" x14ac:dyDescent="0.25">
      <c r="A52" s="430" t="s">
        <v>133</v>
      </c>
      <c r="B52" s="410" t="s">
        <v>160</v>
      </c>
      <c r="C52" s="423" t="s">
        <v>135</v>
      </c>
      <c r="D52" s="390" t="s">
        <v>119</v>
      </c>
      <c r="E52" s="410" t="s">
        <v>139</v>
      </c>
      <c r="F52" s="410" t="s">
        <v>140</v>
      </c>
      <c r="G52" s="410" t="s">
        <v>120</v>
      </c>
      <c r="H52" s="16">
        <f>O23</f>
        <v>3</v>
      </c>
      <c r="I52" s="464">
        <f>P23</f>
        <v>77</v>
      </c>
    </row>
    <row r="53" spans="1:10" x14ac:dyDescent="0.25">
      <c r="D53" s="85">
        <f>SUM(D33:D52)</f>
        <v>2706227</v>
      </c>
      <c r="F53" s="10"/>
      <c r="G53" s="10"/>
      <c r="H53" s="10">
        <f t="shared" ref="H53:I53" si="2">SUM(H33:H52)</f>
        <v>3445.7</v>
      </c>
      <c r="I53" s="10">
        <f t="shared" si="2"/>
        <v>9360892.8000000007</v>
      </c>
    </row>
    <row r="54" spans="1:10" x14ac:dyDescent="0.25">
      <c r="D54" t="b">
        <f>D53=M28</f>
        <v>1</v>
      </c>
      <c r="H54" t="b">
        <f>H53=O28</f>
        <v>1</v>
      </c>
      <c r="I54" s="444" t="b">
        <f>I53=P28</f>
        <v>1</v>
      </c>
    </row>
    <row r="55" spans="1:10" x14ac:dyDescent="0.25">
      <c r="D55" s="17"/>
    </row>
    <row r="56" spans="1:10" x14ac:dyDescent="0.25">
      <c r="D56" s="17"/>
    </row>
    <row r="57" spans="1:10" x14ac:dyDescent="0.25">
      <c r="D57" s="17"/>
    </row>
    <row r="58" spans="1:10" x14ac:dyDescent="0.25">
      <c r="D58" s="17"/>
    </row>
    <row r="59" spans="1:10" x14ac:dyDescent="0.25">
      <c r="D59" s="17"/>
    </row>
    <row r="60" spans="1:10" x14ac:dyDescent="0.25">
      <c r="D60" s="17"/>
    </row>
    <row r="61" spans="1:10" x14ac:dyDescent="0.25">
      <c r="D61" s="17"/>
    </row>
    <row r="62" spans="1:10" x14ac:dyDescent="0.25">
      <c r="D62" s="17"/>
    </row>
  </sheetData>
  <mergeCells count="70">
    <mergeCell ref="C16:C17"/>
    <mergeCell ref="G21:G23"/>
    <mergeCell ref="F21:F23"/>
    <mergeCell ref="E21:E23"/>
    <mergeCell ref="K16:K17"/>
    <mergeCell ref="J16:J17"/>
    <mergeCell ref="D14:D17"/>
    <mergeCell ref="J18:J20"/>
    <mergeCell ref="K18:K20"/>
    <mergeCell ref="G14:G15"/>
    <mergeCell ref="F14:F15"/>
    <mergeCell ref="E14:E15"/>
    <mergeCell ref="J21:J23"/>
    <mergeCell ref="K21:K23"/>
    <mergeCell ref="F16:F17"/>
    <mergeCell ref="E16:E17"/>
    <mergeCell ref="G26:G27"/>
    <mergeCell ref="F26:F27"/>
    <mergeCell ref="E26:E27"/>
    <mergeCell ref="C21:C23"/>
    <mergeCell ref="G18:G20"/>
    <mergeCell ref="F18:F20"/>
    <mergeCell ref="E18:E20"/>
    <mergeCell ref="C18:C20"/>
    <mergeCell ref="C24:C25"/>
    <mergeCell ref="G24:G25"/>
    <mergeCell ref="F24:F25"/>
    <mergeCell ref="E24:E25"/>
    <mergeCell ref="K24:K25"/>
    <mergeCell ref="A6:A27"/>
    <mergeCell ref="B6:B27"/>
    <mergeCell ref="D24:D27"/>
    <mergeCell ref="J14:J15"/>
    <mergeCell ref="K14:K15"/>
    <mergeCell ref="K26:K27"/>
    <mergeCell ref="J26:J27"/>
    <mergeCell ref="J6:J9"/>
    <mergeCell ref="K6:K9"/>
    <mergeCell ref="J10:J13"/>
    <mergeCell ref="K10:K13"/>
    <mergeCell ref="D18:D23"/>
    <mergeCell ref="C26:C27"/>
    <mergeCell ref="G16:G17"/>
    <mergeCell ref="J24:J25"/>
    <mergeCell ref="D6:D13"/>
    <mergeCell ref="G6:G9"/>
    <mergeCell ref="F6:F9"/>
    <mergeCell ref="E6:E9"/>
    <mergeCell ref="C14:C15"/>
    <mergeCell ref="C6:C9"/>
    <mergeCell ref="G10:G13"/>
    <mergeCell ref="F10:F13"/>
    <mergeCell ref="E10:E13"/>
    <mergeCell ref="C10:C13"/>
    <mergeCell ref="T4:T5"/>
    <mergeCell ref="S4:S5"/>
    <mergeCell ref="A4:A5"/>
    <mergeCell ref="C4:C5"/>
    <mergeCell ref="G4:G5"/>
    <mergeCell ref="B4:B5"/>
    <mergeCell ref="R4:R5"/>
    <mergeCell ref="Q4:Q5"/>
    <mergeCell ref="M4:N4"/>
    <mergeCell ref="D4:F4"/>
    <mergeCell ref="H4:I4"/>
    <mergeCell ref="J4:J5"/>
    <mergeCell ref="K4:K5"/>
    <mergeCell ref="O4:O5"/>
    <mergeCell ref="P4:P5"/>
    <mergeCell ref="L4:L5"/>
  </mergeCells>
  <phoneticPr fontId="2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2"/>
  <sheetViews>
    <sheetView topLeftCell="B31" zoomScale="55" zoomScaleNormal="55" workbookViewId="0">
      <selection activeCell="I38" sqref="I38"/>
    </sheetView>
  </sheetViews>
  <sheetFormatPr defaultRowHeight="15" x14ac:dyDescent="0.25"/>
  <cols>
    <col min="1" max="1" width="18.7109375" customWidth="1"/>
    <col min="2" max="2" width="18.28515625" customWidth="1"/>
    <col min="3" max="3" width="19" customWidth="1"/>
    <col min="4" max="4" width="17.28515625" customWidth="1"/>
    <col min="5" max="5" width="15.28515625" customWidth="1"/>
    <col min="6" max="6" width="17" customWidth="1"/>
    <col min="7" max="7" width="14.85546875" customWidth="1"/>
    <col min="8" max="8" width="20.5703125" customWidth="1"/>
    <col min="9" max="9" width="35.42578125" customWidth="1"/>
    <col min="10" max="10" width="15" customWidth="1"/>
    <col min="11" max="12" width="12.5703125" customWidth="1"/>
    <col min="13" max="13" width="13.85546875" customWidth="1"/>
    <col min="14" max="14" width="12.7109375" customWidth="1"/>
    <col min="15" max="15" width="12" customWidth="1"/>
    <col min="16" max="16" width="15" customWidth="1"/>
    <col min="17" max="17" width="29.5703125" customWidth="1"/>
    <col min="18" max="18" width="78.7109375" customWidth="1"/>
    <col min="19" max="19" width="62" customWidth="1"/>
    <col min="21" max="21" width="8.85546875" style="17"/>
    <col min="23" max="23" width="58.28515625" style="364" customWidth="1"/>
  </cols>
  <sheetData>
    <row r="1" spans="1:35" x14ac:dyDescent="0.25">
      <c r="A1" s="9" t="s">
        <v>181</v>
      </c>
      <c r="H1" s="29" t="s">
        <v>182</v>
      </c>
    </row>
    <row r="2" spans="1:35" x14ac:dyDescent="0.25">
      <c r="A2" t="s">
        <v>183</v>
      </c>
    </row>
    <row r="3" spans="1:35" x14ac:dyDescent="0.25">
      <c r="A3" t="s">
        <v>184</v>
      </c>
      <c r="F3" s="17"/>
      <c r="S3" s="135"/>
      <c r="T3" s="136"/>
      <c r="U3" s="315"/>
      <c r="V3" s="136"/>
      <c r="W3" s="137"/>
      <c r="X3" s="135"/>
      <c r="Y3" s="138"/>
    </row>
    <row r="4" spans="1:35" x14ac:dyDescent="0.25">
      <c r="A4" t="s">
        <v>185</v>
      </c>
      <c r="S4" s="139"/>
      <c r="T4" s="140"/>
      <c r="U4" s="57"/>
      <c r="V4" s="139"/>
      <c r="W4" s="365"/>
      <c r="X4" s="135"/>
      <c r="Y4" s="141"/>
    </row>
    <row r="5" spans="1:35" ht="15.75" thickBot="1" x14ac:dyDescent="0.3">
      <c r="A5" t="s">
        <v>186</v>
      </c>
    </row>
    <row r="6" spans="1:35" ht="15" customHeight="1" x14ac:dyDescent="0.25">
      <c r="A6" s="601" t="s">
        <v>91</v>
      </c>
      <c r="B6" s="617" t="s">
        <v>187</v>
      </c>
      <c r="C6" s="603" t="s">
        <v>93</v>
      </c>
      <c r="D6" s="615" t="s">
        <v>94</v>
      </c>
      <c r="E6" s="616"/>
      <c r="F6" s="616"/>
      <c r="G6" s="601" t="s">
        <v>188</v>
      </c>
      <c r="H6" s="626" t="s">
        <v>96</v>
      </c>
      <c r="I6" s="626"/>
      <c r="J6" s="627" t="s">
        <v>97</v>
      </c>
      <c r="K6" s="629" t="s">
        <v>98</v>
      </c>
      <c r="L6" s="627" t="s">
        <v>99</v>
      </c>
      <c r="M6" s="616" t="s">
        <v>100</v>
      </c>
      <c r="N6" s="628"/>
      <c r="O6" s="627" t="s">
        <v>101</v>
      </c>
      <c r="P6" s="627" t="s">
        <v>189</v>
      </c>
      <c r="Q6" s="627" t="s">
        <v>103</v>
      </c>
      <c r="R6" s="632" t="s">
        <v>104</v>
      </c>
    </row>
    <row r="7" spans="1:35" ht="30.75" thickBot="1" x14ac:dyDescent="0.3">
      <c r="A7" s="602"/>
      <c r="B7" s="618"/>
      <c r="C7" s="604"/>
      <c r="D7" s="1" t="s">
        <v>105</v>
      </c>
      <c r="E7" s="6" t="s">
        <v>106</v>
      </c>
      <c r="F7" s="5" t="s">
        <v>107</v>
      </c>
      <c r="G7" s="602"/>
      <c r="H7" s="1" t="s">
        <v>108</v>
      </c>
      <c r="I7" s="2" t="s">
        <v>109</v>
      </c>
      <c r="J7" s="618"/>
      <c r="K7" s="630"/>
      <c r="L7" s="618"/>
      <c r="M7" s="7" t="s">
        <v>190</v>
      </c>
      <c r="N7" s="7" t="s">
        <v>191</v>
      </c>
      <c r="O7" s="618"/>
      <c r="P7" s="618"/>
      <c r="Q7" s="631"/>
      <c r="R7" s="633"/>
      <c r="S7" s="17"/>
    </row>
    <row r="8" spans="1:35" s="63" customFormat="1" ht="105.6" customHeight="1" x14ac:dyDescent="0.2">
      <c r="A8" s="605" t="s">
        <v>183</v>
      </c>
      <c r="B8" s="610">
        <f>F8</f>
        <v>111882352.94117647</v>
      </c>
      <c r="C8" s="607">
        <v>95100000</v>
      </c>
      <c r="D8" s="643" t="s">
        <v>192</v>
      </c>
      <c r="E8" s="610">
        <f>C8/0.85*0.15</f>
        <v>16782352.94117647</v>
      </c>
      <c r="F8" s="607">
        <f>C8+E8</f>
        <v>111882352.94117647</v>
      </c>
      <c r="G8" s="607">
        <f>F8</f>
        <v>111882352.94117647</v>
      </c>
      <c r="H8" s="26" t="s">
        <v>193</v>
      </c>
      <c r="I8" s="36" t="s">
        <v>194</v>
      </c>
      <c r="J8" s="634" t="s">
        <v>139</v>
      </c>
      <c r="K8" s="636" t="s">
        <v>140</v>
      </c>
      <c r="L8" s="27" t="s">
        <v>168</v>
      </c>
      <c r="M8" s="327" t="s">
        <v>119</v>
      </c>
      <c r="N8" s="27" t="s">
        <v>195</v>
      </c>
      <c r="O8" s="49">
        <v>0</v>
      </c>
      <c r="P8" s="49">
        <f>ROUND(F8*0.9285/869000,0)</f>
        <v>120</v>
      </c>
      <c r="Q8" s="27" t="s">
        <v>132</v>
      </c>
      <c r="R8" s="64" t="s">
        <v>196</v>
      </c>
      <c r="S8" s="328" t="s">
        <v>197</v>
      </c>
      <c r="T8" s="60"/>
      <c r="U8" s="60"/>
      <c r="V8" s="61"/>
      <c r="W8" s="61" t="s">
        <v>198</v>
      </c>
      <c r="X8" s="61"/>
      <c r="Y8" s="61"/>
      <c r="Z8" s="62"/>
      <c r="AA8" s="62"/>
      <c r="AB8" s="62"/>
      <c r="AC8" s="62"/>
      <c r="AD8" s="62"/>
      <c r="AE8" s="62"/>
      <c r="AF8" s="62"/>
      <c r="AG8" s="62"/>
      <c r="AH8" s="62"/>
      <c r="AI8" s="62"/>
    </row>
    <row r="9" spans="1:35" s="63" customFormat="1" ht="168" customHeight="1" x14ac:dyDescent="0.2">
      <c r="A9" s="606"/>
      <c r="B9" s="611"/>
      <c r="C9" s="608"/>
      <c r="D9" s="622"/>
      <c r="E9" s="611"/>
      <c r="F9" s="608"/>
      <c r="G9" s="608"/>
      <c r="H9" s="37" t="s">
        <v>199</v>
      </c>
      <c r="I9" s="37" t="s">
        <v>200</v>
      </c>
      <c r="J9" s="635"/>
      <c r="K9" s="622"/>
      <c r="L9" s="33" t="s">
        <v>201</v>
      </c>
      <c r="M9" s="65">
        <f>1127000/120</f>
        <v>9391.6666666666661</v>
      </c>
      <c r="N9" s="33" t="s">
        <v>195</v>
      </c>
      <c r="O9" s="65">
        <v>0</v>
      </c>
      <c r="P9" s="65">
        <f>1500000/120</f>
        <v>12500</v>
      </c>
      <c r="Q9" s="33" t="s">
        <v>202</v>
      </c>
      <c r="R9" s="66" t="s">
        <v>203</v>
      </c>
      <c r="S9" s="329" t="s">
        <v>204</v>
      </c>
      <c r="T9" s="61"/>
      <c r="U9" s="60"/>
      <c r="V9" s="61"/>
      <c r="W9" s="61"/>
      <c r="X9" s="61"/>
      <c r="Y9" s="61"/>
      <c r="Z9" s="62"/>
      <c r="AA9" s="62"/>
      <c r="AB9" s="62"/>
      <c r="AC9" s="62"/>
      <c r="AD9" s="62"/>
      <c r="AE9" s="62"/>
      <c r="AF9" s="62"/>
      <c r="AG9" s="62"/>
      <c r="AH9" s="62"/>
      <c r="AI9" s="62"/>
    </row>
    <row r="10" spans="1:35" s="63" customFormat="1" ht="126.6" customHeight="1" x14ac:dyDescent="0.2">
      <c r="A10" s="606"/>
      <c r="B10" s="611"/>
      <c r="C10" s="608"/>
      <c r="D10" s="622"/>
      <c r="E10" s="611"/>
      <c r="F10" s="608"/>
      <c r="G10" s="608"/>
      <c r="H10" s="34" t="s">
        <v>205</v>
      </c>
      <c r="I10" s="93" t="s">
        <v>206</v>
      </c>
      <c r="J10" s="635"/>
      <c r="K10" s="622"/>
      <c r="L10" s="127" t="s">
        <v>207</v>
      </c>
      <c r="M10" s="99">
        <f>5*0.62</f>
        <v>3.1</v>
      </c>
      <c r="N10" s="89">
        <v>2019</v>
      </c>
      <c r="O10" s="89" t="s">
        <v>120</v>
      </c>
      <c r="P10" s="32">
        <f>4*0.622222</f>
        <v>2.4888880000000002</v>
      </c>
      <c r="Q10" s="33" t="s">
        <v>132</v>
      </c>
      <c r="R10" s="101" t="s">
        <v>208</v>
      </c>
      <c r="S10" s="361" t="s">
        <v>209</v>
      </c>
      <c r="T10" s="61"/>
      <c r="U10" s="60"/>
      <c r="V10" s="61"/>
      <c r="W10" s="61"/>
      <c r="X10" s="61"/>
      <c r="Y10" s="61"/>
      <c r="Z10" s="62"/>
      <c r="AA10" s="62"/>
      <c r="AB10" s="62"/>
      <c r="AC10" s="62"/>
      <c r="AD10" s="62"/>
      <c r="AE10" s="62"/>
      <c r="AF10" s="62"/>
      <c r="AG10" s="62"/>
      <c r="AH10" s="62"/>
      <c r="AI10" s="62"/>
    </row>
    <row r="11" spans="1:35" s="63" customFormat="1" ht="134.44999999999999" customHeight="1" x14ac:dyDescent="0.2">
      <c r="A11" s="606"/>
      <c r="B11" s="611"/>
      <c r="C11" s="608"/>
      <c r="D11" s="622"/>
      <c r="E11" s="611"/>
      <c r="F11" s="608"/>
      <c r="G11" s="620"/>
      <c r="H11" s="89" t="s">
        <v>210</v>
      </c>
      <c r="I11" s="30" t="s">
        <v>211</v>
      </c>
      <c r="J11" s="635"/>
      <c r="K11" s="622"/>
      <c r="L11" s="33" t="s">
        <v>135</v>
      </c>
      <c r="M11" s="65">
        <v>0</v>
      </c>
      <c r="N11" s="33" t="s">
        <v>195</v>
      </c>
      <c r="O11" s="65">
        <f>P11*0.1</f>
        <v>0.79995882352941183</v>
      </c>
      <c r="P11" s="86">
        <f>F8*0.0715/1000000</f>
        <v>7.9995882352941177</v>
      </c>
      <c r="Q11" s="33" t="s">
        <v>132</v>
      </c>
      <c r="R11" s="134" t="s">
        <v>212</v>
      </c>
      <c r="S11" s="362" t="s">
        <v>213</v>
      </c>
      <c r="T11" s="61"/>
      <c r="U11" s="60"/>
      <c r="V11" s="61"/>
      <c r="W11" s="61"/>
      <c r="X11" s="61"/>
      <c r="Y11" s="61"/>
      <c r="Z11" s="62"/>
      <c r="AA11" s="62"/>
      <c r="AB11" s="62"/>
      <c r="AC11" s="62"/>
      <c r="AD11" s="62"/>
      <c r="AE11" s="62"/>
      <c r="AF11" s="62"/>
      <c r="AG11" s="62"/>
      <c r="AH11" s="62"/>
      <c r="AI11" s="62"/>
    </row>
    <row r="12" spans="1:35" s="63" customFormat="1" ht="146.44999999999999" customHeight="1" x14ac:dyDescent="0.2">
      <c r="A12" s="606"/>
      <c r="B12" s="612">
        <f>F12</f>
        <v>60576470.588235296</v>
      </c>
      <c r="C12" s="619">
        <v>51490000</v>
      </c>
      <c r="D12" s="621" t="s">
        <v>214</v>
      </c>
      <c r="E12" s="624">
        <f>C12/0.85*0.15</f>
        <v>9086470.5882352944</v>
      </c>
      <c r="F12" s="619">
        <f>C12+E12</f>
        <v>60576470.588235296</v>
      </c>
      <c r="G12" s="619">
        <f>F12</f>
        <v>60576470.588235296</v>
      </c>
      <c r="H12" s="25" t="s">
        <v>193</v>
      </c>
      <c r="I12" s="37" t="s">
        <v>194</v>
      </c>
      <c r="J12" s="656" t="s">
        <v>139</v>
      </c>
      <c r="K12" s="599" t="s">
        <v>140</v>
      </c>
      <c r="L12" s="34" t="s">
        <v>168</v>
      </c>
      <c r="M12" s="34" t="s">
        <v>215</v>
      </c>
      <c r="N12" s="34" t="s">
        <v>195</v>
      </c>
      <c r="O12" s="16">
        <v>0</v>
      </c>
      <c r="P12" s="317">
        <f>ROUND(G12*0.9175/1406000,0)</f>
        <v>40</v>
      </c>
      <c r="Q12" s="34" t="s">
        <v>132</v>
      </c>
      <c r="R12" s="67" t="s">
        <v>216</v>
      </c>
      <c r="S12" s="328" t="s">
        <v>217</v>
      </c>
      <c r="T12" s="61"/>
      <c r="U12" s="60"/>
      <c r="V12" s="61"/>
      <c r="W12" s="61"/>
      <c r="X12" s="61"/>
      <c r="Y12" s="61"/>
      <c r="Z12" s="62"/>
      <c r="AA12" s="62"/>
      <c r="AB12" s="62"/>
      <c r="AC12" s="62"/>
      <c r="AD12" s="62"/>
      <c r="AE12" s="62"/>
      <c r="AF12" s="62"/>
      <c r="AG12" s="62"/>
      <c r="AH12" s="62"/>
      <c r="AI12" s="62"/>
    </row>
    <row r="13" spans="1:35" s="63" customFormat="1" ht="175.15" customHeight="1" x14ac:dyDescent="0.2">
      <c r="A13" s="606"/>
      <c r="B13" s="612"/>
      <c r="C13" s="608"/>
      <c r="D13" s="622"/>
      <c r="E13" s="611"/>
      <c r="F13" s="608"/>
      <c r="G13" s="608"/>
      <c r="H13" s="37" t="s">
        <v>199</v>
      </c>
      <c r="I13" s="37" t="s">
        <v>200</v>
      </c>
      <c r="J13" s="635"/>
      <c r="K13" s="622"/>
      <c r="L13" s="34" t="s">
        <v>218</v>
      </c>
      <c r="M13" s="34" t="s">
        <v>119</v>
      </c>
      <c r="N13" s="34" t="s">
        <v>195</v>
      </c>
      <c r="O13" s="16">
        <v>0</v>
      </c>
      <c r="P13" s="16">
        <v>4500</v>
      </c>
      <c r="Q13" s="33" t="s">
        <v>202</v>
      </c>
      <c r="R13" s="66" t="s">
        <v>219</v>
      </c>
      <c r="S13" s="363" t="s">
        <v>220</v>
      </c>
      <c r="T13" s="61"/>
      <c r="U13" s="60"/>
      <c r="V13" s="61"/>
      <c r="W13" s="61"/>
      <c r="X13" s="61"/>
      <c r="Y13" s="61"/>
      <c r="Z13" s="62"/>
      <c r="AA13" s="62"/>
      <c r="AB13" s="62"/>
      <c r="AC13" s="62"/>
      <c r="AD13" s="62"/>
      <c r="AE13" s="62"/>
      <c r="AF13" s="62"/>
      <c r="AG13" s="62"/>
      <c r="AH13" s="62"/>
      <c r="AI13" s="62"/>
    </row>
    <row r="14" spans="1:35" s="63" customFormat="1" ht="107.45" customHeight="1" x14ac:dyDescent="0.2">
      <c r="A14" s="606"/>
      <c r="B14" s="612"/>
      <c r="C14" s="608"/>
      <c r="D14" s="622"/>
      <c r="E14" s="611"/>
      <c r="F14" s="608"/>
      <c r="G14" s="608"/>
      <c r="H14" s="37" t="s">
        <v>210</v>
      </c>
      <c r="I14" s="93" t="s">
        <v>221</v>
      </c>
      <c r="J14" s="635"/>
      <c r="K14" s="622"/>
      <c r="L14" s="33" t="s">
        <v>135</v>
      </c>
      <c r="M14" s="65">
        <v>0</v>
      </c>
      <c r="N14" s="312" t="s">
        <v>195</v>
      </c>
      <c r="O14" s="65">
        <v>2</v>
      </c>
      <c r="P14" s="316">
        <f>G12*0.0825/1000000</f>
        <v>4.9975588235294124</v>
      </c>
      <c r="Q14" s="34" t="s">
        <v>132</v>
      </c>
      <c r="R14" s="67" t="s">
        <v>222</v>
      </c>
      <c r="S14" s="349" t="s">
        <v>223</v>
      </c>
      <c r="T14" s="98"/>
      <c r="U14" s="60"/>
      <c r="V14" s="61"/>
      <c r="W14" s="61"/>
      <c r="X14" s="61"/>
      <c r="Y14" s="61"/>
      <c r="Z14" s="62"/>
      <c r="AA14" s="62"/>
      <c r="AB14" s="62"/>
      <c r="AC14" s="62"/>
      <c r="AD14" s="62"/>
      <c r="AE14" s="62"/>
      <c r="AF14" s="62"/>
      <c r="AG14" s="62"/>
      <c r="AH14" s="62"/>
      <c r="AI14" s="62"/>
    </row>
    <row r="15" spans="1:35" s="63" customFormat="1" ht="120" customHeight="1" x14ac:dyDescent="0.2">
      <c r="A15" s="606"/>
      <c r="B15" s="612"/>
      <c r="C15" s="620"/>
      <c r="D15" s="623"/>
      <c r="E15" s="625"/>
      <c r="F15" s="620"/>
      <c r="G15" s="620"/>
      <c r="H15" s="89" t="s">
        <v>205</v>
      </c>
      <c r="I15" s="30" t="s">
        <v>224</v>
      </c>
      <c r="J15" s="657"/>
      <c r="K15" s="623"/>
      <c r="L15" s="100" t="s">
        <v>207</v>
      </c>
      <c r="M15" s="99">
        <f>5*0.38</f>
        <v>1.9</v>
      </c>
      <c r="N15" s="8">
        <v>2019</v>
      </c>
      <c r="O15" s="89" t="s">
        <v>120</v>
      </c>
      <c r="P15" s="32">
        <v>1</v>
      </c>
      <c r="Q15" s="34" t="s">
        <v>132</v>
      </c>
      <c r="R15" s="101" t="s">
        <v>225</v>
      </c>
      <c r="S15" s="350" t="s">
        <v>226</v>
      </c>
      <c r="T15" s="61"/>
      <c r="U15" s="60"/>
      <c r="V15" s="61"/>
      <c r="W15" s="61"/>
      <c r="X15" s="61"/>
      <c r="Y15" s="61"/>
      <c r="Z15" s="62"/>
      <c r="AA15" s="62"/>
      <c r="AB15" s="62"/>
      <c r="AC15" s="62"/>
      <c r="AD15" s="62"/>
      <c r="AE15" s="62"/>
      <c r="AF15" s="62"/>
      <c r="AG15" s="62"/>
      <c r="AH15" s="62"/>
      <c r="AI15" s="62"/>
    </row>
    <row r="16" spans="1:35" s="63" customFormat="1" ht="302.45" customHeight="1" x14ac:dyDescent="0.2">
      <c r="A16" s="606"/>
      <c r="B16" s="613"/>
      <c r="C16" s="608">
        <v>2200000</v>
      </c>
      <c r="D16" s="662" t="s">
        <v>227</v>
      </c>
      <c r="E16" s="611">
        <f>(C16*100/85)-C16</f>
        <v>388235.29411764722</v>
      </c>
      <c r="F16" s="608">
        <f>C16+E16</f>
        <v>2588235.2941176472</v>
      </c>
      <c r="G16" s="608">
        <f>F16</f>
        <v>2588235.2941176472</v>
      </c>
      <c r="H16" s="37" t="s">
        <v>205</v>
      </c>
      <c r="I16" s="37" t="s">
        <v>228</v>
      </c>
      <c r="J16" s="635"/>
      <c r="K16" s="622" t="s">
        <v>140</v>
      </c>
      <c r="L16" s="34" t="s">
        <v>229</v>
      </c>
      <c r="M16" s="34" t="s">
        <v>230</v>
      </c>
      <c r="N16" s="145" t="s">
        <v>195</v>
      </c>
      <c r="O16" s="16" t="s">
        <v>120</v>
      </c>
      <c r="P16" s="34" t="s">
        <v>231</v>
      </c>
      <c r="Q16" s="34" t="s">
        <v>202</v>
      </c>
      <c r="R16" s="97" t="s">
        <v>232</v>
      </c>
      <c r="S16" s="330" t="s">
        <v>233</v>
      </c>
      <c r="T16" s="61"/>
      <c r="U16" s="60"/>
      <c r="V16" s="61"/>
      <c r="W16" s="61"/>
      <c r="X16" s="61"/>
      <c r="Y16" s="61"/>
      <c r="Z16" s="62"/>
      <c r="AA16" s="62"/>
      <c r="AB16" s="62"/>
      <c r="AC16" s="62"/>
      <c r="AD16" s="62"/>
      <c r="AE16" s="62"/>
      <c r="AF16" s="62"/>
      <c r="AG16" s="62"/>
      <c r="AH16" s="62"/>
      <c r="AI16" s="62"/>
    </row>
    <row r="17" spans="1:35" s="63" customFormat="1" ht="256.14999999999998" customHeight="1" thickBot="1" x14ac:dyDescent="0.25">
      <c r="A17" s="606"/>
      <c r="B17" s="614"/>
      <c r="C17" s="609"/>
      <c r="D17" s="663"/>
      <c r="E17" s="664"/>
      <c r="F17" s="609"/>
      <c r="G17" s="609"/>
      <c r="H17" s="38" t="s">
        <v>210</v>
      </c>
      <c r="I17" s="38" t="s">
        <v>234</v>
      </c>
      <c r="J17" s="655"/>
      <c r="K17" s="600"/>
      <c r="L17" s="95" t="s">
        <v>235</v>
      </c>
      <c r="M17" s="35" t="s">
        <v>119</v>
      </c>
      <c r="N17" s="95" t="s">
        <v>195</v>
      </c>
      <c r="O17" s="68">
        <v>0</v>
      </c>
      <c r="P17" s="95" t="s">
        <v>142</v>
      </c>
      <c r="Q17" s="95" t="s">
        <v>132</v>
      </c>
      <c r="R17" s="331" t="s">
        <v>236</v>
      </c>
      <c r="S17" s="339" t="s">
        <v>237</v>
      </c>
      <c r="T17" s="61"/>
      <c r="U17" s="60"/>
      <c r="V17" s="61"/>
      <c r="W17" s="61"/>
      <c r="X17" s="61"/>
      <c r="Y17" s="61"/>
      <c r="Z17" s="62"/>
      <c r="AA17" s="62"/>
      <c r="AB17" s="62"/>
      <c r="AC17" s="62"/>
      <c r="AD17" s="62"/>
      <c r="AE17" s="62"/>
      <c r="AF17" s="62"/>
      <c r="AG17" s="62"/>
      <c r="AH17" s="62"/>
      <c r="AI17" s="62"/>
    </row>
    <row r="18" spans="1:35" ht="147" customHeight="1" x14ac:dyDescent="0.25">
      <c r="A18" s="640" t="s">
        <v>184</v>
      </c>
      <c r="B18" s="645">
        <f>F18+F21+F24+F27</f>
        <v>285114525.88235295</v>
      </c>
      <c r="C18" s="642">
        <f>'Intervencijų lėšos (2)'!J20</f>
        <v>65530043</v>
      </c>
      <c r="D18" s="643" t="s">
        <v>238</v>
      </c>
      <c r="E18" s="642">
        <f>C18/0.85*0.15</f>
        <v>11564125.235294117</v>
      </c>
      <c r="F18" s="642">
        <f>C18+E18</f>
        <v>77094168.235294119</v>
      </c>
      <c r="G18" s="642">
        <f>F18</f>
        <v>77094168.235294119</v>
      </c>
      <c r="H18" s="91" t="s">
        <v>239</v>
      </c>
      <c r="I18" s="27" t="s">
        <v>240</v>
      </c>
      <c r="J18" s="658" t="s">
        <v>139</v>
      </c>
      <c r="K18" s="660" t="s">
        <v>140</v>
      </c>
      <c r="L18" s="87" t="s">
        <v>168</v>
      </c>
      <c r="M18" s="27" t="s">
        <v>119</v>
      </c>
      <c r="N18" s="27" t="s">
        <v>195</v>
      </c>
      <c r="O18" s="28">
        <f>P18*0.2</f>
        <v>2.05584448627451</v>
      </c>
      <c r="P18" s="308">
        <f>G18/7500000</f>
        <v>10.279222431372549</v>
      </c>
      <c r="Q18" s="27" t="s">
        <v>132</v>
      </c>
      <c r="R18" s="332" t="s">
        <v>241</v>
      </c>
      <c r="S18" s="340" t="s">
        <v>242</v>
      </c>
      <c r="W18" s="61" t="s">
        <v>198</v>
      </c>
    </row>
    <row r="19" spans="1:35" ht="150" customHeight="1" x14ac:dyDescent="0.25">
      <c r="A19" s="641"/>
      <c r="B19" s="613"/>
      <c r="C19" s="638"/>
      <c r="D19" s="622"/>
      <c r="E19" s="638"/>
      <c r="F19" s="638"/>
      <c r="G19" s="638"/>
      <c r="H19" s="37" t="s">
        <v>243</v>
      </c>
      <c r="I19" s="37" t="s">
        <v>244</v>
      </c>
      <c r="J19" s="659"/>
      <c r="K19" s="661"/>
      <c r="L19" s="34" t="s">
        <v>245</v>
      </c>
      <c r="M19" s="34" t="s">
        <v>119</v>
      </c>
      <c r="N19" s="34" t="s">
        <v>195</v>
      </c>
      <c r="O19" s="75" t="s">
        <v>120</v>
      </c>
      <c r="P19" s="16">
        <v>64585222</v>
      </c>
      <c r="Q19" s="34" t="s">
        <v>132</v>
      </c>
      <c r="R19" s="344" t="s">
        <v>246</v>
      </c>
      <c r="S19" s="342" t="s">
        <v>247</v>
      </c>
    </row>
    <row r="20" spans="1:35" ht="162.6" customHeight="1" x14ac:dyDescent="0.25">
      <c r="A20" s="641"/>
      <c r="B20" s="613"/>
      <c r="C20" s="639"/>
      <c r="D20" s="644"/>
      <c r="E20" s="639"/>
      <c r="F20" s="639"/>
      <c r="G20" s="639"/>
      <c r="H20" s="69" t="s">
        <v>248</v>
      </c>
      <c r="I20" s="37" t="s">
        <v>249</v>
      </c>
      <c r="J20" s="659"/>
      <c r="K20" s="661"/>
      <c r="L20" s="33" t="s">
        <v>250</v>
      </c>
      <c r="M20" s="33" t="s">
        <v>119</v>
      </c>
      <c r="N20" s="33" t="s">
        <v>195</v>
      </c>
      <c r="O20" s="83" t="s">
        <v>120</v>
      </c>
      <c r="P20" s="65">
        <v>174719</v>
      </c>
      <c r="Q20" s="33" t="s">
        <v>132</v>
      </c>
      <c r="R20" s="343" t="s">
        <v>251</v>
      </c>
      <c r="S20" s="341" t="s">
        <v>252</v>
      </c>
    </row>
    <row r="21" spans="1:35" ht="147" customHeight="1" x14ac:dyDescent="0.25">
      <c r="A21" s="641"/>
      <c r="B21" s="613"/>
      <c r="C21" s="637">
        <f>'Intervencijų lėšos (2)'!J21</f>
        <v>147844205</v>
      </c>
      <c r="D21" s="646" t="s">
        <v>253</v>
      </c>
      <c r="E21" s="637">
        <f>C21/0.85*0.15</f>
        <v>26090153.823529411</v>
      </c>
      <c r="F21" s="637">
        <f>C21+E21</f>
        <v>173934358.82352942</v>
      </c>
      <c r="G21" s="637">
        <f>F21</f>
        <v>173934358.82352942</v>
      </c>
      <c r="H21" s="90" t="s">
        <v>254</v>
      </c>
      <c r="I21" s="37" t="s">
        <v>255</v>
      </c>
      <c r="J21" s="656" t="s">
        <v>139</v>
      </c>
      <c r="K21" s="599" t="s">
        <v>140</v>
      </c>
      <c r="L21" s="34" t="s">
        <v>168</v>
      </c>
      <c r="M21" s="16" t="s">
        <v>119</v>
      </c>
      <c r="N21" s="34" t="s">
        <v>195</v>
      </c>
      <c r="O21" s="78">
        <f>P21*0.2</f>
        <v>4.6380000000000008</v>
      </c>
      <c r="P21" s="78">
        <v>23.19</v>
      </c>
      <c r="Q21" s="34" t="s">
        <v>132</v>
      </c>
      <c r="R21" s="334" t="s">
        <v>256</v>
      </c>
      <c r="S21" s="351" t="s">
        <v>257</v>
      </c>
    </row>
    <row r="22" spans="1:35" ht="135.6" customHeight="1" x14ac:dyDescent="0.25">
      <c r="A22" s="641"/>
      <c r="B22" s="613"/>
      <c r="C22" s="638"/>
      <c r="D22" s="647"/>
      <c r="E22" s="638"/>
      <c r="F22" s="638"/>
      <c r="G22" s="638"/>
      <c r="H22" s="37" t="s">
        <v>243</v>
      </c>
      <c r="I22" s="37" t="s">
        <v>244</v>
      </c>
      <c r="J22" s="635"/>
      <c r="K22" s="622"/>
      <c r="L22" s="34" t="s">
        <v>258</v>
      </c>
      <c r="M22" s="16">
        <v>170038487</v>
      </c>
      <c r="N22" s="34" t="s">
        <v>195</v>
      </c>
      <c r="O22" s="75" t="s">
        <v>120</v>
      </c>
      <c r="P22" s="16">
        <v>178796103</v>
      </c>
      <c r="Q22" s="34" t="s">
        <v>132</v>
      </c>
      <c r="R22" s="333" t="s">
        <v>259</v>
      </c>
      <c r="S22" s="367" t="s">
        <v>260</v>
      </c>
      <c r="W22" s="364" t="s">
        <v>261</v>
      </c>
    </row>
    <row r="23" spans="1:35" ht="187.15" customHeight="1" x14ac:dyDescent="0.25">
      <c r="A23" s="641"/>
      <c r="B23" s="613"/>
      <c r="C23" s="639"/>
      <c r="D23" s="649"/>
      <c r="E23" s="639"/>
      <c r="F23" s="639"/>
      <c r="G23" s="639"/>
      <c r="H23" s="70" t="s">
        <v>248</v>
      </c>
      <c r="I23" s="37" t="s">
        <v>249</v>
      </c>
      <c r="J23" s="657"/>
      <c r="K23" s="623"/>
      <c r="L23" s="34" t="s">
        <v>250</v>
      </c>
      <c r="M23" s="16">
        <v>2051282</v>
      </c>
      <c r="N23" s="34" t="s">
        <v>195</v>
      </c>
      <c r="O23" s="75" t="s">
        <v>120</v>
      </c>
      <c r="P23" s="16">
        <v>467115</v>
      </c>
      <c r="Q23" s="34" t="s">
        <v>132</v>
      </c>
      <c r="R23" s="333" t="s">
        <v>262</v>
      </c>
      <c r="S23" s="367" t="s">
        <v>263</v>
      </c>
      <c r="W23" s="364" t="s">
        <v>264</v>
      </c>
    </row>
    <row r="24" spans="1:35" ht="104.45" customHeight="1" x14ac:dyDescent="0.25">
      <c r="A24" s="641"/>
      <c r="B24" s="613"/>
      <c r="C24" s="637">
        <f>'Intervencijų lėšos (2)'!J22</f>
        <v>26661909</v>
      </c>
      <c r="D24" s="646" t="s">
        <v>265</v>
      </c>
      <c r="E24" s="637">
        <f>C24/0.85*0.15</f>
        <v>4705042.7647058824</v>
      </c>
      <c r="F24" s="637">
        <f>C24+E24</f>
        <v>31366951.764705881</v>
      </c>
      <c r="G24" s="637">
        <f>F24</f>
        <v>31366951.764705881</v>
      </c>
      <c r="H24" s="90" t="s">
        <v>254</v>
      </c>
      <c r="I24" s="37" t="s">
        <v>255</v>
      </c>
      <c r="J24" s="656" t="s">
        <v>139</v>
      </c>
      <c r="K24" s="599" t="s">
        <v>17</v>
      </c>
      <c r="L24" s="34" t="s">
        <v>168</v>
      </c>
      <c r="M24" s="88" t="s">
        <v>266</v>
      </c>
      <c r="N24" s="88" t="s">
        <v>195</v>
      </c>
      <c r="O24" s="92">
        <f>P24*0.2</f>
        <v>1.7831442534315294</v>
      </c>
      <c r="P24" s="309">
        <f>G24/3518162</f>
        <v>8.9157212671576467</v>
      </c>
      <c r="Q24" s="88" t="s">
        <v>132</v>
      </c>
      <c r="R24" s="334" t="s">
        <v>267</v>
      </c>
      <c r="S24" s="145"/>
    </row>
    <row r="25" spans="1:35" ht="142.15" customHeight="1" x14ac:dyDescent="0.25">
      <c r="A25" s="641"/>
      <c r="B25" s="613"/>
      <c r="C25" s="638"/>
      <c r="D25" s="647"/>
      <c r="E25" s="638"/>
      <c r="F25" s="638"/>
      <c r="G25" s="638"/>
      <c r="H25" s="37" t="s">
        <v>243</v>
      </c>
      <c r="I25" s="37" t="s">
        <v>244</v>
      </c>
      <c r="J25" s="635"/>
      <c r="K25" s="622"/>
      <c r="L25" s="34" t="s">
        <v>258</v>
      </c>
      <c r="M25" s="65">
        <v>34357821</v>
      </c>
      <c r="N25" s="33" t="s">
        <v>195</v>
      </c>
      <c r="O25" s="83" t="s">
        <v>120</v>
      </c>
      <c r="P25" s="65">
        <v>36315250</v>
      </c>
      <c r="Q25" s="33" t="s">
        <v>132</v>
      </c>
      <c r="R25" s="333" t="s">
        <v>268</v>
      </c>
      <c r="S25" s="368" t="s">
        <v>269</v>
      </c>
    </row>
    <row r="26" spans="1:35" ht="160.15" customHeight="1" x14ac:dyDescent="0.25">
      <c r="A26" s="641"/>
      <c r="B26" s="613"/>
      <c r="C26" s="639"/>
      <c r="D26" s="648"/>
      <c r="E26" s="639"/>
      <c r="F26" s="639"/>
      <c r="G26" s="639"/>
      <c r="H26" s="70" t="s">
        <v>248</v>
      </c>
      <c r="I26" s="34" t="s">
        <v>249</v>
      </c>
      <c r="J26" s="657"/>
      <c r="K26" s="623"/>
      <c r="L26" s="34" t="s">
        <v>250</v>
      </c>
      <c r="M26" s="65">
        <v>471444</v>
      </c>
      <c r="N26" s="33" t="s">
        <v>195</v>
      </c>
      <c r="O26" s="83" t="s">
        <v>120</v>
      </c>
      <c r="P26" s="65">
        <v>40369</v>
      </c>
      <c r="Q26" s="33" t="s">
        <v>132</v>
      </c>
      <c r="R26" s="333" t="s">
        <v>270</v>
      </c>
      <c r="S26" s="369" t="s">
        <v>271</v>
      </c>
    </row>
    <row r="27" spans="1:35" ht="111" customHeight="1" x14ac:dyDescent="0.25">
      <c r="A27" s="641"/>
      <c r="B27" s="613"/>
      <c r="C27" s="311">
        <f>'Intervencijų lėšos (2)'!J23</f>
        <v>2311190</v>
      </c>
      <c r="D27" s="82" t="s">
        <v>272</v>
      </c>
      <c r="E27" s="311">
        <f>C27/0.85*0.15</f>
        <v>407857.05882352946</v>
      </c>
      <c r="F27" s="311">
        <f>C27+E27</f>
        <v>2719047.0588235296</v>
      </c>
      <c r="G27" s="311">
        <f>F27</f>
        <v>2719047.0588235296</v>
      </c>
      <c r="H27" s="37" t="s">
        <v>273</v>
      </c>
      <c r="I27" s="37" t="s">
        <v>274</v>
      </c>
      <c r="J27" s="94" t="s">
        <v>139</v>
      </c>
      <c r="K27" s="599" t="s">
        <v>17</v>
      </c>
      <c r="L27" s="34" t="s">
        <v>135</v>
      </c>
      <c r="M27" s="37" t="s">
        <v>119</v>
      </c>
      <c r="N27" s="34" t="s">
        <v>195</v>
      </c>
      <c r="O27" s="75">
        <f>P27*0.2</f>
        <v>13.600000000000001</v>
      </c>
      <c r="P27" s="75">
        <f>ROUND(G27/40000,0)</f>
        <v>68</v>
      </c>
      <c r="Q27" s="34" t="s">
        <v>132</v>
      </c>
      <c r="R27" s="335" t="s">
        <v>275</v>
      </c>
      <c r="S27" s="370"/>
    </row>
    <row r="28" spans="1:35" ht="111" customHeight="1" thickBot="1" x14ac:dyDescent="0.3">
      <c r="A28" s="130"/>
      <c r="B28" s="131"/>
      <c r="C28" s="132"/>
      <c r="D28" s="129"/>
      <c r="E28" s="131"/>
      <c r="F28" s="132"/>
      <c r="G28" s="132"/>
      <c r="H28" s="129" t="s">
        <v>273</v>
      </c>
      <c r="I28" s="129" t="s">
        <v>276</v>
      </c>
      <c r="J28" s="128"/>
      <c r="K28" s="600"/>
      <c r="L28" s="88" t="s">
        <v>207</v>
      </c>
      <c r="M28" s="129" t="s">
        <v>277</v>
      </c>
      <c r="N28" s="88" t="s">
        <v>195</v>
      </c>
      <c r="O28" s="146"/>
      <c r="P28" s="129" t="s">
        <v>278</v>
      </c>
      <c r="Q28" s="34" t="s">
        <v>132</v>
      </c>
      <c r="R28" s="336" t="s">
        <v>279</v>
      </c>
      <c r="S28" s="372" t="s">
        <v>280</v>
      </c>
    </row>
    <row r="29" spans="1:35" ht="100.15" customHeight="1" x14ac:dyDescent="0.25">
      <c r="A29" s="650" t="s">
        <v>185</v>
      </c>
      <c r="B29" s="645">
        <f>F29</f>
        <v>11764705.882352941</v>
      </c>
      <c r="C29" s="645">
        <v>10000000</v>
      </c>
      <c r="D29" s="636" t="s">
        <v>281</v>
      </c>
      <c r="E29" s="642">
        <f>C29/0.85*0.15</f>
        <v>1764705.882352941</v>
      </c>
      <c r="F29" s="653">
        <f>C29+E29</f>
        <v>11764705.882352941</v>
      </c>
      <c r="G29" s="645">
        <f>F29</f>
        <v>11764705.882352941</v>
      </c>
      <c r="H29" s="36" t="s">
        <v>282</v>
      </c>
      <c r="I29" s="36" t="s">
        <v>283</v>
      </c>
      <c r="J29" s="634" t="s">
        <v>139</v>
      </c>
      <c r="K29" s="636" t="s">
        <v>17</v>
      </c>
      <c r="L29" s="27" t="s">
        <v>284</v>
      </c>
      <c r="M29" s="142" t="s">
        <v>119</v>
      </c>
      <c r="N29" s="142" t="s">
        <v>195</v>
      </c>
      <c r="O29" s="49">
        <v>1</v>
      </c>
      <c r="P29" s="27" t="s">
        <v>126</v>
      </c>
      <c r="Q29" s="27" t="s">
        <v>132</v>
      </c>
      <c r="R29" s="337" t="s">
        <v>285</v>
      </c>
      <c r="S29" s="371"/>
    </row>
    <row r="30" spans="1:35" ht="123" customHeight="1" thickBot="1" x14ac:dyDescent="0.3">
      <c r="A30" s="651"/>
      <c r="B30" s="614"/>
      <c r="C30" s="614"/>
      <c r="D30" s="600"/>
      <c r="E30" s="652"/>
      <c r="F30" s="654"/>
      <c r="G30" s="614"/>
      <c r="H30" s="95" t="s">
        <v>205</v>
      </c>
      <c r="I30" s="95" t="s">
        <v>286</v>
      </c>
      <c r="J30" s="655"/>
      <c r="K30" s="600"/>
      <c r="L30" s="71" t="s">
        <v>287</v>
      </c>
      <c r="M30" s="143">
        <f>227059</f>
        <v>227059</v>
      </c>
      <c r="N30" s="313" t="s">
        <v>195</v>
      </c>
      <c r="O30" s="72" t="s">
        <v>120</v>
      </c>
      <c r="P30" s="72">
        <f>950000</f>
        <v>950000</v>
      </c>
      <c r="Q30" s="102" t="s">
        <v>288</v>
      </c>
      <c r="R30" s="338" t="s">
        <v>289</v>
      </c>
      <c r="S30" s="370"/>
    </row>
    <row r="31" spans="1:35" x14ac:dyDescent="0.25">
      <c r="C31" s="17">
        <f>C8+C12+C16+C18+C21+C24+C27+C29</f>
        <v>401137347</v>
      </c>
    </row>
    <row r="32" spans="1:35" x14ac:dyDescent="0.25">
      <c r="B32" s="17"/>
    </row>
    <row r="34" spans="1:23" ht="45.75" thickBot="1" x14ac:dyDescent="0.3">
      <c r="A34" s="76" t="s">
        <v>290</v>
      </c>
      <c r="B34" s="11" t="s">
        <v>291</v>
      </c>
      <c r="C34" s="76" t="s">
        <v>292</v>
      </c>
      <c r="D34" s="76" t="s">
        <v>293</v>
      </c>
      <c r="E34" s="76" t="s">
        <v>3</v>
      </c>
      <c r="F34" s="76" t="s">
        <v>2</v>
      </c>
      <c r="G34" s="76" t="s">
        <v>294</v>
      </c>
      <c r="H34" s="76" t="s">
        <v>295</v>
      </c>
      <c r="I34" s="76" t="s">
        <v>296</v>
      </c>
      <c r="J34" s="13"/>
      <c r="K34" s="12"/>
      <c r="N34" s="15"/>
      <c r="O34" s="15"/>
      <c r="T34" s="17"/>
      <c r="V34" s="17"/>
    </row>
    <row r="35" spans="1:23" s="110" customFormat="1" ht="73.900000000000006" customHeight="1" x14ac:dyDescent="0.25">
      <c r="A35" s="103" t="s">
        <v>193</v>
      </c>
      <c r="B35" s="104" t="s">
        <v>194</v>
      </c>
      <c r="C35" s="393" t="s">
        <v>168</v>
      </c>
      <c r="D35" s="105">
        <f>M8+M12</f>
        <v>9</v>
      </c>
      <c r="E35" s="106" t="s">
        <v>297</v>
      </c>
      <c r="F35" s="107" t="s">
        <v>17</v>
      </c>
      <c r="G35" s="108">
        <v>2021</v>
      </c>
      <c r="H35" s="109">
        <f>O8+O12</f>
        <v>0</v>
      </c>
      <c r="I35" s="109">
        <f>P8+P12</f>
        <v>160</v>
      </c>
      <c r="T35" s="111"/>
      <c r="U35" s="111"/>
      <c r="V35" s="111"/>
      <c r="W35" s="366"/>
    </row>
    <row r="36" spans="1:23" s="110" customFormat="1" ht="90" x14ac:dyDescent="0.25">
      <c r="A36" s="115" t="s">
        <v>199</v>
      </c>
      <c r="B36" s="115" t="s">
        <v>200</v>
      </c>
      <c r="C36" s="118" t="s">
        <v>201</v>
      </c>
      <c r="D36" s="119">
        <f>M9+M13</f>
        <v>9391.6666666666661</v>
      </c>
      <c r="E36" s="108" t="s">
        <v>297</v>
      </c>
      <c r="F36" s="108" t="s">
        <v>17</v>
      </c>
      <c r="G36" s="108">
        <v>2021</v>
      </c>
      <c r="H36" s="109">
        <f>O9+O13</f>
        <v>0</v>
      </c>
      <c r="I36" s="109">
        <f>P9+P13</f>
        <v>17000</v>
      </c>
      <c r="T36" s="111"/>
      <c r="U36" s="111"/>
      <c r="V36" s="111"/>
      <c r="W36" s="366"/>
    </row>
    <row r="37" spans="1:23" s="110" customFormat="1" ht="75" x14ac:dyDescent="0.25">
      <c r="A37" s="112" t="s">
        <v>210</v>
      </c>
      <c r="B37" s="113" t="s">
        <v>298</v>
      </c>
      <c r="C37" s="114" t="s">
        <v>299</v>
      </c>
      <c r="D37" s="109">
        <f>M10+M14</f>
        <v>3.1</v>
      </c>
      <c r="E37" s="108" t="s">
        <v>297</v>
      </c>
      <c r="F37" s="108" t="s">
        <v>17</v>
      </c>
      <c r="G37" s="108">
        <v>2021</v>
      </c>
      <c r="H37" s="109" t="e">
        <f>O10+M14</f>
        <v>#VALUE!</v>
      </c>
      <c r="I37" s="109">
        <f>P11+P14</f>
        <v>12.997147058823529</v>
      </c>
      <c r="U37" s="111"/>
      <c r="W37" s="366"/>
    </row>
    <row r="38" spans="1:23" s="110" customFormat="1" ht="75.599999999999994" customHeight="1" x14ac:dyDescent="0.25">
      <c r="A38" s="112" t="s">
        <v>205</v>
      </c>
      <c r="B38" s="122" t="s">
        <v>224</v>
      </c>
      <c r="C38" s="108" t="s">
        <v>299</v>
      </c>
      <c r="D38" s="314">
        <f>M10+M15</f>
        <v>5</v>
      </c>
      <c r="E38" s="108" t="s">
        <v>297</v>
      </c>
      <c r="F38" s="108" t="s">
        <v>17</v>
      </c>
      <c r="G38" s="108">
        <v>2021</v>
      </c>
      <c r="H38" s="108"/>
      <c r="I38" s="123">
        <f>P10+P15</f>
        <v>3.4888880000000002</v>
      </c>
      <c r="U38" s="111"/>
      <c r="W38" s="366"/>
    </row>
    <row r="39" spans="1:23" s="110" customFormat="1" ht="90" x14ac:dyDescent="0.25">
      <c r="A39" s="115" t="s">
        <v>205</v>
      </c>
      <c r="B39" s="115" t="s">
        <v>228</v>
      </c>
      <c r="C39" s="108" t="s">
        <v>229</v>
      </c>
      <c r="D39" s="116" t="str">
        <f>M16</f>
        <v>35</v>
      </c>
      <c r="E39" s="108" t="s">
        <v>297</v>
      </c>
      <c r="F39" s="108" t="s">
        <v>17</v>
      </c>
      <c r="G39" s="108">
        <v>2021</v>
      </c>
      <c r="H39" s="108" t="s">
        <v>120</v>
      </c>
      <c r="I39" s="121" t="str">
        <f>P16</f>
        <v>36</v>
      </c>
      <c r="U39" s="111"/>
      <c r="W39" s="366"/>
    </row>
    <row r="40" spans="1:23" s="110" customFormat="1" ht="60" x14ac:dyDescent="0.25">
      <c r="A40" s="115" t="s">
        <v>210</v>
      </c>
      <c r="B40" s="115" t="s">
        <v>234</v>
      </c>
      <c r="C40" s="108" t="s">
        <v>235</v>
      </c>
      <c r="D40" s="116" t="str">
        <f>M17</f>
        <v>0</v>
      </c>
      <c r="E40" s="108" t="s">
        <v>297</v>
      </c>
      <c r="F40" s="108" t="s">
        <v>17</v>
      </c>
      <c r="G40" s="108">
        <v>2021</v>
      </c>
      <c r="H40" s="108" t="s">
        <v>120</v>
      </c>
      <c r="I40" s="116" t="str">
        <f>P17</f>
        <v>1</v>
      </c>
      <c r="U40" s="111"/>
      <c r="W40" s="366"/>
    </row>
    <row r="41" spans="1:23" s="110" customFormat="1" ht="45" x14ac:dyDescent="0.25">
      <c r="A41" s="117" t="s">
        <v>239</v>
      </c>
      <c r="B41" s="114" t="s">
        <v>240</v>
      </c>
      <c r="C41" s="108" t="s">
        <v>168</v>
      </c>
      <c r="D41" s="116" t="str">
        <f>M18</f>
        <v>0</v>
      </c>
      <c r="E41" s="108" t="s">
        <v>297</v>
      </c>
      <c r="F41" s="108" t="s">
        <v>17</v>
      </c>
      <c r="G41" s="108">
        <v>2021</v>
      </c>
      <c r="H41" s="107">
        <f>O18</f>
        <v>2.05584448627451</v>
      </c>
      <c r="I41" s="107">
        <f>P18</f>
        <v>10.279222431372549</v>
      </c>
      <c r="U41" s="111"/>
      <c r="W41" s="366"/>
    </row>
    <row r="42" spans="1:23" s="110" customFormat="1" ht="60.6" customHeight="1" x14ac:dyDescent="0.25">
      <c r="A42" s="117" t="s">
        <v>254</v>
      </c>
      <c r="B42" s="114" t="s">
        <v>255</v>
      </c>
      <c r="C42" s="108" t="s">
        <v>300</v>
      </c>
      <c r="D42" s="107">
        <f>M21+M24</f>
        <v>8.92</v>
      </c>
      <c r="E42" s="108" t="s">
        <v>297</v>
      </c>
      <c r="F42" s="108" t="s">
        <v>17</v>
      </c>
      <c r="G42" s="107">
        <v>2021</v>
      </c>
      <c r="H42" s="107">
        <f>O21+O24</f>
        <v>6.4211442534315299</v>
      </c>
      <c r="I42" s="107">
        <f>P21+P24</f>
        <v>32.105721267157648</v>
      </c>
      <c r="U42" s="111"/>
      <c r="W42" s="366"/>
    </row>
    <row r="43" spans="1:23" s="110" customFormat="1" ht="75" x14ac:dyDescent="0.25">
      <c r="A43" s="115" t="s">
        <v>243</v>
      </c>
      <c r="B43" s="115" t="s">
        <v>244</v>
      </c>
      <c r="C43" s="114" t="s">
        <v>258</v>
      </c>
      <c r="D43" s="109">
        <f>M19+M22+M25</f>
        <v>204396308</v>
      </c>
      <c r="E43" s="108" t="s">
        <v>297</v>
      </c>
      <c r="F43" s="108" t="s">
        <v>17</v>
      </c>
      <c r="G43" s="108">
        <v>2021</v>
      </c>
      <c r="H43" s="108" t="s">
        <v>120</v>
      </c>
      <c r="I43" s="109">
        <f>P19+P22+P25</f>
        <v>279696575</v>
      </c>
      <c r="U43" s="111"/>
      <c r="W43" s="366"/>
    </row>
    <row r="44" spans="1:23" s="110" customFormat="1" ht="45" x14ac:dyDescent="0.25">
      <c r="A44" s="120" t="s">
        <v>248</v>
      </c>
      <c r="B44" s="115" t="s">
        <v>249</v>
      </c>
      <c r="C44" s="114" t="s">
        <v>250</v>
      </c>
      <c r="D44" s="109">
        <f>M20+M23+M26</f>
        <v>2522726</v>
      </c>
      <c r="E44" s="108" t="s">
        <v>297</v>
      </c>
      <c r="F44" s="108" t="s">
        <v>17</v>
      </c>
      <c r="G44" s="108">
        <v>2021</v>
      </c>
      <c r="H44" s="108" t="s">
        <v>120</v>
      </c>
      <c r="I44" s="109">
        <f>P20+P23+P26</f>
        <v>682203</v>
      </c>
      <c r="U44" s="111"/>
      <c r="W44" s="366"/>
    </row>
    <row r="45" spans="1:23" s="110" customFormat="1" ht="60" x14ac:dyDescent="0.25">
      <c r="A45" s="115" t="s">
        <v>273</v>
      </c>
      <c r="B45" s="115" t="s">
        <v>274</v>
      </c>
      <c r="C45" s="108" t="s">
        <v>301</v>
      </c>
      <c r="D45" s="116" t="str">
        <f>M27</f>
        <v>0</v>
      </c>
      <c r="E45" s="108" t="s">
        <v>297</v>
      </c>
      <c r="F45" s="108" t="s">
        <v>17</v>
      </c>
      <c r="G45" s="108">
        <v>2021</v>
      </c>
      <c r="H45" s="109">
        <f>O27</f>
        <v>13.600000000000001</v>
      </c>
      <c r="I45" s="107">
        <f>P27</f>
        <v>68</v>
      </c>
      <c r="U45" s="111"/>
      <c r="W45" s="366"/>
    </row>
    <row r="46" spans="1:23" s="110" customFormat="1" ht="60" x14ac:dyDescent="0.25">
      <c r="A46" s="115" t="s">
        <v>282</v>
      </c>
      <c r="B46" s="115" t="s">
        <v>283</v>
      </c>
      <c r="C46" s="114" t="s">
        <v>284</v>
      </c>
      <c r="D46" s="116" t="str">
        <f>M29</f>
        <v>0</v>
      </c>
      <c r="E46" s="108" t="s">
        <v>297</v>
      </c>
      <c r="F46" s="108" t="s">
        <v>17</v>
      </c>
      <c r="G46" s="108">
        <v>2021</v>
      </c>
      <c r="H46" s="109">
        <f t="shared" ref="H46:I47" si="0">O29</f>
        <v>1</v>
      </c>
      <c r="I46" s="109" t="str">
        <f t="shared" si="0"/>
        <v>2</v>
      </c>
      <c r="U46" s="111"/>
      <c r="W46" s="366"/>
    </row>
    <row r="47" spans="1:23" s="110" customFormat="1" ht="46.15" customHeight="1" x14ac:dyDescent="0.25">
      <c r="A47" s="114" t="s">
        <v>273</v>
      </c>
      <c r="B47" s="114" t="s">
        <v>302</v>
      </c>
      <c r="C47" s="114" t="s">
        <v>287</v>
      </c>
      <c r="D47" s="116">
        <f>M30</f>
        <v>227059</v>
      </c>
      <c r="E47" s="108" t="s">
        <v>297</v>
      </c>
      <c r="F47" s="108" t="s">
        <v>17</v>
      </c>
      <c r="G47" s="108">
        <v>2022</v>
      </c>
      <c r="H47" s="109" t="str">
        <f t="shared" si="0"/>
        <v>n/a</v>
      </c>
      <c r="I47" s="109">
        <f t="shared" si="0"/>
        <v>950000</v>
      </c>
      <c r="U47" s="111"/>
      <c r="W47" s="366"/>
    </row>
    <row r="48" spans="1:23" x14ac:dyDescent="0.25">
      <c r="A48" s="81"/>
      <c r="B48" s="81"/>
      <c r="C48" s="81"/>
      <c r="D48" s="81"/>
      <c r="E48" s="81"/>
      <c r="F48" s="81"/>
      <c r="G48" s="81"/>
      <c r="H48" s="81"/>
      <c r="I48" s="81"/>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sheetData>
  <mergeCells count="72">
    <mergeCell ref="J12:J15"/>
    <mergeCell ref="K12:K15"/>
    <mergeCell ref="J16:J17"/>
    <mergeCell ref="G8:G11"/>
    <mergeCell ref="D16:D17"/>
    <mergeCell ref="E16:E17"/>
    <mergeCell ref="F16:F17"/>
    <mergeCell ref="G16:G17"/>
    <mergeCell ref="F12:F15"/>
    <mergeCell ref="G12:G15"/>
    <mergeCell ref="G29:G30"/>
    <mergeCell ref="J29:J30"/>
    <mergeCell ref="K29:K30"/>
    <mergeCell ref="D8:D11"/>
    <mergeCell ref="E8:E11"/>
    <mergeCell ref="J24:J26"/>
    <mergeCell ref="K24:K26"/>
    <mergeCell ref="K16:K17"/>
    <mergeCell ref="G18:G20"/>
    <mergeCell ref="J18:J20"/>
    <mergeCell ref="K18:K20"/>
    <mergeCell ref="G21:G23"/>
    <mergeCell ref="J21:J23"/>
    <mergeCell ref="K21:K23"/>
    <mergeCell ref="G24:G26"/>
    <mergeCell ref="E24:E26"/>
    <mergeCell ref="A29:A30"/>
    <mergeCell ref="C29:C30"/>
    <mergeCell ref="D29:D30"/>
    <mergeCell ref="E29:E30"/>
    <mergeCell ref="F29:F30"/>
    <mergeCell ref="B29:B30"/>
    <mergeCell ref="F24:F26"/>
    <mergeCell ref="A18:A27"/>
    <mergeCell ref="C18:C20"/>
    <mergeCell ref="D18:D20"/>
    <mergeCell ref="B18:B27"/>
    <mergeCell ref="C24:C26"/>
    <mergeCell ref="D24:D26"/>
    <mergeCell ref="E18:E20"/>
    <mergeCell ref="F18:F20"/>
    <mergeCell ref="C21:C23"/>
    <mergeCell ref="D21:D23"/>
    <mergeCell ref="E21:E23"/>
    <mergeCell ref="F21:F23"/>
    <mergeCell ref="Q6:Q7"/>
    <mergeCell ref="R6:R7"/>
    <mergeCell ref="P6:P7"/>
    <mergeCell ref="J8:J11"/>
    <mergeCell ref="K8:K11"/>
    <mergeCell ref="H6:I6"/>
    <mergeCell ref="J6:J7"/>
    <mergeCell ref="M6:N6"/>
    <mergeCell ref="O6:O7"/>
    <mergeCell ref="L6:L7"/>
    <mergeCell ref="K6:K7"/>
    <mergeCell ref="K27:K28"/>
    <mergeCell ref="A6:A7"/>
    <mergeCell ref="C6:C7"/>
    <mergeCell ref="G6:G7"/>
    <mergeCell ref="A8:A17"/>
    <mergeCell ref="C8:C11"/>
    <mergeCell ref="F8:F11"/>
    <mergeCell ref="C16:C17"/>
    <mergeCell ref="B8:B11"/>
    <mergeCell ref="B12:B15"/>
    <mergeCell ref="B16:B17"/>
    <mergeCell ref="D6:F6"/>
    <mergeCell ref="B6:B7"/>
    <mergeCell ref="C12:C15"/>
    <mergeCell ref="D12:D15"/>
    <mergeCell ref="E12:E1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6"/>
  <sheetViews>
    <sheetView topLeftCell="A22" zoomScale="55" zoomScaleNormal="55" workbookViewId="0">
      <selection activeCell="I38" sqref="I38"/>
    </sheetView>
  </sheetViews>
  <sheetFormatPr defaultRowHeight="15" x14ac:dyDescent="0.25"/>
  <cols>
    <col min="1" max="1" width="20.42578125" customWidth="1"/>
    <col min="2" max="2" width="16.140625" customWidth="1"/>
    <col min="3" max="3" width="15.42578125" customWidth="1"/>
    <col min="4" max="4" width="22.140625" customWidth="1"/>
    <col min="5" max="5" width="16" customWidth="1"/>
    <col min="6" max="6" width="18" customWidth="1"/>
    <col min="7" max="7" width="16.7109375" customWidth="1"/>
    <col min="8" max="8" width="16.85546875" customWidth="1"/>
    <col min="9" max="9" width="18.7109375" customWidth="1"/>
    <col min="10" max="10" width="14.7109375" customWidth="1"/>
    <col min="11" max="11" width="15.28515625" customWidth="1"/>
    <col min="12" max="12" width="14.85546875" customWidth="1"/>
    <col min="13" max="13" width="16" customWidth="1"/>
    <col min="14" max="14" width="12" customWidth="1"/>
    <col min="15" max="15" width="16.7109375" customWidth="1"/>
    <col min="16" max="16" width="16.42578125" customWidth="1"/>
    <col min="17" max="17" width="31.140625" customWidth="1"/>
    <col min="18" max="18" width="83.28515625" customWidth="1"/>
    <col min="19" max="19" width="57.28515625" style="319" customWidth="1"/>
    <col min="20" max="20" width="18.28515625" bestFit="1" customWidth="1"/>
    <col min="22" max="22" width="35.28515625" customWidth="1"/>
  </cols>
  <sheetData>
    <row r="1" spans="1:37" x14ac:dyDescent="0.25">
      <c r="A1" s="9" t="s">
        <v>303</v>
      </c>
      <c r="B1" s="9"/>
      <c r="L1" s="29" t="s">
        <v>304</v>
      </c>
      <c r="S1" s="394"/>
    </row>
    <row r="2" spans="1:37" x14ac:dyDescent="0.25">
      <c r="A2" t="s">
        <v>305</v>
      </c>
      <c r="S2" s="394"/>
    </row>
    <row r="3" spans="1:37" x14ac:dyDescent="0.25">
      <c r="A3" s="52" t="s">
        <v>306</v>
      </c>
      <c r="S3" s="394"/>
    </row>
    <row r="4" spans="1:37" ht="15.75" thickBot="1" x14ac:dyDescent="0.3">
      <c r="A4" t="s">
        <v>186</v>
      </c>
      <c r="S4" s="394"/>
    </row>
    <row r="5" spans="1:37" ht="15" customHeight="1" x14ac:dyDescent="0.25">
      <c r="A5" s="601" t="s">
        <v>91</v>
      </c>
      <c r="B5" s="617" t="s">
        <v>187</v>
      </c>
      <c r="C5" s="603" t="s">
        <v>93</v>
      </c>
      <c r="D5" s="615" t="s">
        <v>94</v>
      </c>
      <c r="E5" s="616"/>
      <c r="F5" s="616"/>
      <c r="G5" s="601" t="s">
        <v>188</v>
      </c>
      <c r="H5" s="626" t="s">
        <v>96</v>
      </c>
      <c r="I5" s="626"/>
      <c r="J5" s="627" t="s">
        <v>97</v>
      </c>
      <c r="K5" s="629" t="s">
        <v>98</v>
      </c>
      <c r="L5" s="627" t="s">
        <v>99</v>
      </c>
      <c r="M5" s="616" t="s">
        <v>100</v>
      </c>
      <c r="N5" s="628"/>
      <c r="O5" s="627" t="s">
        <v>180</v>
      </c>
      <c r="P5" s="627" t="s">
        <v>102</v>
      </c>
      <c r="Q5" s="627" t="s">
        <v>103</v>
      </c>
      <c r="R5" s="632" t="s">
        <v>104</v>
      </c>
      <c r="S5" s="394"/>
    </row>
    <row r="6" spans="1:37" ht="30.75" thickBot="1" x14ac:dyDescent="0.3">
      <c r="A6" s="602"/>
      <c r="B6" s="618"/>
      <c r="C6" s="604"/>
      <c r="D6" s="1" t="s">
        <v>105</v>
      </c>
      <c r="E6" s="6" t="s">
        <v>106</v>
      </c>
      <c r="F6" s="5" t="s">
        <v>107</v>
      </c>
      <c r="G6" s="602"/>
      <c r="H6" s="1" t="s">
        <v>307</v>
      </c>
      <c r="I6" s="2" t="s">
        <v>308</v>
      </c>
      <c r="J6" s="631"/>
      <c r="K6" s="630"/>
      <c r="L6" s="618"/>
      <c r="M6" s="2" t="s">
        <v>110</v>
      </c>
      <c r="N6" s="2" t="s">
        <v>191</v>
      </c>
      <c r="O6" s="618"/>
      <c r="P6" s="618"/>
      <c r="Q6" s="631"/>
      <c r="R6" s="633"/>
      <c r="S6" s="394"/>
    </row>
    <row r="7" spans="1:37" s="19" customFormat="1" ht="147.6" customHeight="1" x14ac:dyDescent="0.2">
      <c r="A7" s="599" t="s">
        <v>305</v>
      </c>
      <c r="B7" s="607">
        <f>F7+F12</f>
        <v>115245588.23529413</v>
      </c>
      <c r="C7" s="323">
        <f>'Intervencijų lėšos (2)'!J25</f>
        <v>87958750</v>
      </c>
      <c r="D7" s="395" t="s">
        <v>309</v>
      </c>
      <c r="E7" s="322">
        <f>C7/0.85*0.15</f>
        <v>15522132.352941178</v>
      </c>
      <c r="F7" s="323">
        <f>C7+E7</f>
        <v>103480882.35294119</v>
      </c>
      <c r="G7" s="323">
        <f>F7</f>
        <v>103480882.35294119</v>
      </c>
      <c r="H7" s="25" t="s">
        <v>310</v>
      </c>
      <c r="I7" s="37" t="s">
        <v>311</v>
      </c>
      <c r="J7" s="667" t="s">
        <v>312</v>
      </c>
      <c r="K7" s="647" t="s">
        <v>117</v>
      </c>
      <c r="L7" s="27" t="s">
        <v>168</v>
      </c>
      <c r="M7" s="27" t="s">
        <v>119</v>
      </c>
      <c r="N7" s="27" t="s">
        <v>195</v>
      </c>
      <c r="O7" s="28">
        <f>P7*0.2</f>
        <v>15.98986594117647</v>
      </c>
      <c r="P7" s="321">
        <f>G7*0.7726/1000000</f>
        <v>79.949329705882349</v>
      </c>
      <c r="Q7" s="36" t="s">
        <v>132</v>
      </c>
      <c r="R7" s="126" t="s">
        <v>313</v>
      </c>
      <c r="S7" s="324" t="s">
        <v>314</v>
      </c>
      <c r="T7" s="18"/>
      <c r="U7" s="80"/>
      <c r="V7" s="18"/>
      <c r="W7" s="18"/>
      <c r="X7" s="18"/>
      <c r="Y7" s="18"/>
      <c r="Z7" s="18"/>
      <c r="AA7" s="18"/>
    </row>
    <row r="8" spans="1:37" s="19" customFormat="1" ht="109.9" customHeight="1" x14ac:dyDescent="0.25">
      <c r="A8" s="622"/>
      <c r="B8" s="608"/>
      <c r="C8" s="305"/>
      <c r="D8" s="306"/>
      <c r="E8" s="307"/>
      <c r="F8" s="305"/>
      <c r="G8" s="305"/>
      <c r="H8" s="25" t="s">
        <v>243</v>
      </c>
      <c r="I8" s="37" t="s">
        <v>244</v>
      </c>
      <c r="J8" s="667"/>
      <c r="K8" s="647"/>
      <c r="L8" s="34" t="s">
        <v>315</v>
      </c>
      <c r="M8" s="16">
        <f>688*79.95*1.74*365</f>
        <v>34934056.559999995</v>
      </c>
      <c r="N8" s="34" t="s">
        <v>195</v>
      </c>
      <c r="O8" s="16">
        <v>0</v>
      </c>
      <c r="P8" s="16">
        <f>726*79.95*1.74*365</f>
        <v>36863553.869999997</v>
      </c>
      <c r="Q8" s="34" t="s">
        <v>132</v>
      </c>
      <c r="R8" s="97" t="s">
        <v>316</v>
      </c>
      <c r="S8" s="396" t="s">
        <v>261</v>
      </c>
      <c r="T8" s="80"/>
      <c r="U8" s="18"/>
      <c r="V8" s="18"/>
      <c r="W8" s="18"/>
      <c r="X8" s="18"/>
      <c r="Y8" s="18"/>
      <c r="Z8" s="18"/>
      <c r="AA8" s="18"/>
    </row>
    <row r="9" spans="1:37" s="19" customFormat="1" ht="169.15" customHeight="1" x14ac:dyDescent="0.2">
      <c r="A9" s="622"/>
      <c r="B9" s="608"/>
      <c r="C9" s="305"/>
      <c r="D9" s="306"/>
      <c r="E9" s="307"/>
      <c r="F9" s="305"/>
      <c r="G9" s="305"/>
      <c r="H9" s="25" t="s">
        <v>248</v>
      </c>
      <c r="I9" s="37" t="s">
        <v>249</v>
      </c>
      <c r="J9" s="667"/>
      <c r="K9" s="647"/>
      <c r="L9" s="34" t="s">
        <v>317</v>
      </c>
      <c r="M9" s="304">
        <f>(79.95/71.16)*1.74*688*365</f>
        <v>490922.66104553122</v>
      </c>
      <c r="N9" s="145" t="s">
        <v>195</v>
      </c>
      <c r="O9" s="16">
        <v>0</v>
      </c>
      <c r="P9" s="304">
        <f>(79.95/71.16-79.95/89.32)*1.74*726*365</f>
        <v>105324.2540351722</v>
      </c>
      <c r="Q9" s="37" t="s">
        <v>132</v>
      </c>
      <c r="R9" s="53" t="s">
        <v>318</v>
      </c>
      <c r="S9" s="325" t="s">
        <v>264</v>
      </c>
      <c r="T9" s="18"/>
      <c r="U9" s="18"/>
      <c r="V9" s="18"/>
      <c r="W9" s="18"/>
      <c r="X9" s="18"/>
      <c r="Y9" s="18"/>
      <c r="Z9" s="18"/>
      <c r="AA9" s="18"/>
    </row>
    <row r="10" spans="1:37" s="20" customFormat="1" ht="158.44999999999999" customHeight="1" x14ac:dyDescent="0.25">
      <c r="A10" s="622"/>
      <c r="B10" s="608"/>
      <c r="C10" s="305"/>
      <c r="D10" s="306"/>
      <c r="E10" s="307"/>
      <c r="F10" s="305"/>
      <c r="G10" s="305"/>
      <c r="H10" s="37" t="s">
        <v>210</v>
      </c>
      <c r="I10" s="37" t="s">
        <v>319</v>
      </c>
      <c r="J10" s="667"/>
      <c r="K10" s="647"/>
      <c r="L10" s="33" t="s">
        <v>135</v>
      </c>
      <c r="M10" s="37" t="s">
        <v>119</v>
      </c>
      <c r="N10" s="145" t="s">
        <v>195</v>
      </c>
      <c r="O10" s="96">
        <f>P10*0.2</f>
        <v>2.8000000000000003</v>
      </c>
      <c r="P10" s="37" t="s">
        <v>320</v>
      </c>
      <c r="Q10" s="37" t="s">
        <v>132</v>
      </c>
      <c r="R10" s="53" t="s">
        <v>321</v>
      </c>
      <c r="S10" s="326" t="s">
        <v>322</v>
      </c>
      <c r="T10" s="144"/>
      <c r="U10" s="18"/>
      <c r="V10" s="18"/>
      <c r="W10" s="18"/>
      <c r="X10" s="18"/>
      <c r="Y10" s="18"/>
      <c r="Z10" s="18"/>
      <c r="AA10" s="18"/>
      <c r="AB10" s="19"/>
      <c r="AC10" s="19"/>
      <c r="AD10" s="19"/>
      <c r="AE10" s="19"/>
      <c r="AF10" s="19"/>
      <c r="AG10" s="19"/>
      <c r="AH10" s="19"/>
      <c r="AI10" s="19"/>
      <c r="AJ10" s="19"/>
      <c r="AK10" s="19"/>
    </row>
    <row r="11" spans="1:37" s="20" customFormat="1" ht="96.6" customHeight="1" x14ac:dyDescent="0.2">
      <c r="A11" s="622"/>
      <c r="B11" s="608"/>
      <c r="C11" s="305"/>
      <c r="D11" s="306"/>
      <c r="E11" s="307"/>
      <c r="F11" s="305"/>
      <c r="G11" s="305"/>
      <c r="H11" s="37" t="s">
        <v>205</v>
      </c>
      <c r="I11" s="37" t="s">
        <v>323</v>
      </c>
      <c r="J11" s="667"/>
      <c r="K11" s="647"/>
      <c r="L11" s="82" t="s">
        <v>324</v>
      </c>
      <c r="M11" s="37" t="s">
        <v>277</v>
      </c>
      <c r="N11" s="34" t="s">
        <v>195</v>
      </c>
      <c r="O11" s="34" t="s">
        <v>120</v>
      </c>
      <c r="P11" s="37" t="s">
        <v>278</v>
      </c>
      <c r="Q11" s="37" t="s">
        <v>132</v>
      </c>
      <c r="R11" s="53" t="s">
        <v>325</v>
      </c>
      <c r="S11" s="325" t="s">
        <v>280</v>
      </c>
      <c r="T11" s="73"/>
      <c r="U11" s="18"/>
      <c r="V11" s="18"/>
      <c r="W11" s="18"/>
      <c r="X11" s="18"/>
      <c r="Y11" s="18"/>
      <c r="Z11" s="18"/>
      <c r="AA11" s="18"/>
      <c r="AB11" s="19"/>
      <c r="AC11" s="19"/>
      <c r="AD11" s="19"/>
      <c r="AE11" s="19"/>
      <c r="AF11" s="19"/>
      <c r="AG11" s="19"/>
      <c r="AH11" s="19"/>
      <c r="AI11" s="19"/>
      <c r="AJ11" s="19"/>
      <c r="AK11" s="19"/>
    </row>
    <row r="12" spans="1:37" s="20" customFormat="1" ht="118.9" customHeight="1" x14ac:dyDescent="0.2">
      <c r="A12" s="622"/>
      <c r="B12" s="608"/>
      <c r="C12" s="665">
        <f>'Intervencijų lėšos (2)'!J26</f>
        <v>10000000</v>
      </c>
      <c r="D12" s="647" t="s">
        <v>326</v>
      </c>
      <c r="E12" s="666">
        <f>C12/0.85*0.15</f>
        <v>1764705.882352941</v>
      </c>
      <c r="F12" s="665">
        <f>C12+E12</f>
        <v>11764705.882352941</v>
      </c>
      <c r="G12" s="665">
        <f>F12</f>
        <v>11764705.882352941</v>
      </c>
      <c r="H12" s="25" t="s">
        <v>327</v>
      </c>
      <c r="I12" s="37" t="s">
        <v>328</v>
      </c>
      <c r="J12" s="667"/>
      <c r="K12" s="647"/>
      <c r="L12" s="34" t="s">
        <v>168</v>
      </c>
      <c r="M12" s="37" t="s">
        <v>119</v>
      </c>
      <c r="N12" s="34" t="s">
        <v>195</v>
      </c>
      <c r="O12" s="78">
        <f>P12*0.5</f>
        <v>19.61</v>
      </c>
      <c r="P12" s="78">
        <v>39.22</v>
      </c>
      <c r="Q12" s="37" t="s">
        <v>132</v>
      </c>
      <c r="R12" s="397" t="s">
        <v>329</v>
      </c>
      <c r="S12" s="320" t="s">
        <v>330</v>
      </c>
      <c r="T12" s="73"/>
      <c r="U12" s="18"/>
      <c r="V12" s="18"/>
      <c r="W12" s="18"/>
      <c r="X12" s="18"/>
      <c r="Y12" s="18"/>
      <c r="Z12" s="18"/>
      <c r="AA12" s="18"/>
      <c r="AB12" s="19"/>
      <c r="AC12" s="19"/>
      <c r="AD12" s="19"/>
      <c r="AE12" s="19"/>
      <c r="AF12" s="19"/>
      <c r="AG12" s="19"/>
      <c r="AH12" s="19"/>
      <c r="AI12" s="19"/>
      <c r="AJ12" s="19"/>
      <c r="AK12" s="19"/>
    </row>
    <row r="13" spans="1:37" s="20" customFormat="1" ht="139.9" customHeight="1" thickBot="1" x14ac:dyDescent="0.25">
      <c r="A13" s="623"/>
      <c r="B13" s="620"/>
      <c r="C13" s="665"/>
      <c r="D13" s="647"/>
      <c r="E13" s="666"/>
      <c r="F13" s="665"/>
      <c r="G13" s="665"/>
      <c r="H13" s="25" t="s">
        <v>331</v>
      </c>
      <c r="I13" s="37" t="s">
        <v>332</v>
      </c>
      <c r="J13" s="667"/>
      <c r="K13" s="647"/>
      <c r="L13" s="38" t="s">
        <v>333</v>
      </c>
      <c r="M13" s="35" t="s">
        <v>119</v>
      </c>
      <c r="N13" s="35" t="s">
        <v>195</v>
      </c>
      <c r="O13" s="35" t="s">
        <v>120</v>
      </c>
      <c r="P13" s="133">
        <f>32500*0.4</f>
        <v>13000</v>
      </c>
      <c r="Q13" s="38" t="s">
        <v>132</v>
      </c>
      <c r="R13" s="310" t="s">
        <v>334</v>
      </c>
      <c r="S13" s="318" t="s">
        <v>335</v>
      </c>
      <c r="T13" s="73"/>
      <c r="U13" s="73"/>
      <c r="V13" s="73"/>
      <c r="W13" s="73"/>
      <c r="X13" s="73"/>
      <c r="Y13" s="73"/>
      <c r="Z13" s="18"/>
      <c r="AA13" s="18"/>
      <c r="AB13" s="19"/>
      <c r="AC13" s="19"/>
      <c r="AD13" s="19"/>
      <c r="AE13" s="19"/>
      <c r="AF13" s="19"/>
      <c r="AG13" s="19"/>
      <c r="AH13" s="19"/>
      <c r="AI13" s="19"/>
      <c r="AJ13" s="19"/>
      <c r="AK13" s="19"/>
    </row>
    <row r="14" spans="1:37" s="20" customFormat="1" ht="51" customHeight="1" x14ac:dyDescent="0.25">
      <c r="A14" s="56"/>
      <c r="B14" s="57"/>
      <c r="C14" s="23">
        <f>C7+C12</f>
        <v>97958750</v>
      </c>
      <c r="D14" s="58"/>
      <c r="E14" s="57"/>
      <c r="F14" s="59"/>
      <c r="G14" s="54"/>
      <c r="H14" s="21"/>
      <c r="I14" s="21"/>
      <c r="J14" s="21"/>
      <c r="K14" s="22"/>
      <c r="L14" s="21"/>
      <c r="M14" s="21"/>
      <c r="N14" s="21"/>
      <c r="O14" s="21"/>
      <c r="P14" s="21"/>
      <c r="Q14" s="55"/>
      <c r="R14" s="18"/>
      <c r="S14" s="398"/>
      <c r="T14" s="18"/>
      <c r="U14" s="18"/>
      <c r="V14" s="18"/>
      <c r="W14" s="18"/>
      <c r="X14" s="18"/>
      <c r="Y14" s="18"/>
      <c r="Z14" s="18"/>
      <c r="AA14" s="19"/>
      <c r="AB14" s="19"/>
      <c r="AC14" s="19"/>
      <c r="AD14" s="19"/>
      <c r="AE14" s="19"/>
      <c r="AF14" s="19"/>
      <c r="AG14" s="19"/>
      <c r="AH14" s="19"/>
      <c r="AI14" s="19"/>
      <c r="AJ14" s="19"/>
    </row>
    <row r="15" spans="1:37" s="20" customFormat="1" ht="51" customHeight="1" x14ac:dyDescent="0.25">
      <c r="A15" s="56"/>
      <c r="B15" s="57"/>
      <c r="C15" s="21"/>
      <c r="D15" s="58"/>
      <c r="E15" s="57"/>
      <c r="F15" s="59"/>
      <c r="G15" s="54"/>
      <c r="H15" s="21"/>
      <c r="I15" s="21"/>
      <c r="J15" s="21"/>
      <c r="K15" s="22"/>
      <c r="L15" s="21"/>
      <c r="M15" s="21"/>
      <c r="N15" s="21"/>
      <c r="O15" s="23"/>
      <c r="P15" s="21"/>
      <c r="Q15" s="84"/>
      <c r="R15" s="73"/>
      <c r="S15" s="398"/>
      <c r="T15" s="18"/>
      <c r="U15" s="18"/>
      <c r="V15" s="18"/>
      <c r="W15" s="18"/>
      <c r="X15" s="18"/>
      <c r="Y15" s="18"/>
      <c r="Z15" s="18"/>
      <c r="AA15" s="19"/>
      <c r="AB15" s="19"/>
      <c r="AC15" s="19"/>
      <c r="AD15" s="19"/>
      <c r="AE15" s="19"/>
      <c r="AF15" s="19"/>
      <c r="AG15" s="19"/>
      <c r="AH15" s="19"/>
      <c r="AI15" s="19"/>
      <c r="AJ15" s="19"/>
    </row>
    <row r="16" spans="1:37" s="20" customFormat="1" ht="51" customHeight="1" x14ac:dyDescent="0.25">
      <c r="A16" s="76" t="s">
        <v>290</v>
      </c>
      <c r="B16" s="11" t="s">
        <v>291</v>
      </c>
      <c r="C16" s="76" t="s">
        <v>292</v>
      </c>
      <c r="D16" s="76" t="s">
        <v>293</v>
      </c>
      <c r="E16" s="76" t="s">
        <v>3</v>
      </c>
      <c r="F16" s="76" t="s">
        <v>2</v>
      </c>
      <c r="G16" s="76" t="s">
        <v>294</v>
      </c>
      <c r="H16" s="76" t="s">
        <v>295</v>
      </c>
      <c r="I16" s="76" t="s">
        <v>296</v>
      </c>
      <c r="J16" s="21"/>
      <c r="K16" s="22"/>
      <c r="L16" s="21"/>
      <c r="M16" s="21"/>
      <c r="N16" s="21"/>
      <c r="O16" s="21"/>
      <c r="P16" s="21"/>
      <c r="Q16" s="84"/>
      <c r="R16" s="18"/>
      <c r="S16" s="398"/>
      <c r="T16" s="18"/>
      <c r="U16" s="18"/>
      <c r="V16" s="18"/>
      <c r="W16" s="18"/>
      <c r="X16" s="18"/>
      <c r="Y16" s="18"/>
      <c r="Z16" s="18"/>
      <c r="AA16" s="19"/>
      <c r="AB16" s="19"/>
      <c r="AC16" s="19"/>
      <c r="AD16" s="19"/>
      <c r="AE16" s="19"/>
      <c r="AF16" s="19"/>
      <c r="AG16" s="19"/>
      <c r="AH16" s="19"/>
      <c r="AI16" s="19"/>
      <c r="AJ16" s="19"/>
    </row>
    <row r="17" spans="1:36" s="20" customFormat="1" ht="61.9" customHeight="1" x14ac:dyDescent="0.25">
      <c r="A17" s="25" t="s">
        <v>310</v>
      </c>
      <c r="B17" s="37" t="s">
        <v>311</v>
      </c>
      <c r="C17" s="399" t="s">
        <v>168</v>
      </c>
      <c r="D17" s="40" t="str">
        <f t="shared" ref="D17:D23" si="0">M7</f>
        <v>0</v>
      </c>
      <c r="E17" s="14" t="s">
        <v>312</v>
      </c>
      <c r="F17" s="77" t="s">
        <v>117</v>
      </c>
      <c r="G17" s="79">
        <v>2021</v>
      </c>
      <c r="H17" s="77">
        <f t="shared" ref="H17:I23" si="1">O7</f>
        <v>15.98986594117647</v>
      </c>
      <c r="I17" s="77">
        <f>P7</f>
        <v>79.949329705882349</v>
      </c>
      <c r="J17" s="21"/>
      <c r="K17" s="22"/>
      <c r="L17" s="21"/>
      <c r="M17" s="21"/>
      <c r="N17" s="23"/>
      <c r="O17" s="21"/>
      <c r="P17" s="21"/>
      <c r="Q17" s="24"/>
      <c r="R17" s="18"/>
      <c r="S17" s="398"/>
      <c r="T17" s="18"/>
      <c r="U17" s="18"/>
      <c r="V17" s="18"/>
      <c r="W17" s="18"/>
      <c r="X17" s="18"/>
      <c r="Y17" s="18"/>
      <c r="Z17" s="18"/>
      <c r="AA17" s="19"/>
      <c r="AB17" s="19"/>
      <c r="AC17" s="19"/>
      <c r="AD17" s="19"/>
      <c r="AE17" s="19"/>
      <c r="AF17" s="19"/>
      <c r="AG17" s="19"/>
      <c r="AH17" s="19"/>
      <c r="AI17" s="19"/>
      <c r="AJ17" s="19"/>
    </row>
    <row r="18" spans="1:36" s="110" customFormat="1" ht="90" x14ac:dyDescent="0.25">
      <c r="A18" s="116" t="s">
        <v>243</v>
      </c>
      <c r="B18" s="115" t="s">
        <v>244</v>
      </c>
      <c r="C18" s="114" t="s">
        <v>315</v>
      </c>
      <c r="D18" s="119">
        <f t="shared" si="0"/>
        <v>34934056.559999995</v>
      </c>
      <c r="E18" s="106" t="s">
        <v>312</v>
      </c>
      <c r="F18" s="107" t="s">
        <v>117</v>
      </c>
      <c r="G18" s="108">
        <v>2021</v>
      </c>
      <c r="H18" s="109">
        <f t="shared" si="1"/>
        <v>0</v>
      </c>
      <c r="I18" s="109">
        <f t="shared" si="1"/>
        <v>36863553.869999997</v>
      </c>
      <c r="S18" s="400"/>
    </row>
    <row r="19" spans="1:36" s="110" customFormat="1" ht="60" x14ac:dyDescent="0.25">
      <c r="A19" s="113" t="s">
        <v>248</v>
      </c>
      <c r="B19" s="113" t="s">
        <v>249</v>
      </c>
      <c r="C19" s="115" t="str">
        <f>L9</f>
        <v>Road passenger-hours/year</v>
      </c>
      <c r="D19" s="119">
        <f t="shared" si="0"/>
        <v>490922.66104553122</v>
      </c>
      <c r="E19" s="113" t="s">
        <v>312</v>
      </c>
      <c r="F19" s="108" t="s">
        <v>117</v>
      </c>
      <c r="G19" s="113" t="s">
        <v>336</v>
      </c>
      <c r="H19" s="109">
        <f t="shared" si="1"/>
        <v>0</v>
      </c>
      <c r="I19" s="109">
        <f t="shared" si="1"/>
        <v>105324.2540351722</v>
      </c>
      <c r="S19" s="400"/>
    </row>
    <row r="20" spans="1:36" s="110" customFormat="1" ht="90" x14ac:dyDescent="0.25">
      <c r="A20" s="116" t="s">
        <v>210</v>
      </c>
      <c r="B20" s="115" t="s">
        <v>337</v>
      </c>
      <c r="C20" s="118" t="s">
        <v>299</v>
      </c>
      <c r="D20" s="116" t="str">
        <f t="shared" si="0"/>
        <v>0</v>
      </c>
      <c r="E20" s="113" t="s">
        <v>312</v>
      </c>
      <c r="F20" s="108" t="s">
        <v>117</v>
      </c>
      <c r="G20" s="113">
        <v>2021</v>
      </c>
      <c r="H20" s="123">
        <f>O10</f>
        <v>2.8000000000000003</v>
      </c>
      <c r="I20" s="116" t="str">
        <f t="shared" si="1"/>
        <v>14</v>
      </c>
      <c r="S20" s="400"/>
    </row>
    <row r="21" spans="1:36" s="110" customFormat="1" ht="30" x14ac:dyDescent="0.25">
      <c r="A21" s="116" t="s">
        <v>205</v>
      </c>
      <c r="B21" s="115" t="s">
        <v>323</v>
      </c>
      <c r="C21" s="125" t="s">
        <v>338</v>
      </c>
      <c r="D21" s="107" t="str">
        <f t="shared" si="0"/>
        <v>66</v>
      </c>
      <c r="E21" s="124" t="s">
        <v>312</v>
      </c>
      <c r="F21" s="107" t="s">
        <v>117</v>
      </c>
      <c r="G21" s="119">
        <v>2021</v>
      </c>
      <c r="H21" s="107" t="str">
        <f t="shared" si="1"/>
        <v>n/a</v>
      </c>
      <c r="I21" s="107" t="str">
        <f t="shared" si="1"/>
        <v>30</v>
      </c>
      <c r="S21" s="400"/>
    </row>
    <row r="22" spans="1:36" s="110" customFormat="1" ht="60" x14ac:dyDescent="0.25">
      <c r="A22" s="116" t="s">
        <v>327</v>
      </c>
      <c r="B22" s="115" t="s">
        <v>328</v>
      </c>
      <c r="C22" s="114" t="s">
        <v>168</v>
      </c>
      <c r="D22" s="107" t="str">
        <f t="shared" si="0"/>
        <v>0</v>
      </c>
      <c r="E22" s="124" t="s">
        <v>312</v>
      </c>
      <c r="F22" s="107" t="s">
        <v>117</v>
      </c>
      <c r="G22" s="119">
        <v>2021</v>
      </c>
      <c r="H22" s="107">
        <f t="shared" si="1"/>
        <v>19.61</v>
      </c>
      <c r="I22" s="107">
        <f>P12</f>
        <v>39.22</v>
      </c>
      <c r="S22" s="400"/>
    </row>
    <row r="23" spans="1:36" ht="60.75" thickBot="1" x14ac:dyDescent="0.3">
      <c r="A23" s="25" t="s">
        <v>331</v>
      </c>
      <c r="B23" s="37" t="s">
        <v>332</v>
      </c>
      <c r="C23" s="38" t="s">
        <v>333</v>
      </c>
      <c r="D23" s="77" t="str">
        <f t="shared" si="0"/>
        <v>0</v>
      </c>
      <c r="E23" s="78" t="s">
        <v>312</v>
      </c>
      <c r="F23" s="77" t="s">
        <v>117</v>
      </c>
      <c r="G23" s="31">
        <v>2021</v>
      </c>
      <c r="H23" s="77" t="str">
        <f t="shared" si="1"/>
        <v>n/a</v>
      </c>
      <c r="I23" s="77">
        <f t="shared" si="1"/>
        <v>13000</v>
      </c>
      <c r="S23" s="394"/>
    </row>
    <row r="24" spans="1:36" x14ac:dyDescent="0.25">
      <c r="A24" s="3"/>
      <c r="B24" s="3"/>
      <c r="C24" s="3"/>
      <c r="D24" s="4"/>
      <c r="E24" s="4"/>
      <c r="F24" s="4"/>
      <c r="G24" s="4"/>
      <c r="H24" s="4"/>
      <c r="I24" s="4"/>
      <c r="S24" s="394"/>
    </row>
    <row r="25" spans="1:36" x14ac:dyDescent="0.25">
      <c r="A25" s="3"/>
      <c r="B25" s="3"/>
      <c r="C25" s="3"/>
      <c r="D25" s="4"/>
      <c r="E25" s="4"/>
      <c r="F25" s="4"/>
      <c r="G25" s="4"/>
      <c r="H25" s="4"/>
      <c r="I25" s="4"/>
      <c r="S25" s="394"/>
    </row>
    <row r="26" spans="1:36" x14ac:dyDescent="0.25">
      <c r="A26" s="3"/>
      <c r="B26" s="3"/>
      <c r="C26" s="3"/>
      <c r="D26" s="3"/>
      <c r="E26" s="3"/>
      <c r="F26" s="3"/>
      <c r="G26" s="3"/>
      <c r="S26" s="394"/>
    </row>
  </sheetData>
  <mergeCells count="23">
    <mergeCell ref="J7:J13"/>
    <mergeCell ref="K7:K13"/>
    <mergeCell ref="Q5:Q6"/>
    <mergeCell ref="R5:R6"/>
    <mergeCell ref="D5:F5"/>
    <mergeCell ref="H5:I5"/>
    <mergeCell ref="J5:J6"/>
    <mergeCell ref="M5:N5"/>
    <mergeCell ref="O5:O6"/>
    <mergeCell ref="L5:L6"/>
    <mergeCell ref="P5:P6"/>
    <mergeCell ref="K5:K6"/>
    <mergeCell ref="A5:A6"/>
    <mergeCell ref="C5:C6"/>
    <mergeCell ref="G5:G6"/>
    <mergeCell ref="A7:A13"/>
    <mergeCell ref="D12:D13"/>
    <mergeCell ref="C12:C13"/>
    <mergeCell ref="E12:E13"/>
    <mergeCell ref="F12:F13"/>
    <mergeCell ref="G12:G13"/>
    <mergeCell ref="B5:B6"/>
    <mergeCell ref="B7:B13"/>
  </mergeCells>
  <phoneticPr fontId="28"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4"/>
  <sheetViews>
    <sheetView zoomScale="55" zoomScaleNormal="55" workbookViewId="0">
      <selection activeCell="I38" sqref="I38"/>
    </sheetView>
  </sheetViews>
  <sheetFormatPr defaultRowHeight="15" x14ac:dyDescent="0.2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7" bestFit="1" customWidth="1"/>
    <col min="22" max="23" width="8.85546875" style="17"/>
    <col min="24" max="24" width="10.42578125" bestFit="1" customWidth="1"/>
  </cols>
  <sheetData>
    <row r="1" spans="1:37" x14ac:dyDescent="0.25">
      <c r="A1" s="9"/>
      <c r="L1" s="29"/>
    </row>
    <row r="4" spans="1:37" ht="15.75" thickBot="1" x14ac:dyDescent="0.3">
      <c r="A4" s="9" t="s">
        <v>186</v>
      </c>
    </row>
    <row r="5" spans="1:37" ht="15" customHeight="1" x14ac:dyDescent="0.25">
      <c r="A5" s="686" t="s">
        <v>339</v>
      </c>
      <c r="B5" s="617" t="s">
        <v>187</v>
      </c>
      <c r="C5" s="603" t="s">
        <v>93</v>
      </c>
      <c r="D5" s="559" t="s">
        <v>94</v>
      </c>
      <c r="E5" s="559"/>
      <c r="F5" s="559"/>
      <c r="G5" s="561" t="s">
        <v>188</v>
      </c>
      <c r="H5" s="560" t="s">
        <v>340</v>
      </c>
      <c r="I5" s="560"/>
      <c r="J5" s="559" t="s">
        <v>3</v>
      </c>
      <c r="K5" s="559" t="s">
        <v>2</v>
      </c>
      <c r="L5" s="559" t="s">
        <v>292</v>
      </c>
      <c r="M5" s="559" t="s">
        <v>341</v>
      </c>
      <c r="N5" s="559"/>
      <c r="O5" s="561" t="s">
        <v>295</v>
      </c>
      <c r="P5" s="559" t="s">
        <v>296</v>
      </c>
      <c r="Q5" s="559" t="s">
        <v>342</v>
      </c>
      <c r="R5" s="555" t="s">
        <v>343</v>
      </c>
      <c r="S5" s="39"/>
      <c r="T5" s="39"/>
      <c r="U5" s="74"/>
      <c r="V5" s="74"/>
      <c r="W5" s="74"/>
      <c r="X5" s="39"/>
      <c r="Y5" s="39"/>
      <c r="Z5" s="39"/>
      <c r="AA5" s="39"/>
      <c r="AB5" s="10"/>
      <c r="AC5" s="10"/>
      <c r="AD5" s="10"/>
      <c r="AE5" s="10"/>
      <c r="AF5" s="10"/>
      <c r="AG5" s="10"/>
      <c r="AH5" s="10"/>
      <c r="AI5" s="10"/>
      <c r="AJ5" s="10"/>
      <c r="AK5" s="10"/>
    </row>
    <row r="6" spans="1:37" ht="84" customHeight="1" thickBot="1" x14ac:dyDescent="0.3">
      <c r="A6" s="687"/>
      <c r="B6" s="618"/>
      <c r="C6" s="604"/>
      <c r="D6" s="346" t="s">
        <v>105</v>
      </c>
      <c r="E6" s="345" t="s">
        <v>106</v>
      </c>
      <c r="F6" s="41" t="s">
        <v>344</v>
      </c>
      <c r="G6" s="685"/>
      <c r="H6" s="346" t="s">
        <v>290</v>
      </c>
      <c r="I6" s="346" t="s">
        <v>291</v>
      </c>
      <c r="J6" s="683"/>
      <c r="K6" s="683"/>
      <c r="L6" s="683"/>
      <c r="M6" s="346" t="s">
        <v>345</v>
      </c>
      <c r="N6" s="346" t="s">
        <v>346</v>
      </c>
      <c r="O6" s="685"/>
      <c r="P6" s="683"/>
      <c r="Q6" s="683"/>
      <c r="R6" s="684"/>
      <c r="S6" s="39"/>
      <c r="T6" s="39"/>
      <c r="U6" s="74"/>
      <c r="V6" s="74"/>
      <c r="W6" s="74"/>
      <c r="X6" s="39"/>
      <c r="Y6" s="39"/>
      <c r="Z6" s="39"/>
      <c r="AA6" s="39"/>
      <c r="AB6" s="10"/>
      <c r="AC6" s="10"/>
      <c r="AD6" s="10"/>
      <c r="AE6" s="10"/>
      <c r="AF6" s="10"/>
      <c r="AG6" s="10"/>
      <c r="AH6" s="10"/>
      <c r="AI6" s="10"/>
      <c r="AJ6" s="10"/>
      <c r="AK6" s="10"/>
    </row>
    <row r="7" spans="1:37" ht="42" hidden="1" customHeight="1" x14ac:dyDescent="0.25">
      <c r="A7" s="641"/>
      <c r="B7" s="50"/>
      <c r="C7" s="674">
        <f>'[1]Intervencijų lėšos'!I8</f>
        <v>10000000</v>
      </c>
      <c r="D7" s="676" t="s">
        <v>347</v>
      </c>
      <c r="E7" s="678">
        <f>(C7*100/70)-C7</f>
        <v>4285714.2857142854</v>
      </c>
      <c r="F7" s="680">
        <f>C7+E7</f>
        <v>14285714.285714285</v>
      </c>
      <c r="G7" s="348">
        <f>F7</f>
        <v>14285714.285714285</v>
      </c>
      <c r="H7" s="43" t="s">
        <v>348</v>
      </c>
      <c r="I7" s="43" t="s">
        <v>349</v>
      </c>
      <c r="J7" s="44" t="s">
        <v>18</v>
      </c>
      <c r="K7" s="44" t="s">
        <v>17</v>
      </c>
      <c r="L7" s="43" t="s">
        <v>350</v>
      </c>
      <c r="M7" s="43"/>
      <c r="N7" s="43"/>
      <c r="O7" s="347"/>
      <c r="P7" s="43"/>
      <c r="Q7" s="43" t="s">
        <v>132</v>
      </c>
      <c r="R7" s="42"/>
      <c r="S7" s="39"/>
      <c r="T7" s="39"/>
      <c r="U7" s="74"/>
      <c r="V7" s="74"/>
      <c r="W7" s="74"/>
      <c r="X7" s="39"/>
      <c r="Y7" s="39"/>
      <c r="Z7" s="39"/>
      <c r="AA7" s="39"/>
      <c r="AB7" s="10"/>
      <c r="AC7" s="10"/>
      <c r="AD7" s="10"/>
      <c r="AE7" s="10"/>
      <c r="AF7" s="10"/>
      <c r="AG7" s="10"/>
      <c r="AH7" s="10"/>
      <c r="AI7" s="10"/>
      <c r="AJ7" s="10"/>
      <c r="AK7" s="10"/>
    </row>
    <row r="8" spans="1:37" ht="35.450000000000003" hidden="1" customHeight="1" x14ac:dyDescent="0.25">
      <c r="A8" s="651"/>
      <c r="B8" s="51"/>
      <c r="C8" s="675"/>
      <c r="D8" s="677"/>
      <c r="E8" s="679"/>
      <c r="F8" s="675"/>
      <c r="G8" s="45"/>
      <c r="H8" s="46"/>
      <c r="I8" s="46"/>
      <c r="J8" s="46"/>
      <c r="K8" s="46"/>
      <c r="L8" s="46"/>
      <c r="M8" s="46"/>
      <c r="N8" s="46"/>
      <c r="O8" s="47"/>
      <c r="P8" s="46"/>
      <c r="Q8" s="46" t="s">
        <v>132</v>
      </c>
      <c r="R8" s="48"/>
      <c r="S8" s="39"/>
      <c r="T8" s="39"/>
      <c r="U8" s="74"/>
      <c r="V8" s="74"/>
      <c r="W8" s="74"/>
      <c r="X8" s="39"/>
      <c r="Y8" s="39"/>
      <c r="Z8" s="39"/>
      <c r="AA8" s="39"/>
      <c r="AB8" s="10"/>
      <c r="AC8" s="10"/>
      <c r="AD8" s="10"/>
      <c r="AE8" s="10"/>
      <c r="AF8" s="10"/>
      <c r="AG8" s="10"/>
      <c r="AH8" s="10"/>
      <c r="AI8" s="10"/>
      <c r="AJ8" s="10"/>
      <c r="AK8" s="10"/>
    </row>
    <row r="9" spans="1:37" s="20" customFormat="1" ht="90" customHeight="1" x14ac:dyDescent="0.2">
      <c r="A9" s="681" t="s">
        <v>351</v>
      </c>
      <c r="B9" s="642">
        <f>F9</f>
        <v>11764705.882352941</v>
      </c>
      <c r="C9" s="642">
        <v>10000000</v>
      </c>
      <c r="D9" s="670" t="s">
        <v>352</v>
      </c>
      <c r="E9" s="642">
        <f>C9/0.85*0.15</f>
        <v>1764705.882352941</v>
      </c>
      <c r="F9" s="642">
        <f>C9+E9</f>
        <v>11764705.882352941</v>
      </c>
      <c r="G9" s="642">
        <f>F9</f>
        <v>11764705.882352941</v>
      </c>
      <c r="H9" s="352" t="s">
        <v>166</v>
      </c>
      <c r="I9" s="142" t="s">
        <v>328</v>
      </c>
      <c r="J9" s="668" t="s">
        <v>312</v>
      </c>
      <c r="K9" s="670" t="s">
        <v>117</v>
      </c>
      <c r="L9" s="142" t="s">
        <v>168</v>
      </c>
      <c r="M9" s="142" t="s">
        <v>119</v>
      </c>
      <c r="N9" s="142" t="s">
        <v>336</v>
      </c>
      <c r="O9" s="353">
        <f>P9*0.1</f>
        <v>6.8000000000000007</v>
      </c>
      <c r="P9" s="142" t="s">
        <v>353</v>
      </c>
      <c r="Q9" s="142" t="s">
        <v>132</v>
      </c>
      <c r="R9" s="354" t="s">
        <v>354</v>
      </c>
      <c r="S9" s="359" t="s">
        <v>355</v>
      </c>
      <c r="T9" s="672" t="s">
        <v>356</v>
      </c>
      <c r="U9" s="80"/>
      <c r="V9" s="80"/>
      <c r="W9" s="73"/>
      <c r="X9" s="73"/>
      <c r="Y9" s="18"/>
      <c r="Z9" s="18"/>
      <c r="AA9" s="18"/>
      <c r="AB9" s="19"/>
      <c r="AC9" s="19"/>
      <c r="AD9" s="19"/>
      <c r="AE9" s="19"/>
      <c r="AF9" s="19"/>
      <c r="AG9" s="19"/>
      <c r="AH9" s="19"/>
      <c r="AI9" s="19"/>
      <c r="AJ9" s="19"/>
      <c r="AK9" s="19"/>
    </row>
    <row r="10" spans="1:37" s="20" customFormat="1" ht="163.15" customHeight="1" thickBot="1" x14ac:dyDescent="0.25">
      <c r="A10" s="682"/>
      <c r="B10" s="652"/>
      <c r="C10" s="652"/>
      <c r="D10" s="671"/>
      <c r="E10" s="652"/>
      <c r="F10" s="652"/>
      <c r="G10" s="652"/>
      <c r="H10" s="355" t="s">
        <v>170</v>
      </c>
      <c r="I10" s="35" t="s">
        <v>332</v>
      </c>
      <c r="J10" s="669"/>
      <c r="K10" s="671"/>
      <c r="L10" s="35" t="s">
        <v>333</v>
      </c>
      <c r="M10" s="133">
        <f>369450*0.069</f>
        <v>25492.050000000003</v>
      </c>
      <c r="N10" s="35" t="s">
        <v>131</v>
      </c>
      <c r="O10" s="356" t="s">
        <v>120</v>
      </c>
      <c r="P10" s="133">
        <f>341224*0.128</f>
        <v>43676.671999999999</v>
      </c>
      <c r="Q10" s="35" t="s">
        <v>132</v>
      </c>
      <c r="R10" s="357" t="s">
        <v>357</v>
      </c>
      <c r="S10" s="360" t="s">
        <v>358</v>
      </c>
      <c r="T10" s="672"/>
      <c r="U10" s="73"/>
      <c r="V10" s="73"/>
      <c r="W10" s="73"/>
      <c r="X10" s="18"/>
      <c r="Y10" s="18"/>
      <c r="Z10" s="18"/>
      <c r="AA10" s="18"/>
      <c r="AB10" s="19"/>
      <c r="AC10" s="19"/>
      <c r="AD10" s="19"/>
      <c r="AE10" s="19"/>
      <c r="AF10" s="19"/>
      <c r="AG10" s="19"/>
      <c r="AH10" s="19"/>
      <c r="AI10" s="19"/>
      <c r="AJ10" s="19"/>
      <c r="AK10" s="19"/>
    </row>
    <row r="11" spans="1:37" s="17" customFormat="1" x14ac:dyDescent="0.25">
      <c r="A11"/>
      <c r="C11" s="17" t="e">
        <f>#REF!+#REF!</f>
        <v>#REF!</v>
      </c>
      <c r="D11"/>
      <c r="E11"/>
      <c r="F11"/>
      <c r="G11"/>
      <c r="H11"/>
      <c r="I11"/>
      <c r="J11"/>
      <c r="K11"/>
      <c r="L11"/>
      <c r="M11"/>
      <c r="N11"/>
      <c r="O11"/>
      <c r="P11"/>
      <c r="Q11"/>
      <c r="R11"/>
      <c r="S11"/>
      <c r="T11"/>
      <c r="X11"/>
      <c r="Y11"/>
      <c r="Z11"/>
      <c r="AA11"/>
      <c r="AB11"/>
      <c r="AC11"/>
      <c r="AD11"/>
      <c r="AE11"/>
      <c r="AF11"/>
      <c r="AG11"/>
      <c r="AH11"/>
      <c r="AI11"/>
      <c r="AJ11"/>
      <c r="AK11"/>
    </row>
    <row r="12" spans="1:37" s="17" customFormat="1" x14ac:dyDescent="0.25">
      <c r="A12"/>
      <c r="B12"/>
      <c r="C12" s="17">
        <f>C9</f>
        <v>10000000</v>
      </c>
      <c r="D12"/>
      <c r="E12"/>
      <c r="F12"/>
      <c r="G12"/>
      <c r="H12"/>
      <c r="I12"/>
      <c r="J12"/>
      <c r="K12"/>
      <c r="L12"/>
      <c r="M12"/>
      <c r="N12"/>
      <c r="O12"/>
      <c r="P12"/>
      <c r="Q12"/>
      <c r="R12"/>
      <c r="S12"/>
      <c r="T12"/>
      <c r="X12"/>
      <c r="Y12"/>
      <c r="Z12"/>
      <c r="AA12"/>
      <c r="AB12"/>
      <c r="AC12"/>
      <c r="AD12"/>
      <c r="AE12"/>
      <c r="AF12"/>
      <c r="AG12"/>
      <c r="AH12"/>
      <c r="AI12"/>
      <c r="AJ12"/>
      <c r="AK12"/>
    </row>
    <row r="13" spans="1:37" s="17" customFormat="1" x14ac:dyDescent="0.25">
      <c r="A13"/>
      <c r="B13"/>
      <c r="C13" s="17" t="e">
        <f>#REF!+#REF!</f>
        <v>#REF!</v>
      </c>
      <c r="D13"/>
      <c r="E13"/>
      <c r="F13"/>
      <c r="G13"/>
      <c r="H13"/>
      <c r="I13"/>
      <c r="J13"/>
      <c r="K13"/>
      <c r="L13"/>
      <c r="M13"/>
      <c r="N13"/>
      <c r="O13"/>
      <c r="P13"/>
      <c r="Q13"/>
      <c r="R13"/>
      <c r="S13"/>
      <c r="T13"/>
      <c r="X13"/>
      <c r="Y13"/>
      <c r="Z13"/>
      <c r="AA13"/>
      <c r="AB13"/>
      <c r="AC13"/>
      <c r="AD13"/>
      <c r="AE13"/>
      <c r="AF13"/>
      <c r="AG13"/>
      <c r="AH13"/>
      <c r="AI13"/>
      <c r="AJ13"/>
      <c r="AK13"/>
    </row>
    <row r="16" spans="1:37" ht="45" x14ac:dyDescent="0.25">
      <c r="A16" s="76" t="s">
        <v>290</v>
      </c>
      <c r="B16" s="11" t="s">
        <v>291</v>
      </c>
      <c r="C16" s="76" t="s">
        <v>292</v>
      </c>
      <c r="D16" s="76" t="s">
        <v>293</v>
      </c>
      <c r="E16" s="76" t="s">
        <v>3</v>
      </c>
      <c r="F16" s="76" t="s">
        <v>2</v>
      </c>
      <c r="G16" s="76" t="s">
        <v>294</v>
      </c>
      <c r="H16" s="76" t="s">
        <v>295</v>
      </c>
      <c r="I16" s="76" t="s">
        <v>296</v>
      </c>
      <c r="J16" s="13"/>
      <c r="K16" s="12"/>
      <c r="N16" s="15"/>
      <c r="O16" s="15"/>
      <c r="T16" s="17"/>
      <c r="W16"/>
    </row>
    <row r="17" spans="1:37" s="17" customFormat="1" ht="45" x14ac:dyDescent="0.25">
      <c r="A17" s="25" t="s">
        <v>166</v>
      </c>
      <c r="B17" s="37" t="s">
        <v>328</v>
      </c>
      <c r="C17" s="34" t="s">
        <v>168</v>
      </c>
      <c r="D17" s="77" t="str">
        <f>M9</f>
        <v>0</v>
      </c>
      <c r="E17" s="37" t="str">
        <f>J9</f>
        <v>Midle- west Lithuania region</v>
      </c>
      <c r="F17" s="37" t="str">
        <f>K9</f>
        <v>ERDF</v>
      </c>
      <c r="G17" s="79">
        <v>2021</v>
      </c>
      <c r="H17" s="31">
        <f>O9</f>
        <v>6.8000000000000007</v>
      </c>
      <c r="I17" s="31" t="str">
        <f>P9</f>
        <v xml:space="preserve">68             </v>
      </c>
      <c r="J17" s="673"/>
      <c r="K17"/>
      <c r="L17"/>
      <c r="M17"/>
      <c r="N17"/>
      <c r="O17"/>
      <c r="P17"/>
      <c r="Q17"/>
      <c r="R17"/>
      <c r="S17"/>
      <c r="T17"/>
      <c r="X17"/>
      <c r="Y17"/>
      <c r="Z17"/>
      <c r="AA17"/>
      <c r="AB17"/>
      <c r="AC17"/>
      <c r="AD17"/>
      <c r="AE17"/>
      <c r="AF17"/>
      <c r="AG17"/>
      <c r="AH17"/>
      <c r="AI17"/>
      <c r="AJ17"/>
      <c r="AK17"/>
    </row>
    <row r="18" spans="1:37" s="17" customFormat="1" ht="45" x14ac:dyDescent="0.25">
      <c r="A18" s="25" t="s">
        <v>170</v>
      </c>
      <c r="B18" s="37" t="s">
        <v>332</v>
      </c>
      <c r="C18" s="25" t="str">
        <f>L10</f>
        <v>Users/Year</v>
      </c>
      <c r="D18" s="31">
        <f>M10</f>
        <v>25492.050000000003</v>
      </c>
      <c r="E18" s="79" t="s">
        <v>297</v>
      </c>
      <c r="F18" s="79" t="s">
        <v>17</v>
      </c>
      <c r="G18" s="79">
        <v>2021</v>
      </c>
      <c r="H18" s="77" t="str">
        <f>O10</f>
        <v>n/a</v>
      </c>
      <c r="I18" s="31">
        <f>P10</f>
        <v>43676.671999999999</v>
      </c>
      <c r="J18" s="673"/>
      <c r="K18"/>
      <c r="L18"/>
      <c r="M18"/>
      <c r="N18"/>
      <c r="O18"/>
      <c r="P18"/>
      <c r="Q18"/>
      <c r="R18"/>
      <c r="S18"/>
      <c r="T18"/>
      <c r="X18"/>
      <c r="Y18"/>
      <c r="Z18"/>
      <c r="AA18"/>
      <c r="AB18"/>
      <c r="AC18"/>
      <c r="AD18"/>
      <c r="AE18"/>
      <c r="AF18"/>
      <c r="AG18"/>
      <c r="AH18"/>
      <c r="AI18"/>
      <c r="AJ18"/>
      <c r="AK18"/>
    </row>
    <row r="19" spans="1:37" s="17" customFormat="1" x14ac:dyDescent="0.25">
      <c r="A19" s="3"/>
      <c r="B19" s="3"/>
      <c r="C19" s="3"/>
      <c r="D19" s="4"/>
      <c r="E19" s="3"/>
      <c r="F19" s="3"/>
      <c r="G19" s="3"/>
      <c r="H19" s="3"/>
      <c r="I19" s="3"/>
      <c r="J19" s="673"/>
      <c r="K19"/>
      <c r="L19"/>
      <c r="M19"/>
      <c r="N19"/>
      <c r="O19"/>
      <c r="P19"/>
      <c r="Q19"/>
      <c r="R19"/>
      <c r="S19"/>
      <c r="T19"/>
      <c r="X19"/>
      <c r="Y19"/>
      <c r="Z19"/>
      <c r="AA19"/>
      <c r="AB19"/>
      <c r="AC19"/>
      <c r="AD19"/>
      <c r="AE19"/>
      <c r="AF19"/>
      <c r="AG19"/>
      <c r="AH19"/>
      <c r="AI19"/>
      <c r="AJ19"/>
      <c r="AK19"/>
    </row>
    <row r="20" spans="1:37" s="17" customFormat="1" x14ac:dyDescent="0.25">
      <c r="A20" s="3"/>
      <c r="B20" s="3"/>
      <c r="C20" s="3"/>
      <c r="D20" s="4"/>
      <c r="E20" s="3"/>
      <c r="F20" s="3"/>
      <c r="G20" s="3"/>
      <c r="H20" s="3"/>
      <c r="I20" s="3"/>
      <c r="J20" s="673"/>
      <c r="K20"/>
      <c r="L20"/>
      <c r="M20"/>
      <c r="N20"/>
      <c r="O20"/>
      <c r="P20"/>
      <c r="Q20"/>
      <c r="R20"/>
      <c r="S20"/>
      <c r="T20"/>
      <c r="X20"/>
      <c r="Y20"/>
      <c r="Z20"/>
      <c r="AA20"/>
      <c r="AB20"/>
      <c r="AC20"/>
      <c r="AD20"/>
      <c r="AE20"/>
      <c r="AF20"/>
      <c r="AG20"/>
      <c r="AH20"/>
      <c r="AI20"/>
      <c r="AJ20"/>
      <c r="AK20"/>
    </row>
    <row r="21" spans="1:37" s="17" customFormat="1" x14ac:dyDescent="0.25">
      <c r="A21" s="3"/>
      <c r="B21" s="3"/>
      <c r="C21" s="3"/>
      <c r="D21" s="4"/>
      <c r="E21" s="3"/>
      <c r="F21" s="3"/>
      <c r="G21" s="3"/>
      <c r="H21" s="3"/>
      <c r="I21" s="3"/>
      <c r="J21" s="673"/>
      <c r="K21"/>
      <c r="L21"/>
      <c r="M21"/>
      <c r="N21"/>
      <c r="O21"/>
      <c r="P21"/>
      <c r="Q21"/>
      <c r="R21"/>
      <c r="S21"/>
      <c r="T21"/>
      <c r="X21"/>
      <c r="Y21"/>
      <c r="Z21"/>
      <c r="AA21"/>
      <c r="AB21"/>
      <c r="AC21"/>
      <c r="AD21"/>
      <c r="AE21"/>
      <c r="AF21"/>
      <c r="AG21"/>
      <c r="AH21"/>
      <c r="AI21"/>
      <c r="AJ21"/>
      <c r="AK21"/>
    </row>
    <row r="22" spans="1:37" x14ac:dyDescent="0.25">
      <c r="A22" s="3"/>
      <c r="B22" s="3"/>
      <c r="C22" s="3"/>
      <c r="D22" s="4"/>
      <c r="E22" s="3"/>
      <c r="F22" s="3"/>
      <c r="G22" s="3"/>
      <c r="H22" s="3"/>
      <c r="I22" s="3"/>
      <c r="J22" s="673"/>
    </row>
    <row r="23" spans="1:37" x14ac:dyDescent="0.25">
      <c r="A23" s="3"/>
      <c r="B23" s="3"/>
      <c r="C23" s="3"/>
      <c r="D23" s="4"/>
      <c r="E23" s="3"/>
      <c r="F23" s="3"/>
      <c r="G23" s="3"/>
      <c r="H23" s="3"/>
      <c r="I23" s="3"/>
      <c r="J23" s="673"/>
    </row>
    <row r="24" spans="1:37" x14ac:dyDescent="0.25">
      <c r="A24" s="3"/>
      <c r="B24" s="3"/>
      <c r="C24" s="3"/>
      <c r="D24" s="4"/>
      <c r="E24" s="3"/>
      <c r="F24" s="3"/>
      <c r="G24" s="3"/>
      <c r="H24" s="3"/>
      <c r="I24" s="3"/>
      <c r="J24" s="673"/>
    </row>
    <row r="25" spans="1:37" x14ac:dyDescent="0.25">
      <c r="A25" s="3"/>
      <c r="B25" s="3"/>
      <c r="C25" s="3"/>
      <c r="D25" s="4"/>
      <c r="E25" s="3"/>
      <c r="F25" s="3"/>
      <c r="G25" s="3"/>
      <c r="H25" s="3"/>
      <c r="I25" s="3"/>
      <c r="J25" s="673"/>
    </row>
    <row r="26" spans="1:37" x14ac:dyDescent="0.25">
      <c r="D26" s="17"/>
    </row>
    <row r="27" spans="1:37" x14ac:dyDescent="0.25">
      <c r="D27" s="17"/>
    </row>
    <row r="28" spans="1:37" x14ac:dyDescent="0.25">
      <c r="D28" s="17"/>
    </row>
    <row r="29" spans="1:37" x14ac:dyDescent="0.25">
      <c r="D29" s="17"/>
    </row>
    <row r="30" spans="1:37" x14ac:dyDescent="0.25">
      <c r="D30" s="17"/>
    </row>
    <row r="31" spans="1:37" x14ac:dyDescent="0.25">
      <c r="D31" s="17"/>
    </row>
    <row r="32" spans="1:37" x14ac:dyDescent="0.25">
      <c r="D32" s="17"/>
    </row>
    <row r="33" spans="4:4" x14ac:dyDescent="0.25">
      <c r="D33" s="17"/>
    </row>
    <row r="34" spans="4:4" x14ac:dyDescent="0.25">
      <c r="D34" s="17"/>
    </row>
  </sheetData>
  <mergeCells count="30">
    <mergeCell ref="H5:I5"/>
    <mergeCell ref="A5:A6"/>
    <mergeCell ref="B5:B6"/>
    <mergeCell ref="C5:C6"/>
    <mergeCell ref="D5:F5"/>
    <mergeCell ref="G5:G6"/>
    <mergeCell ref="Q5:Q6"/>
    <mergeCell ref="R5:R6"/>
    <mergeCell ref="J5:J6"/>
    <mergeCell ref="K5:K6"/>
    <mergeCell ref="L5:L6"/>
    <mergeCell ref="M5:N5"/>
    <mergeCell ref="O5:O6"/>
    <mergeCell ref="P5:P6"/>
    <mergeCell ref="C7:C8"/>
    <mergeCell ref="D7:D8"/>
    <mergeCell ref="E7:E8"/>
    <mergeCell ref="F7:F8"/>
    <mergeCell ref="A9:A10"/>
    <mergeCell ref="B9:B10"/>
    <mergeCell ref="C9:C10"/>
    <mergeCell ref="D9:D10"/>
    <mergeCell ref="E9:E10"/>
    <mergeCell ref="F9:F10"/>
    <mergeCell ref="A7:A8"/>
    <mergeCell ref="G9:G10"/>
    <mergeCell ref="J9:J10"/>
    <mergeCell ref="K9:K10"/>
    <mergeCell ref="T9:T10"/>
    <mergeCell ref="J17:J25"/>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zoomScale="130" zoomScaleNormal="130" workbookViewId="0">
      <selection activeCell="G15" sqref="G15"/>
    </sheetView>
  </sheetViews>
  <sheetFormatPr defaultColWidth="9.140625" defaultRowHeight="15" x14ac:dyDescent="0.25"/>
  <cols>
    <col min="1" max="1" width="21.140625" style="377" customWidth="1"/>
    <col min="2" max="2" width="15.28515625" style="377" customWidth="1"/>
    <col min="3" max="3" width="67" style="377" customWidth="1"/>
    <col min="4" max="16384" width="9.140625" style="377"/>
  </cols>
  <sheetData>
    <row r="1" spans="1:3" ht="15.75" thickBot="1" x14ac:dyDescent="0.3">
      <c r="A1" s="375" t="s">
        <v>359</v>
      </c>
      <c r="B1" s="376" t="s">
        <v>360</v>
      </c>
      <c r="C1" s="376" t="s">
        <v>361</v>
      </c>
    </row>
    <row r="2" spans="1:3" ht="15.75" thickBot="1" x14ac:dyDescent="0.3">
      <c r="A2" s="378">
        <v>0</v>
      </c>
      <c r="B2" s="379" t="s">
        <v>362</v>
      </c>
      <c r="C2" s="379" t="s">
        <v>363</v>
      </c>
    </row>
    <row r="3" spans="1:3" ht="15.75" thickBot="1" x14ac:dyDescent="0.3">
      <c r="A3" s="378">
        <v>1</v>
      </c>
      <c r="B3" s="379" t="s">
        <v>175</v>
      </c>
      <c r="C3" s="379" t="s">
        <v>364</v>
      </c>
    </row>
    <row r="4" spans="1:3" ht="26.25" thickBot="1" x14ac:dyDescent="0.3">
      <c r="A4" s="378">
        <v>2</v>
      </c>
      <c r="B4" s="379" t="s">
        <v>176</v>
      </c>
      <c r="C4" s="380" t="s">
        <v>134</v>
      </c>
    </row>
    <row r="5" spans="1:3" ht="15.75" thickBot="1" x14ac:dyDescent="0.3">
      <c r="A5" s="378">
        <v>3</v>
      </c>
      <c r="B5" s="379" t="s">
        <v>365</v>
      </c>
      <c r="C5" s="379" t="s">
        <v>366</v>
      </c>
    </row>
    <row r="6" spans="1:3" ht="15.75" thickBot="1" x14ac:dyDescent="0.3">
      <c r="A6" s="378">
        <v>4</v>
      </c>
      <c r="B6" s="379" t="s">
        <v>367</v>
      </c>
      <c r="C6" s="379" t="s">
        <v>368</v>
      </c>
    </row>
    <row r="7" spans="1:3" ht="15.75" thickBot="1" x14ac:dyDescent="0.3">
      <c r="A7" s="378">
        <v>5</v>
      </c>
      <c r="B7" s="379" t="s">
        <v>100</v>
      </c>
      <c r="C7" s="382">
        <v>0</v>
      </c>
    </row>
    <row r="8" spans="1:3" ht="15.75" thickBot="1" x14ac:dyDescent="0.3">
      <c r="A8" s="378">
        <v>6</v>
      </c>
      <c r="B8" s="379" t="s">
        <v>101</v>
      </c>
      <c r="C8" s="379" t="s">
        <v>369</v>
      </c>
    </row>
    <row r="9" spans="1:3" ht="15.75" thickBot="1" x14ac:dyDescent="0.3">
      <c r="A9" s="378">
        <v>7</v>
      </c>
      <c r="B9" s="379" t="s">
        <v>102</v>
      </c>
      <c r="C9" s="379" t="s">
        <v>370</v>
      </c>
    </row>
    <row r="10" spans="1:3" ht="15.75" thickBot="1" x14ac:dyDescent="0.3">
      <c r="A10" s="378">
        <v>8</v>
      </c>
      <c r="B10" s="379" t="s">
        <v>371</v>
      </c>
      <c r="C10" s="379" t="s">
        <v>372</v>
      </c>
    </row>
    <row r="11" spans="1:3" ht="15.75" thickBot="1" x14ac:dyDescent="0.3">
      <c r="A11" s="378">
        <v>9</v>
      </c>
      <c r="B11" s="379" t="s">
        <v>373</v>
      </c>
      <c r="C11" s="379" t="s">
        <v>374</v>
      </c>
    </row>
    <row r="12" spans="1:3" ht="39" customHeight="1" x14ac:dyDescent="0.25">
      <c r="A12" s="688">
        <v>10</v>
      </c>
      <c r="B12" s="691" t="s">
        <v>375</v>
      </c>
      <c r="C12" s="381" t="s">
        <v>376</v>
      </c>
    </row>
    <row r="13" spans="1:3" ht="75.75" customHeight="1" x14ac:dyDescent="0.25">
      <c r="A13" s="689"/>
      <c r="B13" s="692"/>
      <c r="C13" s="381" t="s">
        <v>377</v>
      </c>
    </row>
    <row r="14" spans="1:3" ht="33" customHeight="1" x14ac:dyDescent="0.25">
      <c r="A14" s="689"/>
      <c r="B14" s="692"/>
      <c r="C14" s="381" t="s">
        <v>378</v>
      </c>
    </row>
    <row r="15" spans="1:3" ht="151.5" customHeight="1" thickBot="1" x14ac:dyDescent="0.3">
      <c r="A15" s="690"/>
      <c r="B15" s="693"/>
      <c r="C15" s="380" t="s">
        <v>379</v>
      </c>
    </row>
    <row r="16" spans="1:3" ht="15.75" thickBot="1" x14ac:dyDescent="0.3">
      <c r="A16" s="378">
        <v>11</v>
      </c>
      <c r="B16" s="379" t="s">
        <v>380</v>
      </c>
      <c r="C16" s="379" t="s">
        <v>132</v>
      </c>
    </row>
    <row r="17" spans="1:3" ht="15.75" thickBot="1" x14ac:dyDescent="0.3">
      <c r="A17" s="378">
        <v>12</v>
      </c>
      <c r="B17" s="379" t="s">
        <v>381</v>
      </c>
      <c r="C17" s="379" t="s">
        <v>382</v>
      </c>
    </row>
    <row r="18" spans="1:3" ht="15.75" thickBot="1" x14ac:dyDescent="0.3">
      <c r="A18" s="378">
        <v>13</v>
      </c>
      <c r="B18" s="379" t="s">
        <v>383</v>
      </c>
      <c r="C18" s="380"/>
    </row>
    <row r="19" spans="1:3" ht="34.5" customHeight="1" x14ac:dyDescent="0.25">
      <c r="A19" s="688">
        <v>14</v>
      </c>
      <c r="B19" s="691" t="s">
        <v>384</v>
      </c>
      <c r="C19" s="381" t="s">
        <v>385</v>
      </c>
    </row>
    <row r="20" spans="1:3" ht="27.75" customHeight="1" thickBot="1" x14ac:dyDescent="0.3">
      <c r="A20" s="690"/>
      <c r="B20" s="693"/>
      <c r="C20" s="380" t="s">
        <v>386</v>
      </c>
    </row>
    <row r="21" spans="1:3" ht="15.75" thickBot="1" x14ac:dyDescent="0.3">
      <c r="A21" s="378">
        <v>15</v>
      </c>
      <c r="B21" s="379" t="s">
        <v>387</v>
      </c>
      <c r="C21" s="380"/>
    </row>
    <row r="22" spans="1:3" ht="15.75" thickBot="1" x14ac:dyDescent="0.3">
      <c r="A22" s="378">
        <v>16</v>
      </c>
      <c r="B22" s="379" t="s">
        <v>388</v>
      </c>
      <c r="C22" s="379"/>
    </row>
    <row r="23" spans="1:3" ht="15.75" thickBot="1" x14ac:dyDescent="0.3">
      <c r="A23" s="378">
        <v>17</v>
      </c>
      <c r="B23" s="379" t="s">
        <v>389</v>
      </c>
      <c r="C23" s="380"/>
    </row>
  </sheetData>
  <mergeCells count="4">
    <mergeCell ref="A12:A15"/>
    <mergeCell ref="B12:B15"/>
    <mergeCell ref="A19:A20"/>
    <mergeCell ref="B19:B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C23"/>
  <sheetViews>
    <sheetView zoomScale="75" zoomScaleNormal="75" workbookViewId="0">
      <selection activeCell="H16" sqref="H16"/>
    </sheetView>
  </sheetViews>
  <sheetFormatPr defaultColWidth="9.140625" defaultRowHeight="15" x14ac:dyDescent="0.25"/>
  <cols>
    <col min="1" max="1" width="21.140625" style="377" customWidth="1"/>
    <col min="2" max="2" width="15.28515625" style="377" customWidth="1"/>
    <col min="3" max="3" width="67" style="377" customWidth="1"/>
    <col min="4" max="16384" width="9.140625" style="377"/>
  </cols>
  <sheetData>
    <row r="1" spans="1:3" ht="15.75" thickBot="1" x14ac:dyDescent="0.3">
      <c r="A1" s="375" t="s">
        <v>359</v>
      </c>
      <c r="B1" s="376" t="s">
        <v>360</v>
      </c>
      <c r="C1" s="376" t="s">
        <v>361</v>
      </c>
    </row>
    <row r="2" spans="1:3" ht="15.75" thickBot="1" x14ac:dyDescent="0.3">
      <c r="A2" s="378">
        <v>0</v>
      </c>
      <c r="B2" s="379" t="s">
        <v>362</v>
      </c>
      <c r="C2" s="379" t="s">
        <v>363</v>
      </c>
    </row>
    <row r="3" spans="1:3" ht="15.75" thickBot="1" x14ac:dyDescent="0.3">
      <c r="A3" s="378">
        <v>1</v>
      </c>
      <c r="B3" s="379" t="s">
        <v>175</v>
      </c>
      <c r="C3" s="379" t="s">
        <v>364</v>
      </c>
    </row>
    <row r="4" spans="1:3" ht="26.25" thickBot="1" x14ac:dyDescent="0.3">
      <c r="A4" s="378">
        <v>2</v>
      </c>
      <c r="B4" s="379" t="s">
        <v>176</v>
      </c>
      <c r="C4" s="387" t="s">
        <v>160</v>
      </c>
    </row>
    <row r="5" spans="1:3" ht="15.75" thickBot="1" x14ac:dyDescent="0.3">
      <c r="A5" s="378">
        <v>3</v>
      </c>
      <c r="B5" s="379" t="s">
        <v>365</v>
      </c>
      <c r="C5" s="379" t="s">
        <v>366</v>
      </c>
    </row>
    <row r="6" spans="1:3" ht="15.75" thickBot="1" x14ac:dyDescent="0.3">
      <c r="A6" s="378">
        <v>4</v>
      </c>
      <c r="B6" s="379" t="s">
        <v>367</v>
      </c>
      <c r="C6" s="379" t="s">
        <v>368</v>
      </c>
    </row>
    <row r="7" spans="1:3" ht="15.75" thickBot="1" x14ac:dyDescent="0.3">
      <c r="A7" s="378">
        <v>5</v>
      </c>
      <c r="B7" s="379" t="s">
        <v>100</v>
      </c>
      <c r="C7" s="382">
        <v>0</v>
      </c>
    </row>
    <row r="8" spans="1:3" ht="15.75" thickBot="1" x14ac:dyDescent="0.3">
      <c r="A8" s="378">
        <v>6</v>
      </c>
      <c r="B8" s="379" t="s">
        <v>101</v>
      </c>
      <c r="C8" s="379" t="s">
        <v>369</v>
      </c>
    </row>
    <row r="9" spans="1:3" ht="15.75" thickBot="1" x14ac:dyDescent="0.3">
      <c r="A9" s="378">
        <v>7</v>
      </c>
      <c r="B9" s="379" t="s">
        <v>102</v>
      </c>
      <c r="C9" s="379" t="s">
        <v>370</v>
      </c>
    </row>
    <row r="10" spans="1:3" ht="15.75" thickBot="1" x14ac:dyDescent="0.3">
      <c r="A10" s="378">
        <v>8</v>
      </c>
      <c r="B10" s="379" t="s">
        <v>371</v>
      </c>
      <c r="C10" s="379" t="s">
        <v>372</v>
      </c>
    </row>
    <row r="11" spans="1:3" ht="15.75" thickBot="1" x14ac:dyDescent="0.3">
      <c r="A11" s="378">
        <v>9</v>
      </c>
      <c r="B11" s="379" t="s">
        <v>373</v>
      </c>
      <c r="C11" s="379" t="s">
        <v>374</v>
      </c>
    </row>
    <row r="12" spans="1:3" ht="37.5" customHeight="1" x14ac:dyDescent="0.25">
      <c r="A12" s="688">
        <v>10</v>
      </c>
      <c r="B12" s="694" t="s">
        <v>375</v>
      </c>
      <c r="C12" s="381" t="s">
        <v>390</v>
      </c>
    </row>
    <row r="13" spans="1:3" ht="32.25" customHeight="1" x14ac:dyDescent="0.25">
      <c r="A13" s="689"/>
      <c r="B13" s="695"/>
      <c r="C13" s="385" t="s">
        <v>391</v>
      </c>
    </row>
    <row r="14" spans="1:3" ht="33" customHeight="1" x14ac:dyDescent="0.25">
      <c r="A14" s="689"/>
      <c r="B14" s="695"/>
      <c r="C14" s="386" t="s">
        <v>392</v>
      </c>
    </row>
    <row r="15" spans="1:3" ht="33" customHeight="1" thickBot="1" x14ac:dyDescent="0.3">
      <c r="A15" s="690"/>
      <c r="B15" s="696"/>
      <c r="C15" s="384" t="s">
        <v>393</v>
      </c>
    </row>
    <row r="16" spans="1:3" ht="15.75" thickBot="1" x14ac:dyDescent="0.3">
      <c r="A16" s="378">
        <v>11</v>
      </c>
      <c r="B16" s="379" t="s">
        <v>380</v>
      </c>
      <c r="C16" s="379" t="s">
        <v>132</v>
      </c>
    </row>
    <row r="17" spans="1:3" ht="15.75" thickBot="1" x14ac:dyDescent="0.3">
      <c r="A17" s="378">
        <v>12</v>
      </c>
      <c r="B17" s="379" t="s">
        <v>381</v>
      </c>
      <c r="C17" s="379" t="s">
        <v>382</v>
      </c>
    </row>
    <row r="18" spans="1:3" ht="15.75" thickBot="1" x14ac:dyDescent="0.3">
      <c r="A18" s="378">
        <v>13</v>
      </c>
      <c r="B18" s="379" t="s">
        <v>383</v>
      </c>
      <c r="C18" s="380"/>
    </row>
    <row r="19" spans="1:3" ht="34.5" customHeight="1" x14ac:dyDescent="0.25">
      <c r="A19" s="688">
        <v>14</v>
      </c>
      <c r="B19" s="691" t="s">
        <v>384</v>
      </c>
      <c r="C19" s="381" t="s">
        <v>385</v>
      </c>
    </row>
    <row r="20" spans="1:3" ht="27.75" customHeight="1" thickBot="1" x14ac:dyDescent="0.3">
      <c r="A20" s="690"/>
      <c r="B20" s="693"/>
      <c r="C20" s="380" t="s">
        <v>386</v>
      </c>
    </row>
    <row r="21" spans="1:3" ht="15.75" thickBot="1" x14ac:dyDescent="0.3">
      <c r="A21" s="378">
        <v>15</v>
      </c>
      <c r="B21" s="379" t="s">
        <v>387</v>
      </c>
      <c r="C21" s="380"/>
    </row>
    <row r="22" spans="1:3" ht="15.75" thickBot="1" x14ac:dyDescent="0.3">
      <c r="A22" s="378">
        <v>16</v>
      </c>
      <c r="B22" s="379" t="s">
        <v>388</v>
      </c>
      <c r="C22" s="379"/>
    </row>
    <row r="23" spans="1:3" ht="15.75" thickBot="1" x14ac:dyDescent="0.3">
      <c r="A23" s="378">
        <v>17</v>
      </c>
      <c r="B23" s="379" t="s">
        <v>389</v>
      </c>
      <c r="C23" s="380"/>
    </row>
  </sheetData>
  <mergeCells count="4">
    <mergeCell ref="A12:A15"/>
    <mergeCell ref="B12:B15"/>
    <mergeCell ref="A19:A20"/>
    <mergeCell ref="B19:B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C21"/>
  <sheetViews>
    <sheetView zoomScale="75" zoomScaleNormal="75" workbookViewId="0">
      <selection activeCell="C20" sqref="C20"/>
    </sheetView>
  </sheetViews>
  <sheetFormatPr defaultColWidth="9.140625" defaultRowHeight="15" x14ac:dyDescent="0.25"/>
  <cols>
    <col min="1" max="1" width="21.140625" style="377" customWidth="1"/>
    <col min="2" max="2" width="20.28515625" style="377" customWidth="1"/>
    <col min="3" max="3" width="67" style="377" customWidth="1"/>
    <col min="4" max="16384" width="9.140625" style="377"/>
  </cols>
  <sheetData>
    <row r="1" spans="1:3" ht="15.75" thickBot="1" x14ac:dyDescent="0.3">
      <c r="A1" s="375" t="s">
        <v>359</v>
      </c>
      <c r="B1" s="376" t="s">
        <v>360</v>
      </c>
      <c r="C1" s="376" t="s">
        <v>361</v>
      </c>
    </row>
    <row r="2" spans="1:3" ht="15.75" thickBot="1" x14ac:dyDescent="0.3">
      <c r="A2" s="378">
        <v>0</v>
      </c>
      <c r="B2" s="379" t="s">
        <v>362</v>
      </c>
      <c r="C2" s="379" t="s">
        <v>140</v>
      </c>
    </row>
    <row r="3" spans="1:3" ht="15.75" thickBot="1" x14ac:dyDescent="0.3">
      <c r="A3" s="378">
        <v>1</v>
      </c>
      <c r="B3" s="379" t="s">
        <v>175</v>
      </c>
      <c r="C3" s="379" t="s">
        <v>364</v>
      </c>
    </row>
    <row r="4" spans="1:3" ht="26.25" thickBot="1" x14ac:dyDescent="0.3">
      <c r="A4" s="378">
        <v>2</v>
      </c>
      <c r="B4" s="379" t="s">
        <v>176</v>
      </c>
      <c r="C4" s="387" t="s">
        <v>394</v>
      </c>
    </row>
    <row r="5" spans="1:3" ht="15.75" thickBot="1" x14ac:dyDescent="0.3">
      <c r="A5" s="378">
        <v>3</v>
      </c>
      <c r="B5" s="379" t="s">
        <v>365</v>
      </c>
      <c r="C5" s="379" t="s">
        <v>395</v>
      </c>
    </row>
    <row r="6" spans="1:3" ht="15.75" thickBot="1" x14ac:dyDescent="0.3">
      <c r="A6" s="378">
        <v>4</v>
      </c>
      <c r="B6" s="379" t="s">
        <v>367</v>
      </c>
      <c r="C6" s="379" t="s">
        <v>368</v>
      </c>
    </row>
    <row r="7" spans="1:3" ht="15.75" thickBot="1" x14ac:dyDescent="0.3">
      <c r="A7" s="378">
        <v>5</v>
      </c>
      <c r="B7" s="379" t="s">
        <v>100</v>
      </c>
      <c r="C7" s="382">
        <v>0</v>
      </c>
    </row>
    <row r="8" spans="1:3" ht="15.75" thickBot="1" x14ac:dyDescent="0.3">
      <c r="A8" s="378">
        <v>6</v>
      </c>
      <c r="B8" s="379" t="s">
        <v>101</v>
      </c>
      <c r="C8" s="379" t="s">
        <v>369</v>
      </c>
    </row>
    <row r="9" spans="1:3" ht="15.75" thickBot="1" x14ac:dyDescent="0.3">
      <c r="A9" s="378">
        <v>7</v>
      </c>
      <c r="B9" s="379" t="s">
        <v>102</v>
      </c>
      <c r="C9" s="379" t="s">
        <v>370</v>
      </c>
    </row>
    <row r="10" spans="1:3" ht="15.75" thickBot="1" x14ac:dyDescent="0.3">
      <c r="A10" s="378">
        <v>8</v>
      </c>
      <c r="B10" s="379" t="s">
        <v>371</v>
      </c>
      <c r="C10" s="379" t="s">
        <v>396</v>
      </c>
    </row>
    <row r="11" spans="1:3" ht="15.75" thickBot="1" x14ac:dyDescent="0.3">
      <c r="A11" s="378">
        <v>9</v>
      </c>
      <c r="B11" s="379" t="s">
        <v>373</v>
      </c>
      <c r="C11" s="379" t="s">
        <v>396</v>
      </c>
    </row>
    <row r="12" spans="1:3" ht="37.5" customHeight="1" x14ac:dyDescent="0.25">
      <c r="A12" s="688">
        <v>10</v>
      </c>
      <c r="B12" s="694" t="s">
        <v>375</v>
      </c>
      <c r="C12" s="381" t="s">
        <v>397</v>
      </c>
    </row>
    <row r="13" spans="1:3" ht="33" customHeight="1" thickBot="1" x14ac:dyDescent="0.3">
      <c r="A13" s="690"/>
      <c r="B13" s="696"/>
      <c r="C13" s="384"/>
    </row>
    <row r="14" spans="1:3" ht="15.75" thickBot="1" x14ac:dyDescent="0.3">
      <c r="A14" s="378">
        <v>11</v>
      </c>
      <c r="B14" s="379" t="s">
        <v>380</v>
      </c>
      <c r="C14" s="379" t="s">
        <v>132</v>
      </c>
    </row>
    <row r="15" spans="1:3" ht="15.75" thickBot="1" x14ac:dyDescent="0.3">
      <c r="A15" s="378">
        <v>12</v>
      </c>
      <c r="B15" s="379" t="s">
        <v>381</v>
      </c>
      <c r="C15" s="379" t="s">
        <v>382</v>
      </c>
    </row>
    <row r="16" spans="1:3" ht="54.75" customHeight="1" thickBot="1" x14ac:dyDescent="0.3">
      <c r="A16" s="378">
        <v>13</v>
      </c>
      <c r="B16" s="379" t="s">
        <v>383</v>
      </c>
      <c r="C16" s="380" t="s">
        <v>398</v>
      </c>
    </row>
    <row r="17" spans="1:3" ht="34.5" customHeight="1" x14ac:dyDescent="0.25">
      <c r="A17" s="688">
        <v>14</v>
      </c>
      <c r="B17" s="691" t="s">
        <v>384</v>
      </c>
      <c r="C17" s="381" t="s">
        <v>385</v>
      </c>
    </row>
    <row r="18" spans="1:3" ht="27.75" customHeight="1" thickBot="1" x14ac:dyDescent="0.3">
      <c r="A18" s="690"/>
      <c r="B18" s="693"/>
      <c r="C18" s="380" t="s">
        <v>386</v>
      </c>
    </row>
    <row r="19" spans="1:3" ht="15.75" thickBot="1" x14ac:dyDescent="0.3">
      <c r="A19" s="378">
        <v>15</v>
      </c>
      <c r="B19" s="379" t="s">
        <v>387</v>
      </c>
      <c r="C19" s="380"/>
    </row>
    <row r="20" spans="1:3" ht="26.25" thickBot="1" x14ac:dyDescent="0.3">
      <c r="A20" s="378">
        <v>16</v>
      </c>
      <c r="B20" s="380" t="s">
        <v>388</v>
      </c>
      <c r="C20" s="379"/>
    </row>
    <row r="21" spans="1:3" ht="15.75" thickBot="1" x14ac:dyDescent="0.3">
      <c r="A21" s="378">
        <v>17</v>
      </c>
      <c r="B21" s="379" t="s">
        <v>389</v>
      </c>
      <c r="C21" s="380"/>
    </row>
  </sheetData>
  <mergeCells count="4">
    <mergeCell ref="A12:A13"/>
    <mergeCell ref="B12:B13"/>
    <mergeCell ref="A17:A18"/>
    <mergeCell ref="B17:B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C21"/>
  <sheetViews>
    <sheetView zoomScale="145" zoomScaleNormal="145" workbookViewId="0">
      <selection activeCell="B12" sqref="B12:B13"/>
    </sheetView>
  </sheetViews>
  <sheetFormatPr defaultColWidth="9.140625" defaultRowHeight="15" x14ac:dyDescent="0.25"/>
  <cols>
    <col min="1" max="1" width="21.140625" style="377" customWidth="1"/>
    <col min="2" max="2" width="20.28515625" style="377" customWidth="1"/>
    <col min="3" max="3" width="67" style="377" customWidth="1"/>
    <col min="4" max="16384" width="9.140625" style="377"/>
  </cols>
  <sheetData>
    <row r="1" spans="1:3" ht="15.75" thickBot="1" x14ac:dyDescent="0.3">
      <c r="A1" s="375" t="s">
        <v>359</v>
      </c>
      <c r="B1" s="376" t="s">
        <v>360</v>
      </c>
      <c r="C1" s="376" t="s">
        <v>361</v>
      </c>
    </row>
    <row r="2" spans="1:3" ht="15.75" thickBot="1" x14ac:dyDescent="0.3">
      <c r="A2" s="378">
        <v>0</v>
      </c>
      <c r="B2" s="379" t="s">
        <v>362</v>
      </c>
      <c r="C2" s="379" t="s">
        <v>140</v>
      </c>
    </row>
    <row r="3" spans="1:3" ht="15.75" thickBot="1" x14ac:dyDescent="0.3">
      <c r="A3" s="378">
        <v>1</v>
      </c>
      <c r="B3" s="379" t="s">
        <v>175</v>
      </c>
      <c r="C3" s="379" t="s">
        <v>364</v>
      </c>
    </row>
    <row r="4" spans="1:3" ht="15.75" thickBot="1" x14ac:dyDescent="0.3">
      <c r="A4" s="378">
        <v>2</v>
      </c>
      <c r="B4" s="379" t="s">
        <v>176</v>
      </c>
      <c r="C4" s="387" t="s">
        <v>399</v>
      </c>
    </row>
    <row r="5" spans="1:3" ht="15.75" thickBot="1" x14ac:dyDescent="0.3">
      <c r="A5" s="378">
        <v>3</v>
      </c>
      <c r="B5" s="379" t="s">
        <v>365</v>
      </c>
      <c r="C5" s="379" t="s">
        <v>125</v>
      </c>
    </row>
    <row r="6" spans="1:3" ht="15.75" thickBot="1" x14ac:dyDescent="0.3">
      <c r="A6" s="378">
        <v>4</v>
      </c>
      <c r="B6" s="379" t="s">
        <v>367</v>
      </c>
      <c r="C6" s="379" t="s">
        <v>368</v>
      </c>
    </row>
    <row r="7" spans="1:3" ht="15.75" thickBot="1" x14ac:dyDescent="0.3">
      <c r="A7" s="378">
        <v>5</v>
      </c>
      <c r="B7" s="379" t="s">
        <v>100</v>
      </c>
      <c r="C7" s="382">
        <v>0</v>
      </c>
    </row>
    <row r="8" spans="1:3" ht="15.75" thickBot="1" x14ac:dyDescent="0.3">
      <c r="A8" s="378">
        <v>6</v>
      </c>
      <c r="B8" s="379" t="s">
        <v>101</v>
      </c>
      <c r="C8" s="379" t="s">
        <v>369</v>
      </c>
    </row>
    <row r="9" spans="1:3" ht="15.75" thickBot="1" x14ac:dyDescent="0.3">
      <c r="A9" s="378">
        <v>7</v>
      </c>
      <c r="B9" s="379" t="s">
        <v>102</v>
      </c>
      <c r="C9" s="379" t="s">
        <v>370</v>
      </c>
    </row>
    <row r="10" spans="1:3" ht="15.75" thickBot="1" x14ac:dyDescent="0.3">
      <c r="A10" s="378">
        <v>8</v>
      </c>
      <c r="B10" s="379" t="s">
        <v>371</v>
      </c>
      <c r="C10" s="379" t="s">
        <v>396</v>
      </c>
    </row>
    <row r="11" spans="1:3" ht="15.75" thickBot="1" x14ac:dyDescent="0.3">
      <c r="A11" s="378">
        <v>9</v>
      </c>
      <c r="B11" s="379" t="s">
        <v>373</v>
      </c>
      <c r="C11" s="379" t="s">
        <v>396</v>
      </c>
    </row>
    <row r="12" spans="1:3" ht="37.5" customHeight="1" x14ac:dyDescent="0.25">
      <c r="A12" s="688">
        <v>10</v>
      </c>
      <c r="B12" s="694" t="s">
        <v>375</v>
      </c>
      <c r="C12" s="697" t="s">
        <v>400</v>
      </c>
    </row>
    <row r="13" spans="1:3" ht="60" customHeight="1" thickBot="1" x14ac:dyDescent="0.3">
      <c r="A13" s="690"/>
      <c r="B13" s="696"/>
      <c r="C13" s="698"/>
    </row>
    <row r="14" spans="1:3" ht="15.75" thickBot="1" x14ac:dyDescent="0.3">
      <c r="A14" s="378">
        <v>11</v>
      </c>
      <c r="B14" s="379" t="s">
        <v>380</v>
      </c>
      <c r="C14" s="379" t="s">
        <v>401</v>
      </c>
    </row>
    <row r="15" spans="1:3" ht="42" customHeight="1" thickBot="1" x14ac:dyDescent="0.3">
      <c r="A15" s="378">
        <v>12</v>
      </c>
      <c r="B15" s="380" t="s">
        <v>381</v>
      </c>
      <c r="C15" s="380" t="s">
        <v>402</v>
      </c>
    </row>
    <row r="16" spans="1:3" ht="54.75" customHeight="1" thickBot="1" x14ac:dyDescent="0.3">
      <c r="A16" s="378">
        <v>13</v>
      </c>
      <c r="B16" s="379" t="s">
        <v>383</v>
      </c>
      <c r="C16" s="380" t="s">
        <v>403</v>
      </c>
    </row>
    <row r="17" spans="1:3" ht="34.5" customHeight="1" x14ac:dyDescent="0.25">
      <c r="A17" s="688">
        <v>14</v>
      </c>
      <c r="B17" s="691" t="s">
        <v>384</v>
      </c>
      <c r="C17" s="697" t="s">
        <v>404</v>
      </c>
    </row>
    <row r="18" spans="1:3" ht="27.75" customHeight="1" thickBot="1" x14ac:dyDescent="0.3">
      <c r="A18" s="690"/>
      <c r="B18" s="693"/>
      <c r="C18" s="698"/>
    </row>
    <row r="19" spans="1:3" ht="15.75" thickBot="1" x14ac:dyDescent="0.3">
      <c r="A19" s="378">
        <v>15</v>
      </c>
      <c r="B19" s="379" t="s">
        <v>387</v>
      </c>
      <c r="C19" s="380"/>
    </row>
    <row r="20" spans="1:3" ht="26.25" thickBot="1" x14ac:dyDescent="0.3">
      <c r="A20" s="378">
        <v>16</v>
      </c>
      <c r="B20" s="380" t="s">
        <v>388</v>
      </c>
      <c r="C20" s="379"/>
    </row>
    <row r="21" spans="1:3" ht="57" customHeight="1" thickBot="1" x14ac:dyDescent="0.3">
      <c r="A21" s="378">
        <v>17</v>
      </c>
      <c r="B21" s="379" t="s">
        <v>389</v>
      </c>
      <c r="C21" s="380" t="s">
        <v>405</v>
      </c>
    </row>
  </sheetData>
  <mergeCells count="6">
    <mergeCell ref="A12:A13"/>
    <mergeCell ref="B12:B13"/>
    <mergeCell ref="A17:A18"/>
    <mergeCell ref="B17:B18"/>
    <mergeCell ref="C12:C13"/>
    <mergeCell ref="C17:C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9CDE09278D729409DE1B0AFBAC2379E" ma:contentTypeVersion="14" ma:contentTypeDescription="Kurkite naują dokumentą." ma:contentTypeScope="" ma:versionID="a8abc293ebe1a50b1f29cec188107bd9">
  <xsd:schema xmlns:xsd="http://www.w3.org/2001/XMLSchema" xmlns:xs="http://www.w3.org/2001/XMLSchema" xmlns:p="http://schemas.microsoft.com/office/2006/metadata/properties" xmlns:ns2="181fd638-8a79-487e-a46d-07287f5b4855" xmlns:ns3="d85cbc99-f6b0-4a9d-b5df-b86cb7c130d4" targetNamespace="http://schemas.microsoft.com/office/2006/metadata/properties" ma:root="true" ma:fieldsID="fec1fbc09ceded7fbfea6fd9427df285" ns2:_="" ns3:_="">
    <xsd:import namespace="181fd638-8a79-487e-a46d-07287f5b4855"/>
    <xsd:import namespace="d85cbc99-f6b0-4a9d-b5df-b86cb7c130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1fd638-8a79-487e-a46d-07287f5b48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3fb0d60-6f00-4212-b98d-2e07146e5b5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5cbc99-f6b0-4a9d-b5df-b86cb7c130d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f9929918-091b-48d6-97cb-111e89901dff}" ma:internalName="TaxCatchAll" ma:showField="CatchAllData" ma:web="d85cbc99-f6b0-4a9d-b5df-b86cb7c130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1fd638-8a79-487e-a46d-07287f5b4855">
      <Terms xmlns="http://schemas.microsoft.com/office/infopath/2007/PartnerControls"/>
    </lcf76f155ced4ddcb4097134ff3c332f>
    <TaxCatchAll xmlns="d85cbc99-f6b0-4a9d-b5df-b86cb7c130d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F9684A-CBBE-452A-822C-1D79A2AAD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1fd638-8a79-487e-a46d-07287f5b4855"/>
    <ds:schemaRef ds:uri="d85cbc99-f6b0-4a9d-b5df-b86cb7c13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E5C69F-A6F0-4CA9-80E0-70991A475CEB}">
  <ds:schemaRefs>
    <ds:schemaRef ds:uri="http://purl.org/dc/terms/"/>
    <ds:schemaRef ds:uri="http://schemas.microsoft.com/office/2006/metadata/properties"/>
    <ds:schemaRef ds:uri="d85cbc99-f6b0-4a9d-b5df-b86cb7c130d4"/>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www.w3.org/XML/1998/namespace"/>
    <ds:schemaRef ds:uri="181fd638-8a79-487e-a46d-07287f5b4855"/>
    <ds:schemaRef ds:uri="http://purl.org/dc/dcmitype/"/>
  </ds:schemaRefs>
</ds:datastoreItem>
</file>

<file path=customXml/itemProps3.xml><?xml version="1.0" encoding="utf-8"?>
<ds:datastoreItem xmlns:ds="http://schemas.openxmlformats.org/officeDocument/2006/customXml" ds:itemID="{9BF08169-4D33-4F18-A188-DCE087818B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Intervencijų lėšos (2)</vt:lpstr>
      <vt:lpstr>2.8 (8.1)</vt:lpstr>
      <vt:lpstr>3PO 3.2</vt:lpstr>
      <vt:lpstr>3PO 3.3</vt:lpstr>
      <vt:lpstr>5PO</vt:lpstr>
      <vt:lpstr>F  Specific output 8.1 (1)</vt:lpstr>
      <vt:lpstr>F  Specific output 8.1 (2)</vt:lpstr>
      <vt:lpstr>F  Specific output 8.1 (3)</vt:lpstr>
      <vt:lpstr>F  Specific output 8.1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2025-12-16T11:29:57Z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0x01010079CDE09278D729409DE1B0AFBAC2379E</vt:lpwstr>
  </property>
  <property fmtid="{D5CDD505-2E9C-101B-9397-08002B2CF9AE}" pid="3" name="MediaServiceImageTags">
    <vt:lpwstr/>
  </property>
</Properties>
</file>