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052B5A55-00CE-48ED-B9B1-D35FC3D5A154}" xr6:coauthVersionLast="47" xr6:coauthVersionMax="47" xr10:uidLastSave="{00000000-0000-0000-0000-000000000000}"/>
  <bookViews>
    <workbookView xWindow="-120" yWindow="-120" windowWidth="29040" windowHeight="15720" xr2:uid="{00000000-000D-0000-FFFF-FFFF00000000}"/>
  </bookViews>
  <sheets>
    <sheet name="1.3" sheetId="3" r:id="rId1"/>
    <sheet name="S.R 1.3.4 (1)" sheetId="6" r:id="rId2"/>
    <sheet name="S.R.1.3.4 (2)" sheetId="7" r:id="rId3"/>
    <sheet name="S.R. 1.3.6" sheetId="8" r:id="rId4"/>
    <sheet name="S.R. 1.3.7 1.3.8" sheetId="9" r:id="rId5"/>
    <sheet name="S.R. 1.3.8 (2)" sheetId="10" r:id="rId6"/>
  </sheets>
  <definedNames>
    <definedName name="_xlnm._FilterDatabase" localSheetId="0" hidden="1">'1.3'!$A$5:$W$66</definedName>
    <definedName name="_xlnm.Print_Area" localSheetId="0">'1.3'!$A$69:$N$96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8" i="3" l="1"/>
  <c r="P37" i="3"/>
  <c r="E59" i="3"/>
  <c r="E54" i="3"/>
  <c r="E50" i="3"/>
  <c r="E45" i="3"/>
  <c r="E41" i="3"/>
  <c r="E35" i="3"/>
  <c r="E30" i="3"/>
  <c r="E27" i="3"/>
  <c r="E22" i="3"/>
  <c r="E12" i="3"/>
  <c r="E17" i="3"/>
  <c r="E6" i="3"/>
  <c r="M65" i="3" l="1"/>
  <c r="C6" i="3"/>
  <c r="C17" i="3" l="1"/>
  <c r="P43" i="3" l="1"/>
  <c r="C41" i="3"/>
  <c r="P32" i="3"/>
  <c r="C30" i="3"/>
  <c r="C27" i="3"/>
  <c r="J92" i="3" l="1"/>
  <c r="J85" i="3"/>
  <c r="K85" i="3" s="1"/>
  <c r="J84" i="3"/>
  <c r="J83" i="3"/>
  <c r="J77" i="3"/>
  <c r="K77" i="3" s="1"/>
  <c r="J75" i="3"/>
  <c r="J73" i="3"/>
  <c r="C59" i="3"/>
  <c r="C54" i="3"/>
  <c r="P24" i="3" l="1"/>
  <c r="J79" i="3" s="1"/>
  <c r="P19" i="3"/>
  <c r="P6" i="3"/>
  <c r="G12" i="3" l="1"/>
  <c r="F12" i="3"/>
  <c r="B12" i="3" s="1"/>
  <c r="P22" i="3" l="1"/>
  <c r="O22" i="3"/>
  <c r="O27" i="3"/>
  <c r="P27" i="3"/>
  <c r="G27" i="3"/>
  <c r="G22" i="3" l="1"/>
  <c r="F27" i="3"/>
  <c r="B27" i="3" s="1"/>
  <c r="F22" i="3" l="1"/>
  <c r="B22" i="3" s="1"/>
  <c r="P41" i="3" l="1"/>
  <c r="G41" i="3" l="1"/>
  <c r="F41" i="3"/>
  <c r="B41" i="3" s="1"/>
  <c r="P30" i="3"/>
  <c r="G30" i="3" l="1"/>
  <c r="F30" i="3" l="1"/>
  <c r="B30" i="3" s="1"/>
  <c r="F17" i="3" l="1"/>
  <c r="B17" i="3" s="1"/>
  <c r="G6" i="3"/>
  <c r="F6" i="3" l="1"/>
  <c r="B6" i="3" s="1"/>
  <c r="G17" i="3"/>
  <c r="P63" i="3" l="1"/>
  <c r="J95" i="3" l="1"/>
  <c r="K95" i="3" s="1"/>
  <c r="A3" i="10"/>
  <c r="A4" i="10" s="1"/>
  <c r="A5" i="10" s="1"/>
  <c r="A6" i="10" s="1"/>
  <c r="A7" i="10" s="1"/>
  <c r="A8" i="10" s="1"/>
  <c r="A9" i="10" s="1"/>
  <c r="A10" i="10" s="1"/>
  <c r="A11" i="10" s="1"/>
  <c r="A12" i="10" s="1"/>
  <c r="A13" i="10" s="1"/>
  <c r="A14" i="10" s="1"/>
  <c r="A15" i="10" s="1"/>
  <c r="A16" i="10" s="1"/>
  <c r="A17" i="10" s="1"/>
  <c r="A18" i="10" s="1"/>
  <c r="A19" i="10" s="1"/>
  <c r="A3" i="9"/>
  <c r="A4" i="9" s="1"/>
  <c r="A5" i="9" s="1"/>
  <c r="A6" i="9" s="1"/>
  <c r="A7" i="9" s="1"/>
  <c r="A8" i="9" s="1"/>
  <c r="A9" i="9" s="1"/>
  <c r="A10" i="9" s="1"/>
  <c r="A11" i="9" s="1"/>
  <c r="A12" i="9" s="1"/>
  <c r="A13" i="9" s="1"/>
  <c r="A14" i="9" s="1"/>
  <c r="A15" i="9" s="1"/>
  <c r="A16" i="9" s="1"/>
  <c r="A17" i="9" s="1"/>
  <c r="A18" i="9" s="1"/>
  <c r="A19" i="9" s="1"/>
  <c r="H75" i="3"/>
  <c r="H74" i="3"/>
  <c r="P59" i="3"/>
  <c r="J74" i="3" s="1"/>
  <c r="O59" i="3"/>
  <c r="P50" i="3"/>
  <c r="P53" i="3" s="1"/>
  <c r="J94" i="3" l="1"/>
  <c r="K94" i="3" s="1"/>
  <c r="C64" i="3"/>
  <c r="P62" i="3"/>
  <c r="J93" i="3" s="1"/>
  <c r="G59" i="3"/>
  <c r="F59" i="3"/>
  <c r="K93" i="3" l="1"/>
  <c r="C45" i="3"/>
  <c r="C66" i="3" l="1"/>
  <c r="C65" i="3"/>
  <c r="G50" i="3"/>
  <c r="F50" i="3"/>
  <c r="J82" i="3" l="1"/>
  <c r="K73" i="3"/>
  <c r="O17" i="3" l="1"/>
  <c r="H73" i="3" l="1"/>
  <c r="I73" i="3" s="1"/>
  <c r="P17" i="3"/>
  <c r="B88" i="3"/>
  <c r="P58" i="3"/>
  <c r="J87" i="3" s="1"/>
  <c r="K87" i="3" l="1"/>
  <c r="P11" i="3"/>
  <c r="C92" i="3" l="1"/>
  <c r="B92" i="3"/>
  <c r="A92" i="3"/>
  <c r="C91" i="3"/>
  <c r="B91" i="3"/>
  <c r="A91" i="3"/>
  <c r="C90" i="3"/>
  <c r="B90" i="3"/>
  <c r="A90" i="3"/>
  <c r="C89" i="3"/>
  <c r="B89" i="3"/>
  <c r="A89" i="3"/>
  <c r="C88" i="3"/>
  <c r="A88" i="3"/>
  <c r="K92" i="3" l="1"/>
  <c r="J91" i="3"/>
  <c r="K91" i="3" s="1"/>
  <c r="J90" i="3"/>
  <c r="K90" i="3" s="1"/>
  <c r="F45" i="3"/>
  <c r="J89" i="3"/>
  <c r="K89" i="3" s="1"/>
  <c r="J88" i="3"/>
  <c r="K88" i="3" s="1"/>
  <c r="F35" i="3" l="1"/>
  <c r="B45" i="3"/>
  <c r="E64" i="3"/>
  <c r="F65" i="3"/>
  <c r="E65" i="3"/>
  <c r="F54" i="3"/>
  <c r="A3" i="8"/>
  <c r="A4" i="8" s="1"/>
  <c r="A5" i="8" s="1"/>
  <c r="A6" i="8" s="1"/>
  <c r="A7" i="8" s="1"/>
  <c r="A8" i="8" s="1"/>
  <c r="A9" i="8" s="1"/>
  <c r="A10" i="8" s="1"/>
  <c r="A11" i="8" s="1"/>
  <c r="A12" i="8" s="1"/>
  <c r="A13" i="8" s="1"/>
  <c r="A14" i="8" s="1"/>
  <c r="A15" i="8" s="1"/>
  <c r="A16" i="8" s="1"/>
  <c r="A17" i="8" s="1"/>
  <c r="A18" i="8" s="1"/>
  <c r="A19" i="8" s="1"/>
  <c r="A3" i="7"/>
  <c r="A4" i="7" s="1"/>
  <c r="A5" i="7" s="1"/>
  <c r="A6" i="7" s="1"/>
  <c r="A7" i="7" s="1"/>
  <c r="A8" i="7" s="1"/>
  <c r="A9" i="7" s="1"/>
  <c r="A10" i="7" s="1"/>
  <c r="A11" i="7" s="1"/>
  <c r="A12" i="7" s="1"/>
  <c r="A13" i="7" s="1"/>
  <c r="A14" i="7" s="1"/>
  <c r="A15" i="7" s="1"/>
  <c r="A16" i="7" s="1"/>
  <c r="A17" i="7" s="1"/>
  <c r="A18" i="7" s="1"/>
  <c r="A19" i="7" s="1"/>
  <c r="F64" i="3" l="1"/>
  <c r="B54" i="3"/>
  <c r="A3" i="6"/>
  <c r="A4" i="6" s="1"/>
  <c r="A5" i="6" s="1"/>
  <c r="A6" i="6" s="1"/>
  <c r="A7" i="6" s="1"/>
  <c r="A8" i="6" s="1"/>
  <c r="A9" i="6" s="1"/>
  <c r="A10" i="6" s="1"/>
  <c r="A11" i="6" s="1"/>
  <c r="A12" i="6" s="1"/>
  <c r="A13" i="6" s="1"/>
  <c r="A14" i="6" s="1"/>
  <c r="A15" i="6" s="1"/>
  <c r="A16" i="6" s="1"/>
  <c r="A17" i="6" s="1"/>
  <c r="A18" i="6" s="1"/>
  <c r="A19" i="6" s="1"/>
  <c r="J80" i="3" l="1"/>
  <c r="J78" i="3" l="1"/>
  <c r="K78" i="3" s="1"/>
  <c r="J76" i="3"/>
  <c r="K76" i="3" s="1"/>
  <c r="K75" i="3"/>
  <c r="J72" i="3"/>
  <c r="P54" i="3" l="1"/>
  <c r="K84" i="3" s="1"/>
  <c r="O45" i="3"/>
  <c r="P45" i="3"/>
  <c r="J71" i="3" s="1"/>
  <c r="G45" i="3"/>
  <c r="H72" i="3"/>
  <c r="I72" i="3" s="1"/>
  <c r="P35" i="3"/>
  <c r="B35" i="3"/>
  <c r="J86" i="3"/>
  <c r="K86" i="3" s="1"/>
  <c r="H78" i="3"/>
  <c r="I78" i="3" s="1"/>
  <c r="H76" i="3"/>
  <c r="I76" i="3" s="1"/>
  <c r="J70" i="3" l="1"/>
  <c r="K70" i="3" s="1"/>
  <c r="K71" i="3"/>
  <c r="I75" i="3"/>
  <c r="O54" i="3"/>
  <c r="I74" i="3"/>
  <c r="O6" i="3"/>
  <c r="O35" i="3"/>
  <c r="G35" i="3"/>
  <c r="G54" i="3"/>
  <c r="G64" i="3" s="1"/>
  <c r="J81" i="3"/>
  <c r="H71" i="3" l="1"/>
  <c r="O65" i="3"/>
  <c r="P65" i="3"/>
  <c r="P66" i="3" s="1"/>
  <c r="G65" i="3"/>
  <c r="H70" i="3"/>
  <c r="I70" i="3" s="1"/>
  <c r="K74" i="3"/>
  <c r="K72" i="3"/>
  <c r="I71" i="3"/>
  <c r="K83" i="3"/>
  <c r="K96" i="3" l="1"/>
  <c r="J96" i="3"/>
  <c r="J97" i="3" s="1"/>
  <c r="I96" i="3"/>
  <c r="G66" i="3"/>
  <c r="H96" i="3"/>
  <c r="H97" i="3" s="1"/>
  <c r="B66" i="3"/>
</calcChain>
</file>

<file path=xl/sharedStrings.xml><?xml version="1.0" encoding="utf-8"?>
<sst xmlns="http://schemas.openxmlformats.org/spreadsheetml/2006/main" count="773" uniqueCount="241">
  <si>
    <t>EU Amount (EUR)</t>
  </si>
  <si>
    <t>Intervention field</t>
  </si>
  <si>
    <t>Indicator</t>
  </si>
  <si>
    <t>Category of region</t>
  </si>
  <si>
    <t>Fund</t>
  </si>
  <si>
    <t>M.U.</t>
  </si>
  <si>
    <t>Baseline</t>
  </si>
  <si>
    <t xml:space="preserve">Milestone 2024 </t>
  </si>
  <si>
    <t>Target 2029</t>
  </si>
  <si>
    <t>Data source</t>
  </si>
  <si>
    <t>Methodology for calculating the values for the indicator</t>
  </si>
  <si>
    <t>code and name</t>
  </si>
  <si>
    <t>co-financing rate (Eur.)</t>
  </si>
  <si>
    <t>Amount (EU+ national)(Eur.)</t>
  </si>
  <si>
    <t>code</t>
  </si>
  <si>
    <t>name</t>
  </si>
  <si>
    <t>value</t>
  </si>
  <si>
    <t>year</t>
  </si>
  <si>
    <t>n/a</t>
  </si>
  <si>
    <t>Supported projects</t>
  </si>
  <si>
    <t>Indicator code</t>
  </si>
  <si>
    <t>Indicator name</t>
  </si>
  <si>
    <t>Indicator M.U.</t>
  </si>
  <si>
    <t>Indicator baseline value</t>
  </si>
  <si>
    <t>Indicator baseline year</t>
  </si>
  <si>
    <t>Total allocation at action level (indicative)</t>
  </si>
  <si>
    <t>MWR</t>
  </si>
  <si>
    <t>Capital</t>
  </si>
  <si>
    <t>Capital region</t>
  </si>
  <si>
    <t>RCR03</t>
  </si>
  <si>
    <t>Milestone 2024</t>
  </si>
  <si>
    <t>ERDF</t>
  </si>
  <si>
    <t>RCO01</t>
  </si>
  <si>
    <t>Mid-West Lithuania region</t>
  </si>
  <si>
    <t>enterprises</t>
  </si>
  <si>
    <t>MA monitoring system</t>
  </si>
  <si>
    <t>RCO03</t>
  </si>
  <si>
    <t>RCO04</t>
  </si>
  <si>
    <t>RCO05</t>
  </si>
  <si>
    <t>RCR02</t>
  </si>
  <si>
    <t>euro</t>
  </si>
  <si>
    <t>RCR17</t>
  </si>
  <si>
    <t>RCO02</t>
  </si>
  <si>
    <t>RCR01</t>
  </si>
  <si>
    <t>annual FTEs</t>
  </si>
  <si>
    <t>Supported projects or enterprise surveys</t>
  </si>
  <si>
    <t>counting removed at the level of the specific objective</t>
  </si>
  <si>
    <t xml:space="preserve">Action </t>
  </si>
  <si>
    <t>Ministry of economy and innovation</t>
  </si>
  <si>
    <t>Enterprises supported (of which: micro, small, medium, large)(Paramą gavusios įmonės (iš kurių: labai mažos, mažosios, vidutinės ir didelės)</t>
  </si>
  <si>
    <t>Enterprises supported by grants (paramą dotacijomis gavusios įmonės)</t>
  </si>
  <si>
    <t>The 2029 RCR02 (private investment) target is 50% private funding according to the Capital Region funding intensity level (EU-50%; national-50%).</t>
  </si>
  <si>
    <t>Enterprises supported by financial instruments (Paramą finansinėmis priemonėmis gavusios įmonės)</t>
  </si>
  <si>
    <t>Enterprises with non-financial suppport (Nefinansinę paramą gavusios įmonės)</t>
  </si>
  <si>
    <t>New enterprises supported (Paramą gavusios naujos įmonės)</t>
  </si>
  <si>
    <t>Jobs created in supported entities (Paramą gavusiuose subjektuose sukurtos darbo vietos)</t>
  </si>
  <si>
    <t>Private investments matching public support (of which: grants, financial instruments)(Privačiosios investicijos, papildančios viešąją paramą (iš kurių: dotacijos, finansinės priemonės)</t>
  </si>
  <si>
    <t>Small and medium-sized enterprises (SMEs) introducing product or process innovation (Produktų ar prbocesų inovacijas diegiančios mažosios ir vidutinės įmonės (MVĮ)</t>
  </si>
  <si>
    <t>New enterprises surviving in the market (naujos įmonės, sugebėjusios išlikti rinkoje)</t>
  </si>
  <si>
    <t>Enterprises supported by grants (Paramą dotacijomis gavusios įmonės)</t>
  </si>
  <si>
    <t>New enterprises surviving in the market (Naujos įmonės, sugebėjusios išlikti rinkoje)</t>
  </si>
  <si>
    <r>
      <rPr>
        <b/>
        <sz val="11"/>
        <rFont val="Calibri"/>
        <family val="2"/>
        <charset val="186"/>
        <scheme val="minor"/>
      </rPr>
      <t>021</t>
    </r>
    <r>
      <rPr>
        <sz val="11"/>
        <color theme="1"/>
        <rFont val="Calibri"/>
        <family val="2"/>
        <charset val="186"/>
        <scheme val="minor"/>
      </rPr>
      <t xml:space="preserve"> SME business development and internationalisation (MVĮ verslo plėtra ir tarptautinimas, įskaitant gamybines investicijas)</t>
    </r>
  </si>
  <si>
    <r>
      <rPr>
        <b/>
        <sz val="11"/>
        <rFont val="Calibri"/>
        <family val="2"/>
        <charset val="186"/>
        <scheme val="minor"/>
      </rPr>
      <t>021</t>
    </r>
    <r>
      <rPr>
        <sz val="11"/>
        <color theme="1"/>
        <rFont val="Calibri"/>
        <family val="2"/>
        <charset val="186"/>
        <scheme val="minor"/>
      </rPr>
      <t xml:space="preserve"> SME business development and internationalisation (MVĮ verslo plėtra ir tarptautinimas, įskaitant gamybines investicijas)
</t>
    </r>
  </si>
  <si>
    <t>Comments</t>
  </si>
  <si>
    <t>Capital region only 2 actions (one subsidy, another FI). All unique will be.</t>
  </si>
  <si>
    <t>MWR region 2 actions (FI).  Target groups differ completely. All unique will be.</t>
  </si>
  <si>
    <t>Specific objective – 1.3. Enhancing sustainable growth and competitiveness of SMEs and job creation in SMEs, including by productive investments</t>
  </si>
  <si>
    <t>Small and medium-sized enterprises (SMEs) introducing product or process innovation (Produktų ar procesų inovacijas diegiančios mažosios ir vidutinės įmonės (MVĮ)</t>
  </si>
  <si>
    <r>
      <rPr>
        <b/>
        <sz val="11"/>
        <color theme="1"/>
        <rFont val="Calibri"/>
        <family val="2"/>
        <scheme val="minor"/>
      </rPr>
      <t>1.3.6 Promote the development and growth of the network of SMEs that have merged into export-oriented, integrated value chain</t>
    </r>
    <r>
      <rPr>
        <sz val="11"/>
        <color theme="1"/>
        <rFont val="Calibri"/>
        <family val="2"/>
        <scheme val="minor"/>
      </rPr>
      <t xml:space="preserve"> (Skatinti į eksportą orientuotų, į bendrą vertės grandinę susijungusių MVĮ tinklo kūrimąsi ir augimą)</t>
    </r>
  </si>
  <si>
    <r>
      <rPr>
        <b/>
        <sz val="11"/>
        <color theme="1"/>
        <rFont val="Calibri"/>
        <family val="2"/>
        <scheme val="minor"/>
      </rPr>
      <t xml:space="preserve">1.3.4 Promoting the international dimension of SME activities and the identification of new export markets </t>
    </r>
    <r>
      <rPr>
        <sz val="11"/>
        <color theme="1"/>
        <rFont val="Calibri"/>
        <family val="2"/>
        <scheme val="minor"/>
      </rPr>
      <t>(Skatinti MVĮ veiklos tarptautiškumą ir naujų eksporto rinkų identifikavimo veiklas)</t>
    </r>
  </si>
  <si>
    <t>Examples</t>
  </si>
  <si>
    <t>Notes</t>
  </si>
  <si>
    <t>Corresponding corporate indicator</t>
  </si>
  <si>
    <t>References</t>
  </si>
  <si>
    <t>Reporting</t>
  </si>
  <si>
    <t>Aggregation issues</t>
  </si>
  <si>
    <t>Time measurement achieved</t>
  </si>
  <si>
    <t>Data collection</t>
  </si>
  <si>
    <t>Definition and concepts</t>
  </si>
  <si>
    <t>Specific objective</t>
  </si>
  <si>
    <t>Policy objective</t>
  </si>
  <si>
    <t>Type of indicator</t>
  </si>
  <si>
    <t>Measurement unit</t>
  </si>
  <si>
    <t>Indicator metadata</t>
  </si>
  <si>
    <t>Field</t>
  </si>
  <si>
    <t>Row ID</t>
  </si>
  <si>
    <t>&gt;0</t>
  </si>
  <si>
    <t>result</t>
  </si>
  <si>
    <t>not required</t>
  </si>
  <si>
    <t>PO1 Smart Europe</t>
  </si>
  <si>
    <t>RSO1.3 Enhancing sustainable growth and competitiveness of SMEs</t>
  </si>
  <si>
    <t>Presentations of SMEs products at international exhibitions</t>
  </si>
  <si>
    <t>Upon the completion of output from the supported project.</t>
  </si>
  <si>
    <t xml:space="preserve">Rule 1: Reporting by specific objective
Forecast for selected projects and achieved values, both cumulative to date  (CPR Annex VII, Table 3).
</t>
  </si>
  <si>
    <t xml:space="preserve">Rule 1: Double counting removed at the level of the specific objective
A presentation is counted once regardless how many operations contribute to it in the same specific objective.
</t>
  </si>
  <si>
    <t>Certified products of SMEs</t>
  </si>
  <si>
    <t>Number of presentations of SMEs products at  international exhibitions due to the support provided. The indicator covers also micro enterprises. Presentation - public presentation of the enterprise's products. Product - products and / or services provided by the enteprise. An international exhibition is a temporary and periodic public event in which participating foreign enterprises make up at least 10 percent of all participants in the event and during which service providers or producers of goods present their services and / or products in special premises and / or virtual space, organize presentations and / or fairs.
For enterprise definition - see RCO01.</t>
  </si>
  <si>
    <t>Number of certified products of SMEs due to the support provided. The indicator covers also micro enterprises. Certified product - a product that meets the requirements of a standard or other normative document. Certification is performed by a certification body as defined in the Law on Conformity Assessment of the Republic of Lithuania or a similar foreign certification body. Product - products and / or services provided by the enteprise. 
For enterprise definition - see RCO01.</t>
  </si>
  <si>
    <t>Cluster membership in international networks</t>
  </si>
  <si>
    <t>Number of cluster membership in international networks due to the support provided. The indicator covers also micro enterprises. A business cluster is a group of SMEs operating in partnership, whose members seek to increase economic efficiency by operating in a variety of interrelated areas of economic activity and initiative. Membership in an international network - being a member of an international cluster of enterprises.
For enterprise definition - see RCO01.</t>
  </si>
  <si>
    <t xml:space="preserve">Rule 1: Double counting removed at the level of the specific objective
A certified product is counted once regardless how many operations contribute to it in the same specific objective.
</t>
  </si>
  <si>
    <t xml:space="preserve">Rule 1: Double counting removed at the level of the specific objective
A cluster membership in the internatiol network is counted once regardless how many operations contribute to it in the same specific objective.
</t>
  </si>
  <si>
    <t>cluster membership</t>
  </si>
  <si>
    <t>certified products</t>
  </si>
  <si>
    <t>presentations</t>
  </si>
  <si>
    <t>The 2029 RCR02 (private investment) target is 50% private funding according to the state aid (de minimis state aid) rules  (EU-50%; national-50%).</t>
  </si>
  <si>
    <t>The 2029 RCR02 (private investment) target is 50% of private funding according to the state aid (de minimis state aid) rules  (EU-50%; national-50%).</t>
  </si>
  <si>
    <t>The 2029 RCR02 (private investment) target is 50% private funding according to the state aid (de minimis state aid) rules (EU-50%; national-50%).</t>
  </si>
  <si>
    <t>Specific result</t>
  </si>
  <si>
    <t>number</t>
  </si>
  <si>
    <t>Policy objective - 1. A more competitive and smarter Europe by promoting innovative and smart economic transformation and regional ICT connectivity</t>
  </si>
  <si>
    <t>Presentations of SMEs products at international exhibitions (MVĮ produkcijos pristatymai tarptautinėse parodose)</t>
  </si>
  <si>
    <t>Certified products of SMEs (MVĮ sertifikuoti produktai)</t>
  </si>
  <si>
    <t>Presentations of SMEs products at international exhibitions (MVĮ produktų pristatymas tarptautinėse parodose)</t>
  </si>
  <si>
    <t>Cluster membership in international networks (Klasterio narystė tarptautiniuose tinkluose)</t>
  </si>
  <si>
    <t>RCR25</t>
  </si>
  <si>
    <t>Supported projects, public registries</t>
  </si>
  <si>
    <t>The 2029 RCR02 (private investment) target is 15% private funding of financial instruments according to the Mid-West Region funding intensity level (EU-85%; national-15%) and 60% private funding (grant) according to the state aid rules. Total private contribution co-financing the supported projects where the form of support is a grant or based on financial instruments. The indicator covers also the non-eligible part of the project cost, also including VAT. 
The total amount for the action is 46.175.294 EUR, of which 20% is allocated to grant 46.175.294,12*0,2=9.235.059 EUR and 80% is allocated to financial instruments 46.175.294,12*0,8=36.940.235 EUR (in case of the financial instruments multiplier 1,5 is apllied) . 
Private investments of enterprises supported with grants is:  46.175.294 EUR (total amount) * 0,2 (allocation to grants) * 0,6 (private funding)= 5.541.035 EUR.
Private investments of enterprises supported by  financial instruments is: 46.175.294,12 EUR (total amount) *0,8 (allocation to financial instruments) * 1,5 (multiplier) * 0,15 (private funding)= 8.311.553 EUR.
In total the 2029 target for RCR02 is 5.541.035+8.311.553 =13.852.588 EUR.</t>
  </si>
  <si>
    <t>SMEs with higher value added per employee (didesnę vienam darbuotojui tenkančią pridėtinę vertę sukuriančios MVĮ)</t>
  </si>
  <si>
    <r>
      <t xml:space="preserve">The 2029 RCR02 (private investment) target is 15% private funding according to the Mid-West Region funding intensity level (EU-85%; national-15%). Total private contribution co-financing the supported projects where the form of support is a grant or based on financial instruments. The indicator covers also the non-eligible part of the project cost, also including VAT. 
Private investments of enterprises supported by  financial enterprises is: 38.345.636 EUR (total amount) *0,73 (allocation to financial instruments)*1,5 (multiplier)*0,15 (private funding)= 6.298.271 EUR.
In total the 2029 target for RCR02 is 6.298.271 EUR.
</t>
    </r>
    <r>
      <rPr>
        <i/>
        <sz val="11"/>
        <rFont val="Calibri"/>
        <family val="2"/>
        <scheme val="minor"/>
      </rPr>
      <t>Private investments of  enterprises with non-financial support is: 38.345.636 EUR (total amount) * 0,27 (allocation to non-financial support, see RCO04 calculation)* 0,15 (private funding)= 1.552.998 EUR. not  included in the calculation of the indicator.</t>
    </r>
  </si>
  <si>
    <r>
      <t>The 2029 target for RCO01 equals the sum of RCO03 and RCO04 target values (RCO01=RCO03+RCO04). So 563+909=1472.  As regards milestones for 2024, it is assumed that progress of the action of financial instruments would amount to 0% of the final targets set based on the allocation for 2021-2027. So the 2024 target for RCO01 equals the sum of RCO03 and RCO04 target values of 2024 (RCO01=RCO03+RCO04) and it is 336+0=336.</t>
    </r>
    <r>
      <rPr>
        <strike/>
        <sz val="11"/>
        <rFont val="Calibri"/>
        <family val="2"/>
        <scheme val="minor"/>
      </rPr>
      <t xml:space="preserve">
</t>
    </r>
  </si>
  <si>
    <t xml:space="preserve">Calculation of indicator is based  according to the experience of 2014-2020 and Mid-West Region funding intensity level (EU-85%; national-15%) and it is  38.345.636 EUR. 73 % of the total amount is allocated to financial instruments. Also multiplier 1,5 is applied and total allocation used for callculation of  the target for  RCO03 is 41.988.471 EUR.
The calculation of the target value of the indicator requires a preliminary amount of financial instruments that would be allocated to one enterprise. The 2029 target for RCO03 is based on the assumption of 63.351  EUR average project value per enterprise (in terms of 2014-2020 financed projects in Mid-West region under the measures Entrepreneurship FE, Partial compensation of interest). Also the result is reduced 15 % because of implementation risk (according to the experience of 2014-2020 value of discontinued projects is 15% of the value of completed projects): 
(41.988.471/63.351)*0,85=  563 small and medium business entities.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</si>
  <si>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r>
      <t>Calculation of indicator is based according to the experience of 2014-2020 and Mid-West Region funding intensity level (EU-85%; national-15%) and it is 38.345.636</t>
    </r>
    <r>
      <rPr>
        <b/>
        <sz val="11"/>
        <rFont val="Calibri"/>
        <family val="2"/>
        <scheme val="minor"/>
      </rPr>
      <t xml:space="preserve"> </t>
    </r>
    <r>
      <rPr>
        <sz val="11"/>
        <rFont val="Calibri"/>
        <family val="2"/>
        <scheme val="minor"/>
      </rPr>
      <t xml:space="preserve">EUR. 27 % of the total amount is allocated to non-financial support and it is 10.346.201-7% (indirect costs)=9.621.967  EUR.
The calculation of the target value of the indicator requires a preliminary amount of non-financial support that would be provided to one start-up (9.000 EUR) (in terms of 2014-2020 projects implemented by Swarm cooperation centres established by Entrepreneurial Lithuania). </t>
    </r>
    <r>
      <rPr>
        <strike/>
        <sz val="11"/>
        <rFont val="Calibri"/>
        <family val="2"/>
        <scheme val="minor"/>
      </rPr>
      <t xml:space="preserve"> </t>
    </r>
    <r>
      <rPr>
        <sz val="11"/>
        <rFont val="Calibri"/>
        <family val="2"/>
        <scheme val="minor"/>
      </rPr>
      <t xml:space="preserve">
The 2029 target for RCO04 is based on the assumption of 9.000  EUR average amount of non-financial support per enterprise. Also the result is reduced 15 % because of implementation risk (according to the experience of 2014-2020 value of discontinued projects is 15% of the value of completed projects): 
(9.621.967/9.000)*0,85= 909 entities.
As regards milestones for 2024, it is assumed that progress of the action, according to the forecast made in 2022 March-April (data from planned calls for proposals and payments), would amount to 37% of the final targets set based on the allocation for 2021-2027: 37% *909=336 enterprises.
</t>
    </r>
    <r>
      <rPr>
        <strike/>
        <sz val="11"/>
        <rFont val="Calibri"/>
        <family val="2"/>
        <charset val="186"/>
        <scheme val="minor"/>
      </rPr>
      <t/>
    </r>
  </si>
  <si>
    <r>
      <t>Enterprise Lithuania's survey ENTREPRENEURSHIP TRENDS IN LITHUANIA IN</t>
    </r>
    <r>
      <rPr>
        <strike/>
        <sz val="11"/>
        <rFont val="Calibri"/>
        <family val="2"/>
        <scheme val="minor"/>
      </rPr>
      <t xml:space="preserve"> </t>
    </r>
    <r>
      <rPr>
        <sz val="11"/>
        <rFont val="Calibri"/>
        <family val="2"/>
        <scheme val="minor"/>
      </rPr>
      <t>2018 AND THE BEGINNING OF 2019 (https://www.verslilietuva.lt/wp-content/uploads/2019/06/Verslumo-ap%C5%BEvalga-2018-m.-2019-m.-I-ketv..pdf) indicates that in 2018 the share of enterprises that had survived for more than 1 year in the national economy was 57.4%, and in 2017 - 63.3%. Based on these findings, the 2029 target for RCR17 is based on the assumption of a success rate of survival of 61% ((57.4+63.3)/2) of all supported new businesses in the regions (61% *1108  (the 2029 target for RCO05) =676 companies).  Note - the final value of the indicator will also depend on the economic cycle.</t>
    </r>
  </si>
  <si>
    <t xml:space="preserve">The 2029 target for RCO01 equals the RCO03 target values (RCO01=RCO03). So it is 55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</si>
  <si>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t xml:space="preserve">Calculation of indicator is based according to the experience of 2014-2020 and to the Mid-West Region funding intensity level (EU-85%; national-15%) in case of financial instruments (15 % private funding) and state aid rules in case of grants (60 % of private funding)., so it is  46.175.294 EUR. 
80 % of the total amount is allocated to financial instruments (after assessing the data on the 2014-2020 financed projects in Mid-West region under the measures  "Invest FE", "Partial compensation of interest" and after interviewing experts). Also multiplier 1,5 is applied and total allocation used for callculation of  the target for  RCO03 is 46.175.294,12 EUR*0,8*1,5=55.410.353 EUR.
The calculation of the target value of the indicator requires a preliminary amount of financial instruments that would be allocated to one enterprise. The 2029 target for RCO03 is based on the assumption of 851.042 EUR average project value per enterprise (in terms of 2014-2020 financed projects  in Mid-West region under the measures "Invest FE", "Partial compensation of interest"). 
Also the result is reduced 15 % because of implementation risk  (according to the experience of 2014-2020 value of discontinued projects is 15% of the value of completed projects): 
(55.410.353/851.042)*0,85= 55 small and medium business entities.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</si>
  <si>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r>
      <rPr>
        <b/>
        <sz val="11"/>
        <rFont val="Calibri"/>
        <family val="2"/>
        <scheme val="minor"/>
      </rPr>
      <t xml:space="preserve">1.3.3 Promoting faster recovery for SMEs after the economic downturn </t>
    </r>
    <r>
      <rPr>
        <sz val="11"/>
        <rFont val="Calibri"/>
        <family val="2"/>
        <scheme val="minor"/>
      </rPr>
      <t>(Skatinti greitesnį MVĮ atsigavimą po ekonominio nuosmukio )</t>
    </r>
  </si>
  <si>
    <t>The 2029 target for RCO01 equals the sum of RCO02 2029 target value (RCO01=RCO02). 270=270 SMEs
 As regards milestones for 2024, it is assumed that progress of the action would amount to 32% of the final targets set based on the allocation for 2021-2027 (i.e. 32% *270 (the 2029 target for RCO01) = 86 SMEs).</t>
  </si>
  <si>
    <t xml:space="preserve">The 2029 target for RCO02 equals the 2029 target for RCO01. 
Calculation of indicator is based according to the experience of 2014-2020 and state aid (de minimis aid) rules  (EU-50%; national-50%), so it is 20.000.000 EUR. 
The calculation of the value of the indicator requires a preliminary amount of grant that would be allocated to one enterprise. The 2029 target for RCO02 is based on the assumption of 63.000  EUR average project value per enterprise (in terms of 2014-2020 financed projects  in Mid-West region under the measures "New opportunities LT " and "Expo certificate LT" ). 
Also the result is reduced 15 % because of implementation risk  (according to the experience of 2014-2020 value of discontinued projects is 15% of the value of completed projects): 
(20.000.000/63.000)*0,85= 270 small and medium business entities.  
As regards milestones for 2024, it is assumed that progress of the action, according to the forecast made in 2022 March-April (data from planned calls for proposals and payments), would amount to 32% of the final targets set based on the allocation for 2021-2027: 32% *270=86 enterprises.
</t>
  </si>
  <si>
    <t>The 2029 target for RCO01 equals the sum of RCO02 2029 target value (RCO01=RCO02). 250=250 SMEs
 As regards milestones for 2024, it is assumed that progress of the action would amount to 32% of the final targets set based on the allocation for 2021-2027 (i.e. 32% *250 (the 2029 target for RCO01) = 80 SMEs).</t>
  </si>
  <si>
    <t xml:space="preserve">The 2029 target for RCO02 equals the 2029 target for RCO01. 
The total amount for the action is calculated according to the experience of 2014-2020 and the Capital Region funding intensity level (EU-50%; national-50%) , so it is 20.000.000 EUR. 
The calculation of the value of the indicator requires a preliminary amount of grant that would be allocated to one enterprise. The 2029 target for RCO02 is based on the assumption of  68.000 EUR average project value per enterprise (in terms of 2014-2020 financed projects  in Capital region under the measures "New opportunities LT " and "Expo certificate LT"). Also the result is reduced 15 % because of implementation risk (according to the experience of 2014-2020 value of discontinued projects is 15% of the value of completed projects): 
(20.000.000/68.000)*0,85= 250 small and medium business entities.  
As regards milestones for 2024, it is assumed that progress of the action, according to the forecast made in 2022 March-April (data from planned calls for proposals and payments), would amount to 32% of the final targets set based on the allocation for 2021-2027: 32% *250=80 enterprises.
</t>
  </si>
  <si>
    <t>Number of enterprises supported which achieve higher value added per employee. The indicator counts enterprises for which the value added per employee for the fiscal year after the year of completion of output is at least 2% higher than the value added per employee in the year before the project started. 
Given that only SMEs producing high value-added products and / or providing high value-added services will be eligible applicants for this activity, it is presumed that all enterprises supported by grants (RCO02)  will generate high added value. So the 2029 target for RCR25 equals the 2029 target for RCO02 and it is 250 enteprises.</t>
  </si>
  <si>
    <t>Calculation of indicator is based  according to the experience of 2014-2020 and the Capital Region funding intensity level (EU-50%; national-50%). It is planned that 77,33 % of the total amount will be allocated to support presentations, so it is 20.000.000*0,7733=15.466.000 EUR.
The calculation of the target value of the indicator requires a preliminary amount of grant that would be allocated to one presentation. The 2029 target for indicator is based on the assumption of 14.092 EUR average project value per presentation (in accordance with the Fixed Fee for Participation in International Exhibitions set out in the Research Report on the Determination of Fixed Fees for Participation in International Exhibitions (https://www.esinvesticijos.lt/lt//dokumentai?query=tarptautin%C4%97se&amp;ff=1&amp;document_category=377)). 
15.466.000/14092= 1097 presentations.</t>
  </si>
  <si>
    <t>The 2029 target for RCO01 equals the sum of RCO02 2029 target value (RCO01=RCO02). 330=330 SMEs
 As regards milestones for 2024, it is assumed that progress of the action would amount to 41% of the final targets set based on the allocation for 2021-2027 (41% *330 (the 2029 target for RCO01) =135 SMEs).</t>
  </si>
  <si>
    <r>
      <t>The 2029 target for RCO02 equals the 2029 target for RCO01. 
Calculation of indicator is based  according to the experience of 2014-2020 and state aid (</t>
    </r>
    <r>
      <rPr>
        <i/>
        <sz val="11"/>
        <rFont val="Calibri"/>
        <family val="2"/>
        <scheme val="minor"/>
      </rPr>
      <t xml:space="preserve">de minimis </t>
    </r>
    <r>
      <rPr>
        <sz val="11"/>
        <rFont val="Calibri"/>
        <family val="2"/>
        <scheme val="minor"/>
      </rPr>
      <t xml:space="preserve">aid) rules (EU-50%; national-50%), so it is 16.000.000-7% (indirect costs)= 14.880.000 EUR. 
The calculation of the value of the indicator requires a preliminary amount of grant that would be allocated to one enterprise. The 2029 target for RCO02 is based on the assumption of 38.000 EUR average project value per enterprise (in terms of 2014-2020 financed projects in Mid-West region under the measure "Business cluster LT "). Also the result is reduced 15 % because of implementation risk  (according to the experience of 2014-2020 value of discontinued projects is 15% of the value of completed projects): 
(14.880.000/38.300)*0,85= 330 small and medium business entities.  
As regards milestones for 2024, it is assumed that progress of the action, according to the forecast made in 2022 March-April (data from planned calls for proposals and payments), would amount to 41% of the final targets set based on the allocation for 2021-2027: 41% *330=135 enterprises.
</t>
    </r>
  </si>
  <si>
    <t xml:space="preserve">Calculation of indicator is based  according to the experience of 2014-2020 and  the state aid (de minimis state aid) rules (EU-50%; national-50%).So the total amount is 16.00.000-7% (indirect costs)= 14.880.000 EUR EUR.
The calculation of the target value of the indicator requires a preliminary amount of grant that would be allocated to one cluster membership. The 2029 target for indicator is based on the assumption of 383.052 EUR average project value per one  cluster membership (in terms of 2014-2020 financed projects  in  Mid-West region under the measure "Business cluster LT" ).
Also the result is reduced 15 % because of implementation risk  (according to the experience of 2014-2020 value of discontinued projects is 15% of the value of completed projects): 
(14.880.000/383.052)*0,85= 33 cluster memberships.  </t>
  </si>
  <si>
    <t xml:space="preserve">The 2029 target for RCO01 equals the sum of RCO03 2029 target value (RCO01=RCO03). 554=554 SMEs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</si>
  <si>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r>
      <rPr>
        <b/>
        <sz val="11"/>
        <rFont val="Calibri"/>
        <family val="2"/>
        <scheme val="minor"/>
      </rPr>
      <t>1.3.7 Promoting utomation of production processes and introduction of digital technologies for industrial enterprises</t>
    </r>
    <r>
      <rPr>
        <b/>
        <strike/>
        <sz val="11"/>
        <rFont val="Calibri"/>
        <family val="2"/>
        <scheme val="minor"/>
      </rPr>
      <t xml:space="preserve"> </t>
    </r>
    <r>
      <rPr>
        <b/>
        <sz val="11"/>
        <rFont val="Calibri"/>
        <family val="2"/>
        <scheme val="minor"/>
      </rPr>
      <t>(industrial digitization)</t>
    </r>
    <r>
      <rPr>
        <sz val="11"/>
        <rFont val="Calibri"/>
        <family val="2"/>
        <scheme val="minor"/>
      </rPr>
      <t xml:space="preserve"> (Skatinti pramonės įmonių gamybos procesų automatizavimą ir skaitmeninimo technologijų diegimą (pramonės skaitmeninimas)</t>
    </r>
  </si>
  <si>
    <r>
      <t>An enterprise is considered new if it did not exist during the three years period before the project started. An enterprise will not be considered new if only its legal form changes. 
It is planned that all new companies up to 3 years of age will receive non-financial support, and about 70% of new companies will receive support through financial instruments (after assessing the data on the implemented and completed 2014-2020 financed projects in Mid-West region under the measures Entrepreneurship FE, Partial compensation of interest). Thus 909+(563*0,7)=1303 new enterprises. Also the result is reduced 15 % because of implementation risk  (according to the experience of 2014-2020 value of discontinued projects is 15% of the value of completed projects): 1303*0,85= 1108 new enterprises.
As regards milestones for 2024, it is assumed that progress of the action of non-financial support, according to the forecast made in 2022 March-April (data from planned calls for proposals and payments), would amount to 37% of the final targets set based on the allocation for 2021-2027. So it is 37% *(909*0,85)=286 enterprises.
As regards milestones for 2024, it is assumed that progress of the action of financial instruments,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r>
      <rPr>
        <strike/>
        <sz val="11"/>
        <rFont val="Calibri"/>
        <family val="2"/>
        <scheme val="minor"/>
      </rPr>
      <t xml:space="preserve">
</t>
    </r>
  </si>
  <si>
    <t xml:space="preserve">The 2029 target for RCO02 equals the 2029 target for RCO01. Calculation of indicator is based according to  state aid rules (EU-50%; national-50%), so it is  10.000.000 EUR.
We have no historical data. So, value of the one project was estimated by surveying business associations about the market value of similar services in Mid-West region. The preliminary value of the one project is  50.000-60.000 EUR with the 50% funding intensity. The total amount for the action is 10.000.000/((50.000+60.000)/2) = 181 SMEs.
Also, the result is reduced 15 % because of implementation risk  (according to the experience of 2014-2020 value of discontinued projects is 15% of the value of completed projects): 181*0,85=154 small and medium business entities.
As regards milestones for 2024, it is assumed that progress of the action, according to the forecast made in 2022 March-April (data from planned calls for proposals (1st call for proposals is scheduled for 4th quarter of 2022 and the 2nd one - 4th quarter of 2023), would amount to 77% of the final targets set based on the allocation for 2021-2027 and it is 77%*154=119 SMEs. 
</t>
  </si>
  <si>
    <r>
      <t>T</t>
    </r>
    <r>
      <rPr>
        <sz val="11"/>
        <rFont val="Calibri"/>
        <family val="2"/>
        <charset val="186"/>
        <scheme val="minor"/>
      </rPr>
      <t>he 2029 target for RCO01 equals the sum of RCO02 2029 target value (RCO01=RCO02). 154=154</t>
    </r>
    <r>
      <rPr>
        <sz val="11"/>
        <color theme="1"/>
        <rFont val="Calibri"/>
        <family val="2"/>
        <scheme val="minor"/>
      </rPr>
      <t xml:space="preserve"> SMEs
</t>
    </r>
    <r>
      <rPr>
        <sz val="11"/>
        <rFont val="Calibri"/>
        <family val="2"/>
        <charset val="186"/>
        <scheme val="minor"/>
      </rPr>
      <t xml:space="preserve">As regards milestones for 2024, it is assumed that progress of the action, according to the forecast made in 2022 March-April (data from planned calls for proposals (1st call for proposals is scheduled for 4th quarter of 2022 and the 2nd one - 4th quarter of 2023), would amount to 77% of the final targets set based on the allocation for 2021-2027 and it is 154*77%=119 SMEs. 
</t>
    </r>
  </si>
  <si>
    <t xml:space="preserve">Calculation of indicator is based  according to the experience of 2014-2020 and the Capital Region funding intensity level (EU-50%; national-50%). It is planned that 22,67 % of the total amount will be allocated to support certified products, so it is 20.000.000*0,2267=4.534.000 EUR.
The calculation of the target value of the indicator requires a preliminary amount of grant that would be allocated to one certified product. The 2029 target for indicator is based on the assumption of 5.010 EUR average project value per one certified product  (in terms of 2014-2020 financed projects  in Capital region under the measure "Expo certificate LT" ). 
So 4.534.000/5.010= 905 certified products.  
</t>
  </si>
  <si>
    <t xml:space="preserve">Calculation of indicator is based  according to the experience of 2014-2020 and  the state aid (de minimis state aid) rules (EU-50%; national-50%). It is planned that 77,33 % of the total amount will be allocated to support presentations, so it is 20.000.000*0,7733=15.466.000 EUR.
The calculation of the target value of the indicator requires a preliminary amount of grant that would be allocated to one presentation. The 2029 target for indicator is based on the assumption of 14.092 EUR average project value per presentation (in accordance with the Fixed Fee for Participation in International Exhibitions set out in the Research Report on the Determination of Fixed Fees for Participation in International Exhibitions (https://www.esinvesticijos.lt/lt//dokumentai?query=tarptautin%C4%97se&amp;ff=1&amp;document_category=377)).
So 15.466.000/14092= 1097 presentations.
</t>
  </si>
  <si>
    <t xml:space="preserve">Calculation of indicator is based  according to the experience of 2014-2020 and  the state aid (de minimis state aid) rules (EU-50%; national-50%). It is planned that 22,67 % of the total amount will be allocated to support certified products, so it is 20.000.000*0,2267=4.534.000 EUR.
The calculation of the target value of the indicator requires a preliminary amount of grant that would be allocated to one certified product. The 2029 target for indicator is based on the assumption of 5.833 EUR average project value per one certified product  (in terms of 2014-2020 financed projects  in Mid-West region under the measure "Expo certificate LT" ).  
So 4.534.000/5.833= 777 certified products.  </t>
  </si>
  <si>
    <r>
      <rPr>
        <b/>
        <sz val="11"/>
        <rFont val="Calibri"/>
        <family val="2"/>
        <scheme val="minor"/>
      </rPr>
      <t xml:space="preserve">1.3.8 Promoting the digitisation of business processes for enterprises developing high added value </t>
    </r>
    <r>
      <rPr>
        <sz val="11"/>
        <rFont val="Calibri"/>
        <family val="2"/>
        <scheme val="minor"/>
      </rPr>
      <t>(Skatinti aukštą pridėtinę vertę (APV)  kuriančių įmonių verslo procesų skaitmeninimą)</t>
    </r>
  </si>
  <si>
    <t>The 2029 target for RCR01 will depend on the average number of employees employed per supported entity. The new positions need to be filled, and they can be full time, part time or seasonal. Vacant positions are not counted. Moreover, the newly created positions are expected to last for at least one year after project completion. The indicator is calculated as the difference between the annual FTEs filled before the project starts and one year after the project completion. The 2029 target for RCR01 is based on the assumption of, on average, 5 employees employed per enterprises supported (after assessing the data on the 2014-2020 financed projects in Mid-West region under the measure "Regio invest LT+ ", data of the Department of Statistics on average monthly gross earnings in Mid-West region) (i.e. 5*55 (the 2029 target for RCO03)= 275 FTEs). 
Also the result is reduced 15 % because of implementation risk  (according to the experience of 2014-2020 value of discontinued projects is 15% of the value of completed projects): 275*0,85=234 FTEs</t>
  </si>
  <si>
    <t>Taking into account that eligible applicants will be not only SMEs, but also large companies, it is necessary to supplement this action with the new intervention code 022 "Support for large enterprises through financial instruments, including productive investments ". Accordingly, taking into account the distribution of industrial enterprises by company size (large enterprises make up about 40%, SMEs - about 60% of all industrial enterprises), the EU amount allocated for this action is proportionally distributed between 021 (60%) and 022 intervention codes (40%).
​</t>
  </si>
  <si>
    <t>Taking into account that eligible applicants will be not only SMEs, but also large companies, it is necessary to supplement this action with the new intervention code 022 "Support for large enterprises through financial instruments, including productive investments ". Accordingly, taking into account the distribution of industrial enterprises by company size (large enterprises make up about 40%, SMEs - about 60% of all industrial enterprises), the EU amount allocated for this action is proportionally distributed between 021 (60%) and 022 intervention codes (40%).</t>
  </si>
  <si>
    <t>The total amount for the action is calculated according to the experience of 2014-2020 and Mid-West Region funding intensity level (EU-85%; national-15%). So it is  21.176.471 EUR for the 022 intervention code. Also multiplier 1,5 is applied and total allocation used for callculation of  the target for  RCO03 is 21.176.471*1,5=31.764.706 EUR.
The calculation of the target value of the indicator requires a preliminary amount of financial instruments that would be allocated to one enterprise. The 2029 target for RCO03 is based on the assumption of 322.089 EUR average project value per enterprise (in terms of 2014-2020 financed projects  in Mid-West region under the measures "Industry digitalization" and "Partial compensation of interest"). Also the result is reduced 15 % because of implementation risk  (according to the experience of 2014-2020 value of discontinued projects is 15% of the value of completed projects): 
(31.764.706/322.089)*0,85= 84 small and medium business entities.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</si>
  <si>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The 2029 target for RCO01 equals the sum of RCO03 2029 target value (RCO01=RCO03). 84=84 SMEs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</si>
  <si>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The 2029 RCR02 (private investment) target is 15% private funding according to the Mid-West Region funding intensity level (EU-85%; national-15%). Multiplier 1,5 is apllied. So 3.176.471*1,5=4.764.706 EUR.</t>
  </si>
  <si>
    <t>The 2029 RCR02 (private investment) target is 50% private funding according to the Capital Region funding intensity level (EU-50%; national-50%). Multiplier 1,5 is apllied. So 21.200.000*1,5=31.800.000 EUR.</t>
  </si>
  <si>
    <t xml:space="preserve">The total amount for the action is calculated according to the experience of 2014-2020 and Capital Region funding intensity level (EU-50%; national-50%). So it is 42.400.000 EUR for the 022 intervention code. Also multiplier 1,5 is applied and total allocation used for callculation of  the target for  RCO03 is 42.400.000*1,5=63.600.000 EUR.
The calculation of the target value of the indicator requires a preliminary amount of financial instruments that would be allocated to one enterprise. The 2029 target for RCO03 is based on the assumption of 244.150 EUR average project value per enterprise (in terms of 2014-2020 financed projects  in Capital region under the measures "Industry digitalization" and "Partial compensation of interest"). Also the result is reduced 15% because of implementation risk  (according to the experience of 2014-2020 value of discontinued projects is 15% of the value of completed projects): 
(63.600.000/244.150)*0,85=222 small and medium business entities.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</si>
  <si>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r>
      <rPr>
        <b/>
        <sz val="12"/>
        <color theme="1"/>
        <rFont val="Calibri"/>
        <family val="2"/>
        <scheme val="minor"/>
      </rPr>
      <t>Large enterprises introducing product or process innovatio</t>
    </r>
    <r>
      <rPr>
        <sz val="12"/>
        <color theme="1"/>
        <rFont val="Calibri"/>
        <family val="2"/>
        <scheme val="minor"/>
      </rPr>
      <t>n</t>
    </r>
  </si>
  <si>
    <t>Number of large enterprises introducing product or process innovation due to the support provided. 
Product innovation is the market introduction of a new or significantly improved good or service with respect to its capabilities, user friendliness, components or sub-systems.
Process innovation is the implementation of a new or significantly improved production process, distribution method, or supporting activity. 
Product or process innovations must be new to the enterprise supported, but they do not need to be new to the market. The innovations could have been originally developed by the supported enterprises or by other enterprises or organisations.
(see COM 2014 in references)
For enterprise definition - see RCO01.</t>
  </si>
  <si>
    <t>At most one year after the completion of output in the supported project.</t>
  </si>
  <si>
    <t xml:space="preserve">Rule 1: Double counting removed at the level of the specific objective
An enterprise is counted once regardless how many times it receives 
support from operations in the same specific objective.
</t>
  </si>
  <si>
    <t xml:space="preserve">Rule 1: Reporting by specific objective
Forecast for selected projects and achieved values, both cumulative to date (CPR Annex VII, Table 3).
</t>
  </si>
  <si>
    <t>COM (2014) - Community Innovation Survey 2014, harmonised survey 
questionnaire, ESTAT, version 13, 23 July 2014 online</t>
  </si>
  <si>
    <t>Large enterprises with higher value added per employee</t>
  </si>
  <si>
    <t>Number of enterprises supported which achieve higher value added per employee. The indicator counts enterprises for which the value added per employee for the fiscal year after the year of completion of output is at least 2% higher than the value added per employee in the year before the project started. 
The total value added is measured at factor cost as the gross income from operating activities after adjusting for operations subsidies and indirect taxes. The value added per employee is calculated as the ratio between the total value added and the annual FTEs employed in the respective year. 
(ESTAT2007 in references).
For enterprise definition - see RCO01.</t>
  </si>
  <si>
    <t>End of fiscal year following the year when output is completed.</t>
  </si>
  <si>
    <t>ESTAT2007 - Eurostat-OECD Manual on Business Demography Statistics, 
2017 edition</t>
  </si>
  <si>
    <t>The indicator is to be used when the objective of the intervention is to 
achieve higher values added per employee in the supported SME. The 2% threshold corresponds to the ECB target for the inflation rate.</t>
  </si>
  <si>
    <t>Large enterprises introducing product or process innovation (Produktų ar procesų inovacijas diegiančios didelės įmonės)</t>
  </si>
  <si>
    <t>New specific result indicator.</t>
  </si>
  <si>
    <t>2029 target for this specific result indicator is based on the assumption that 90% of the supported large enterprises will introduce product or process innovation. That is 90% of all supported large enterprises (as reflected by RCO01) will introduce product or process innovation as a result of the support (90%*222 (the 2029 target for RCO01) = 200 enterprises).</t>
  </si>
  <si>
    <t>Large enterprises with higher value added per employee (didesnę vienam darbuotojui tenkančią pridėtinę vertę sukuriančios didelės įmonės)</t>
  </si>
  <si>
    <t>Number of large enterprises supported which achieve higher value added per employee. The indicator counts large enterprises for which the value added per employee for the fiscal year after the year of completion of output is at least 2% higher than the value added per employee in the year before the project started. 
It is presumed that all large enterprises supported by financial instruments (RCO03)  will generate high added value. So the 2029 target for RCR25 equals the 2029 target for RCO03 and it is 222 enteprises.</t>
  </si>
  <si>
    <t xml:space="preserve">The 2029 target for RCO01 equals the sum of RCO03 2029 target value (RCO01=RCO03). 222=222 SMEs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</si>
  <si>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r>
      <t xml:space="preserve">The 2029 target for RCO01 equals the sum of RCO03 2029 target value (RCO01=RCO03). </t>
    </r>
    <r>
      <rPr>
        <sz val="11"/>
        <rFont val="Calibri"/>
        <family val="2"/>
        <charset val="186"/>
        <scheme val="minor"/>
      </rPr>
      <t xml:space="preserve">210=210 </t>
    </r>
    <r>
      <rPr>
        <sz val="11"/>
        <rFont val="Calibri"/>
        <family val="2"/>
        <scheme val="minor"/>
      </rPr>
      <t xml:space="preserve">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r>
  </si>
  <si>
    <t>The total amount for the action is calculated according to the experience of 2014-2020 and Mid-West Region funding intensity level (EU-85%; national-15%), so it is  52.941.176,47 EUR. Also multiplier 1,5 is applied and total allocation used for callculation of  the target for  RCO03 is 52.941.176,47*1,5=79.411.765 EUR.
The calculation of the target value of the indicator requires a preliminary amount of financial instruments that would be allocated to one enterprise. The 2029 target for RCO03 is based on the assumption of 322.089 EUR average project value per enterprise (in terms of 2014-2020 financed projects  in Mid-West region under the measures "Industry digitalization" and "Partial compensation of interest"). Also the result is reduced 15 % because of implementation risk  (according to the experience of 2014-2020 value of discontinued projects is 15% of the value of completed projects): 
(79.411.765/322.089)*0,85= 210 small and medium business entities.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</si>
  <si>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r>
      <t>The 2029 RCR02 (private investment) target is 15% private funding according to the Mid-West Region funding intensity level (EU-85%; national-15%). Multiplier 1,5 is apllied.</t>
    </r>
    <r>
      <rPr>
        <sz val="11"/>
        <color rgb="FFFF0000"/>
        <rFont val="Calibri"/>
        <family val="2"/>
        <charset val="186"/>
        <scheme val="minor"/>
      </rPr>
      <t xml:space="preserve"> </t>
    </r>
    <r>
      <rPr>
        <sz val="11"/>
        <rFont val="Calibri"/>
        <family val="2"/>
        <charset val="186"/>
        <scheme val="minor"/>
      </rPr>
      <t>So 7.941.176,47*1,5=11.911.765 EUR.</t>
    </r>
    <r>
      <rPr>
        <sz val="11"/>
        <color rgb="FFFF0000"/>
        <rFont val="Calibri"/>
        <family val="2"/>
        <charset val="186"/>
        <scheme val="minor"/>
      </rPr>
      <t xml:space="preserve"> </t>
    </r>
  </si>
  <si>
    <r>
      <t xml:space="preserve">The total amount for the action is calculated according to the experience of 2014-2020 and Capital Region funding intensity level (EU-50%; national-50%). So it is  106.000.000 EUR . Also multiplier 1,5 is applied and total allocation used for callculation of  the target for  RCO03 is  106.000.000*1,5= 159.000.000 EUR.
The calculation of the target value of the indicator requires a preliminary amount of financial instruments that would be allocated to one enterprise. The 2029 target for RCO03 is based on the assumption of 244.150 EUR average project value per enterprise (in terms of 2014-2020 financed projects  in Capital region under the measures "Industry digitalization" and "Partial compensation of interest"). Also the result is reduced 15% because of implementation risk  (according to the experience of 2014-2020 value of discontinued projects is 15% of the value of completed projects): 
(159.000.000/244.150)*0,85= 554  small and medium business entities.
</t>
    </r>
    <r>
      <rPr>
        <sz val="11"/>
        <rFont val="Calibri"/>
        <family val="2"/>
        <scheme val="minor"/>
      </rPr>
      <t>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</si>
  <si>
    <r>
      <t xml:space="preserve">The 2029 RCR02 (private investment) target is 50% private funding according to the Capital Region funding intensity level (EU-50%; national-50%). Multiplier 1,5 is apllied. </t>
    </r>
    <r>
      <rPr>
        <sz val="11"/>
        <rFont val="Calibri"/>
        <family val="2"/>
        <charset val="186"/>
        <scheme val="minor"/>
      </rPr>
      <t xml:space="preserve">So 53.000.000*1,5= 79.500.000 EUR. </t>
    </r>
  </si>
  <si>
    <r>
      <t xml:space="preserve">Number of enterprises supported which achieve higher value added per employee. The indicator counts enterprises for which the value added per employee for the fiscal year after the year of completion of output is at least 2% higher than the value added per employee in the year before the project started. 
</t>
    </r>
    <r>
      <rPr>
        <sz val="11"/>
        <rFont val="Calibri"/>
        <family val="2"/>
        <charset val="186"/>
        <scheme val="minor"/>
      </rPr>
      <t>Given that only high value-added industrial SMEs will be eligible applicants for this activity, It is presumed that all enterprises supported by financial instruments (RCO03)  will generate high added value. So the 2029 target for RCR25 equals the 2029 target for RCO03 and it is 554 enteprises.</t>
    </r>
  </si>
  <si>
    <t>Justification for the proposed change 2024-03</t>
  </si>
  <si>
    <r>
      <t xml:space="preserve">The 2029 target for RCO01 equals the sum of RCO03 2029 target value (RCO01=RCO03). </t>
    </r>
    <r>
      <rPr>
        <strike/>
        <sz val="11"/>
        <rFont val="Calibri"/>
        <family val="2"/>
        <charset val="186"/>
        <scheme val="minor"/>
      </rPr>
      <t xml:space="preserve">210=210 </t>
    </r>
    <r>
      <rPr>
        <b/>
        <sz val="11"/>
        <rFont val="Calibri"/>
        <family val="2"/>
        <charset val="186"/>
        <scheme val="minor"/>
      </rPr>
      <t>SMEs 126=126 SMEs</t>
    </r>
    <r>
      <rPr>
        <sz val="11"/>
        <rFont val="Calibri"/>
        <family val="2"/>
        <scheme val="minor"/>
      </rPr>
      <t xml:space="preserve">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r>
  </si>
  <si>
    <r>
      <rPr>
        <strike/>
        <sz val="11"/>
        <rFont val="Calibri"/>
        <family val="2"/>
        <charset val="186"/>
        <scheme val="minor"/>
      </rPr>
      <t xml:space="preserve">The total amount for the action is calculated according to the experience of 2014-2020 and Mid-West Region funding intensity level (EU-85%; national-15%), so it is  52.941.176,47 EUR. Also multiplier 1,5 is applied and total allocation used for callculation of  the target for  RCO03 is 52.941.176,47*1,5=79.411.765 EUR.
The calculation of the target value of the indicator requires a preliminary amount of financial instruments that would be allocated to one enterprise. The 2029 target for RCO03 is based on the assumption of 322.089 EUR average project value per enterprise (in terms of 2014-2020 financed projects  in Mid-West region under the measures "Industry digitalization" and "Partial compensation of interest"). Also the result is reduced 15 % because of implementation risk  (according to the experience of 2014-2020 value of discontinued projects is 15% of the value of completed projects): 
(79.411.765/322.089)*0,85= 210 small and medium business entities.
</t>
    </r>
    <r>
      <rPr>
        <b/>
        <sz val="11"/>
        <rFont val="Calibri"/>
        <family val="2"/>
        <charset val="186"/>
        <scheme val="minor"/>
      </rPr>
      <t xml:space="preserve">The total amount for the action is calculated according to the experience of 2014-2020 and Mid-West Region funding intensity level (EU-85%; national-15%). So it is  31.764.706 EUR for 021 intervention code. Also multiplier 1,5 is applied and total allocation used for callculation of  the target for  RCO03 is 31.764.706*1,5=47.647.059 EUR.
The calculation of the target value of the indicator requires a preliminary amount of financial instruments that would be allocated to one enterprise. The 2029 target for RCO03 is based on the assumption of 322.089 EUR average project value per enterprise (in terms of 2014-2020 financed projects  in Mid-West region under the measures "Industry digitalization" and "Partial compensation of interest"). Also the result is reduced 15 % because of implementation risk  (according to the experience of 2014-2020 value of discontinued projects is 15% of the value of completed projects): </t>
    </r>
    <r>
      <rPr>
        <b/>
        <strike/>
        <sz val="11"/>
        <rFont val="Calibri"/>
        <family val="2"/>
        <charset val="186"/>
        <scheme val="minor"/>
      </rPr>
      <t xml:space="preserve">
</t>
    </r>
    <r>
      <rPr>
        <b/>
        <sz val="11"/>
        <rFont val="Calibri"/>
        <family val="2"/>
        <charset val="186"/>
        <scheme val="minor"/>
      </rPr>
      <t>(47.647.059/322.089)*0,85= 126 small and medium business entities.</t>
    </r>
    <r>
      <rPr>
        <b/>
        <strike/>
        <sz val="11"/>
        <rFont val="Calibri"/>
        <family val="2"/>
        <charset val="186"/>
        <scheme val="minor"/>
      </rPr>
      <t xml:space="preserve">
</t>
    </r>
    <r>
      <rPr>
        <sz val="11"/>
        <rFont val="Calibri"/>
        <family val="2"/>
        <charset val="186"/>
        <scheme val="minor"/>
      </rPr>
      <t>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</si>
  <si>
    <r>
      <t xml:space="preserve">The 2029 RCR02 (private investment) target is 15% private funding according to the Mid-West Region funding intensity level (EU-85%; national-15%). Multiplier 1,5 is apllied. </t>
    </r>
    <r>
      <rPr>
        <strike/>
        <sz val="11"/>
        <rFont val="Calibri"/>
        <family val="2"/>
        <scheme val="minor"/>
      </rPr>
      <t>So 7.941.176,47*1,5=11.911.765 EUR.</t>
    </r>
    <r>
      <rPr>
        <sz val="11"/>
        <rFont val="Calibri"/>
        <family val="2"/>
        <scheme val="minor"/>
      </rPr>
      <t xml:space="preserve"> </t>
    </r>
    <r>
      <rPr>
        <b/>
        <sz val="11"/>
        <rFont val="Calibri"/>
        <family val="2"/>
        <scheme val="minor"/>
      </rPr>
      <t>So 4.764.706*1,5=7.147.059 EUR.</t>
    </r>
  </si>
  <si>
    <r>
      <t>The 2029 target for RCR03 is based on the assumption that 90% of the supported SMEs will introduce product or process innovation  (after assessing the data on the completed 2014-2020 financed projects in Mid-West region under the measure "Eco innovations LT+ "). That is 90% of all supported enterprises (as reflected by RCO01) will introduce product or process innovation as a result of the support (90%*</t>
    </r>
    <r>
      <rPr>
        <sz val="11"/>
        <rFont val="Calibri"/>
        <family val="2"/>
        <charset val="186"/>
        <scheme val="minor"/>
      </rPr>
      <t>210</t>
    </r>
    <r>
      <rPr>
        <sz val="11"/>
        <rFont val="Calibri"/>
        <family val="2"/>
        <scheme val="minor"/>
      </rPr>
      <t xml:space="preserve"> (the 2029 target for RCO01) = </t>
    </r>
    <r>
      <rPr>
        <sz val="11"/>
        <rFont val="Calibri"/>
        <family val="2"/>
        <charset val="186"/>
        <scheme val="minor"/>
      </rPr>
      <t>189</t>
    </r>
    <r>
      <rPr>
        <sz val="11"/>
        <rFont val="Calibri"/>
        <family val="2"/>
        <scheme val="minor"/>
      </rPr>
      <t xml:space="preserve"> enterprises).</t>
    </r>
  </si>
  <si>
    <r>
      <t>The 2029 target for RCR03 is based on the assumption that 90% of the supported SMEs will introduce product or process innovation  (after assessing the data on the completed 2014-2020 financed projects in Mid-West region under the measure "Eco innovations LT+ "). That is 90% of all supported enterprises (as reflected by RCO01) will introduce product or process innovation as a result of the support (90%*</t>
    </r>
    <r>
      <rPr>
        <strike/>
        <sz val="11"/>
        <rFont val="Calibri"/>
        <family val="2"/>
        <charset val="186"/>
        <scheme val="minor"/>
      </rPr>
      <t>210</t>
    </r>
    <r>
      <rPr>
        <b/>
        <sz val="11"/>
        <rFont val="Calibri"/>
        <family val="2"/>
        <charset val="186"/>
        <scheme val="minor"/>
      </rPr>
      <t>126</t>
    </r>
    <r>
      <rPr>
        <sz val="11"/>
        <rFont val="Calibri"/>
        <family val="2"/>
        <scheme val="minor"/>
      </rPr>
      <t xml:space="preserve"> (the 2029 target for RCO01) = </t>
    </r>
    <r>
      <rPr>
        <strike/>
        <sz val="11"/>
        <rFont val="Calibri"/>
        <family val="2"/>
        <charset val="186"/>
        <scheme val="minor"/>
      </rPr>
      <t>189</t>
    </r>
    <r>
      <rPr>
        <b/>
        <sz val="11"/>
        <rFont val="Calibri"/>
        <family val="2"/>
        <charset val="186"/>
        <scheme val="minor"/>
      </rPr>
      <t>113</t>
    </r>
    <r>
      <rPr>
        <sz val="11"/>
        <rFont val="Calibri"/>
        <family val="2"/>
        <scheme val="minor"/>
      </rPr>
      <t xml:space="preserve"> enterprises).</t>
    </r>
  </si>
  <si>
    <r>
      <rPr>
        <strike/>
        <sz val="11"/>
        <rFont val="Calibri"/>
        <family val="2"/>
        <scheme val="minor"/>
      </rPr>
      <t xml:space="preserve">The total amount for the action is calculated according to the experience of 2014-2020 and Capital Region funding intensity level (EU-50%; national-50%). So it is  106.000.000 EUR . Also multiplier 1,5 is applied and total allocation used for callculation of  the target for  RCO03 is  106.000.000*1,5= 159.000.000 EUR.
The calculation of the target value of the indicator requires a preliminary amount of financial instruments that would be allocated to one enterprise. The 2029 target for RCO03 is based on the assumption of 244.150 EUR average project value per enterprise (in terms of 2014-2020 financed projects  in Capital region under the measures "Industry digitalization" and "Partial compensation of interest"). Also the result is reduced 15% because of implementation risk  (according to the experience of 2014-2020 value of discontinued projects is 15% of the value of completed projects): 
(159.000.000/244.150)*0,85= 554  small and medium business entities.
</t>
    </r>
    <r>
      <rPr>
        <b/>
        <sz val="11"/>
        <rFont val="Calibri"/>
        <family val="2"/>
        <scheme val="minor"/>
      </rPr>
      <t xml:space="preserve">The total amount for the action is calculated according to the experience of 2014-2020 and Capital Region funding intensity level (EU-50%; national-50%). So it is 63.600.000  EUR for the 021 intervention code. Also multiplier 1,5 is applied and total allocation used for callculation of  the target for  RCO03 is  63.600.000*1,5= 95.400.000 EUR.
The calculation of the target value of the indicator requires a preliminary amount of financial instruments that would be allocated to one enterprise. The 2029 target for RCO03 is based on the assumption of 244.150 EUR average project value per enterprise (in terms of 2014-2020 financed projects  in Capital region under the measures "Industry digitalization" and "Partial compensation of interest"). Also the result is reduced 15% because of implementation risk  (according to the experience of 2014-2020 value of discontinued projects is 15% of the value of completed projects): 
(95.400.000/244.150)*0,85=332 small and medium business entities.
</t>
    </r>
    <r>
      <rPr>
        <sz val="11"/>
        <rFont val="Calibri"/>
        <family val="2"/>
        <scheme val="minor"/>
      </rPr>
      <t>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</si>
  <si>
    <r>
      <t xml:space="preserve">The 2029 RCR02 (private investment) target is 50% private funding according to the Capital Region funding intensity level (EU-50%; national-50%). Multiplier 1,5 is apllied. </t>
    </r>
    <r>
      <rPr>
        <strike/>
        <sz val="11"/>
        <rFont val="Calibri"/>
        <family val="2"/>
        <charset val="186"/>
        <scheme val="minor"/>
      </rPr>
      <t>So 53.000.000*1,5= 79.500.000 EUR.</t>
    </r>
    <r>
      <rPr>
        <sz val="11"/>
        <rFont val="Calibri"/>
        <family val="2"/>
        <scheme val="minor"/>
      </rPr>
      <t xml:space="preserve"> </t>
    </r>
    <r>
      <rPr>
        <b/>
        <sz val="11"/>
        <rFont val="Calibri"/>
        <family val="2"/>
        <charset val="186"/>
        <scheme val="minor"/>
      </rPr>
      <t>So 31.800.000*1,5=47.700.000 EUR.</t>
    </r>
  </si>
  <si>
    <r>
      <t>The 2029 target for RCR03 is based on the assumption that 90% of the supported SMEs will introduce product or process innovation  (after assessing the data on the completed 2014-2020 financed projects in Capital region under the measure "Eco innovations LT+ "). That is 90% of all supported enterprises (as reflected by RCO01) will introduce product or process innovation as a result of the support (90% *</t>
    </r>
    <r>
      <rPr>
        <strike/>
        <sz val="11"/>
        <rFont val="Calibri"/>
        <family val="2"/>
        <scheme val="minor"/>
      </rPr>
      <t xml:space="preserve"> 554</t>
    </r>
    <r>
      <rPr>
        <b/>
        <sz val="11"/>
        <rFont val="Calibri"/>
        <family val="2"/>
        <scheme val="minor"/>
      </rPr>
      <t>332</t>
    </r>
    <r>
      <rPr>
        <sz val="11"/>
        <rFont val="Calibri"/>
        <family val="2"/>
        <scheme val="minor"/>
      </rPr>
      <t xml:space="preserve"> (the 2029 target for RCO01) = </t>
    </r>
    <r>
      <rPr>
        <strike/>
        <sz val="11"/>
        <rFont val="Calibri"/>
        <family val="2"/>
        <scheme val="minor"/>
      </rPr>
      <t>499</t>
    </r>
    <r>
      <rPr>
        <b/>
        <sz val="11"/>
        <rFont val="Calibri"/>
        <family val="2"/>
        <scheme val="minor"/>
      </rPr>
      <t>299</t>
    </r>
    <r>
      <rPr>
        <sz val="11"/>
        <rFont val="Calibri"/>
        <family val="2"/>
        <scheme val="minor"/>
      </rPr>
      <t xml:space="preserve"> enterprises). </t>
    </r>
  </si>
  <si>
    <r>
      <t>The 2029 target for RCR03 is based on the assumption that 90% of the supported SMEs will introduce product or process innovation  (after assessing the data on the completed 2014-2020 financed projects in Capital region under the measure "Eco innovations LT+ "). That is 90% of all supported enterprises (as reflected by RCO01) will introduce product or process innovation as a result of the support (90% *</t>
    </r>
    <r>
      <rPr>
        <sz val="11"/>
        <rFont val="Calibri"/>
        <family val="2"/>
        <charset val="186"/>
        <scheme val="minor"/>
      </rPr>
      <t xml:space="preserve"> 554</t>
    </r>
    <r>
      <rPr>
        <sz val="11"/>
        <rFont val="Calibri"/>
        <family val="2"/>
        <scheme val="minor"/>
      </rPr>
      <t xml:space="preserve"> (the 2029 target for RCO01) = </t>
    </r>
    <r>
      <rPr>
        <sz val="11"/>
        <rFont val="Calibri"/>
        <family val="2"/>
        <charset val="186"/>
        <scheme val="minor"/>
      </rPr>
      <t>499</t>
    </r>
    <r>
      <rPr>
        <sz val="11"/>
        <rFont val="Calibri"/>
        <family val="2"/>
        <scheme val="minor"/>
      </rPr>
      <t xml:space="preserve"> enterprises). </t>
    </r>
  </si>
  <si>
    <r>
      <t xml:space="preserve">Number of enterprises supported which achieve higher value added per employee. The indicator counts enterprises for which the value added per employee for the fiscal year after the year of completion of output is at least 2% higher than the value added per employee in the year before the project started. 
</t>
    </r>
    <r>
      <rPr>
        <strike/>
        <sz val="11"/>
        <rFont val="Calibri"/>
        <family val="2"/>
        <charset val="186"/>
        <scheme val="minor"/>
      </rPr>
      <t>Given that only high value-added industrial SMEs will be eligible applicants for this activity,</t>
    </r>
    <r>
      <rPr>
        <sz val="11"/>
        <rFont val="Calibri"/>
        <family val="2"/>
        <scheme val="minor"/>
      </rPr>
      <t xml:space="preserve"> It is presumed that all enterprises supported by financial instruments (RCO03)  will generate high added value. So the 2029 target for RCR25 equals the 2029 target for RCO03 and it is </t>
    </r>
    <r>
      <rPr>
        <strike/>
        <sz val="11"/>
        <rFont val="Calibri"/>
        <family val="2"/>
        <charset val="186"/>
        <scheme val="minor"/>
      </rPr>
      <t>554</t>
    </r>
    <r>
      <rPr>
        <b/>
        <sz val="11"/>
        <rFont val="Calibri"/>
        <family val="2"/>
        <charset val="186"/>
        <scheme val="minor"/>
      </rPr>
      <t>332</t>
    </r>
    <r>
      <rPr>
        <sz val="11"/>
        <rFont val="Calibri"/>
        <family val="2"/>
        <scheme val="minor"/>
      </rPr>
      <t xml:space="preserve"> enteprises.</t>
    </r>
  </si>
  <si>
    <r>
      <rPr>
        <b/>
        <sz val="11"/>
        <rFont val="Calibri"/>
        <family val="2"/>
        <scheme val="minor"/>
      </rPr>
      <t>022</t>
    </r>
    <r>
      <rPr>
        <sz val="11"/>
        <rFont val="Calibri"/>
        <family val="2"/>
        <scheme val="minor"/>
      </rPr>
      <t xml:space="preserve"> Support for large enterprises through
financial instruments, including productive
investments (Parama didelėms įmonėms naudojant finansines priemones, įskaitant gamybines investicijas)</t>
    </r>
  </si>
  <si>
    <r>
      <rPr>
        <b/>
        <sz val="11"/>
        <rFont val="Calibri"/>
        <family val="2"/>
        <scheme val="minor"/>
      </rPr>
      <t>021</t>
    </r>
    <r>
      <rPr>
        <sz val="11"/>
        <rFont val="Calibri"/>
        <family val="2"/>
        <scheme val="minor"/>
      </rPr>
      <t xml:space="preserve"> SME business development and internationalisation (MVĮ verslo plėtra ir tarptautinimas, įskaitant gamybines investicijas)</t>
    </r>
  </si>
  <si>
    <t>The 2029 target for this specific result indicator is based on the assumption that 90% of the supported large enterprises will introduce product or process innovation. That is 90% of all supported large enterprises (as reflected by RCO01) will introduce product or process innovation as a result of the support (90%*84 (the 2029 target for RCO01) = 76 enterprises).</t>
  </si>
  <si>
    <r>
      <rPr>
        <b/>
        <sz val="11"/>
        <rFont val="Calibri"/>
        <family val="2"/>
        <scheme val="minor"/>
      </rPr>
      <t xml:space="preserve">025 </t>
    </r>
    <r>
      <rPr>
        <sz val="11"/>
        <rFont val="Calibri"/>
        <family val="2"/>
        <scheme val="minor"/>
      </rPr>
      <t>Incubation, support to spin offs and spin outs and start ups (Inkubacija, parama atžalinėms ir atskirtosioms įmonėms bei startuoliams)</t>
    </r>
  </si>
  <si>
    <r>
      <rPr>
        <b/>
        <sz val="11"/>
        <rFont val="Calibri"/>
        <family val="2"/>
        <scheme val="minor"/>
      </rPr>
      <t xml:space="preserve">021 </t>
    </r>
    <r>
      <rPr>
        <sz val="11"/>
        <rFont val="Calibri"/>
        <family val="2"/>
        <scheme val="minor"/>
      </rPr>
      <t>SME business development and internationalisation (MVĮ verslo plėtra ir tarptautinimas, įskaitant gamybines investicijas)</t>
    </r>
  </si>
  <si>
    <t xml:space="preserve">allocation 2021- 2027 used for calculation of 2029 target </t>
  </si>
  <si>
    <t>1.3.5  Promote the certification and delivery of high value added and/or the defence and security industry sector products and services for SMEs in foreign markets (Skatinti MVĮ aukštos pridėtinės vertės (APV) ir (arba) gynybos ir saugumo pramonės sektoriaus produktų ir paslaugų sertifikavimą ir pristatymą užsienio rinkose)</t>
  </si>
  <si>
    <t>The 2029 target for RCO01 equals the RCO03 target values (RCO01=RCO03). So it is 14 enterprises.</t>
  </si>
  <si>
    <t>The 2029 target for RCR01 will depend on the average number of employees employed per supported entity. The new positions need to be filled, and they can be full time, part time or seasonal. Vacant positions are not counted. Moreover, the newly created positions are expected to last for at least one year after project completion. The indicator is calculated as the difference between the annual FTEs filled before the project starts and one year after the project completion. The 2029 target for RCR01 is based on the assumption of, on average, 5 employees employed per enterprises supported (after assessing the data on the 2014-2020 financed projects in Mid-West region under the measure "Regio invest LT+", data of the Department of Statistics on average monthly gross earnings in Mid-West region) (i.e. 5*14 (the 2029 target for RCO03)= 70 FTEs). 
Also the result is reduced 15% because of implementation risk  (according to the experience of 2014-2020 value of discontinued projects is 15% of the value of completed projects) and reduced 45% because of due to the optimization of company activities, digitization, as a result of which companies need fewer employees: 70*0,4= 28 FTEs.</t>
  </si>
  <si>
    <t>A multiplier 1,5 is not applied due to the small market for venture capital investments and additionally specific requirements for venture capital instruments, also because the loan financial instruments are implemented directly through national promotional bank ILTE, the relatively narrow areas for investments and very specific requirements, as a result – low demand from applicants for loans.</t>
  </si>
  <si>
    <t>A multiplier 1,5 is not applied because the loan financial instruments are implemented directly through national promotional bank ILTE, the relatively narrow areas for investments and very specific requirements, as a result – low demand from applicants for loans.</t>
  </si>
  <si>
    <r>
      <rPr>
        <b/>
        <sz val="11"/>
        <rFont val="Calibri"/>
        <family val="2"/>
        <scheme val="minor"/>
      </rPr>
      <t>026</t>
    </r>
    <r>
      <rPr>
        <sz val="11"/>
        <rFont val="Calibri"/>
        <family val="2"/>
        <scheme val="minor"/>
      </rPr>
      <t xml:space="preserve"> Support for innovation clusters including between businesses, research organisations and public authorities and business networks primarily benefiting SMEs (Parama inovacijų klasteriams, be kita ko, tarp įmonių, mokslinių tyrimų organizacijų ir valdžios institucijų bei verslo tinklų, kas visų pirma naudinga MVĮ)</t>
    </r>
  </si>
  <si>
    <t>Enterprise Lithuania's survey ENTREPRENEURSHIP TRENDS IN LITHUANIA IN 2018 AND THE BEGINNING OF 2019 (https://www.verslilietuva.lt/wp-content/uploads/2019/06/Verslumo-ap%C5%BEvalga-2018-m.-2019-m.-I-ketv..pdf) indicates that in 2018 the share of enterprises that had survived for more than 1 year in the national economy was 57.4%, and in 2017 - 63.3%. Based on these findings, the 2029 target for RCR17 is based on the assumption of a success rate of survival of 61% ((57.4+63.3)/2) of all supported new businesses in the region (61% *103) (the 2029 target for RCO05) = 63 companies).  Note - the final value of the indicator will also depend on the economic cycle.</t>
  </si>
  <si>
    <t>All unique will be.</t>
  </si>
  <si>
    <t>All enterprises will be unique.</t>
  </si>
  <si>
    <t>Justification for the proposed change 2025-12</t>
  </si>
  <si>
    <r>
      <rPr>
        <b/>
        <sz val="11"/>
        <color theme="1"/>
        <rFont val="Calibri"/>
        <family val="2"/>
        <scheme val="minor"/>
      </rPr>
      <t>1.3.1.  Promoting the development, growth and development of start-ups</t>
    </r>
    <r>
      <rPr>
        <sz val="11"/>
        <color theme="1"/>
        <rFont val="Calibri"/>
        <family val="2"/>
        <scheme val="minor"/>
      </rPr>
      <t xml:space="preserve">  (Skatinti pradedančiųjų SVV subjektų kūrimąsi, augimą ir plėtrą)</t>
    </r>
  </si>
  <si>
    <r>
      <rPr>
        <b/>
        <sz val="11"/>
        <color theme="1"/>
        <rFont val="Calibri"/>
        <family val="2"/>
        <scheme val="minor"/>
      </rPr>
      <t xml:space="preserve">1.3.2 Promoting the formation and development of short-value chain chains among SMEs </t>
    </r>
    <r>
      <rPr>
        <b/>
        <strike/>
        <sz val="11"/>
        <color theme="1"/>
        <rFont val="Calibri"/>
        <family val="2"/>
        <charset val="186"/>
        <scheme val="minor"/>
      </rPr>
      <t>in Mid-West Lithuania region</t>
    </r>
    <r>
      <rPr>
        <sz val="11"/>
        <color theme="1"/>
        <rFont val="Calibri"/>
        <family val="2"/>
        <scheme val="minor"/>
      </rPr>
      <t xml:space="preserve">
(Skatinti trumpų vertės kūrimo grandinių formavimąsi ir plėtrą tarp MVĮ </t>
    </r>
    <r>
      <rPr>
        <strike/>
        <sz val="11"/>
        <color theme="1"/>
        <rFont val="Calibri"/>
        <family val="2"/>
        <charset val="186"/>
        <scheme val="minor"/>
      </rPr>
      <t>Vidurio ir Vakarų Lietuvos (VVL) regione</t>
    </r>
    <r>
      <rPr>
        <sz val="11"/>
        <color theme="1"/>
        <rFont val="Calibri"/>
        <family val="2"/>
        <scheme val="minor"/>
      </rPr>
      <t>)</t>
    </r>
  </si>
  <si>
    <t>Calculation of indicator is based  according to the experience of 2014-2020 and Capital Region funding intensity level (EU-50%; national-50%), so it is  20.000.000 EUR. 
The calculation of the target value of the indicator requires a preliminary amount of financial instruments that would be allocated to one enterprise. The 2029 target for RCO03 is based on the assumption of 194.000 EUR average project value per enterprise (assumption based on the latest data under the direct loan financial instrument "Startuok":
18.600.000 EUR (7% management fee for ILTE is excluded)/194.000 = 95 enterprises.
As regards milestones for 2024, it is assumed that progress of the action of financial instruments would amount to 0% of the final targets set based on the allocation for 2021-2027. So the 2024 target for RCO03 is 0.</t>
  </si>
  <si>
    <t>The 2029 target for RCO01 equals the sum of RCO03 target value (RCO01=RCO03). So 95=95.  As regards milestones for 2024, it is assumed that progress of the action of financial instruments would amount to 0% of the final targets set based on the allocation for 2021-2027. So the 2024 target for RCO01 equals the sum of RCO03 target value of 2024 (RCO01=RCO03) and it is 0.</t>
  </si>
  <si>
    <t xml:space="preserve">An enterprise is considered new if it did not exist during the three years period before the project started. An enterprise will not be considered new if only its legal form changes. 
It is planned that about 90% of new companies will receive support through financial instruments (assumption based on the latest data under the direct loan financial instrument "Startuok"). Thus (95*0,9)= 85 new enterprises. 
As regards milestones for 2024, it is assumed that progress of the action of financial instruments would amount to 0% of the final targets set based on the allocation for 2021-2027. So the 2024 target for RCO03 is 0.
</t>
  </si>
  <si>
    <t>According to that financial instrument is implemented directly through national promotional bank ILTE, because after the discussions with credit institutions, they refused to participate in the instrument due to the relatively narrow areas for investments and complicated administration due to very specific requirements that are not usual for credit institutions, the 2029 RCR02 (private investment) target is 20% private funding from amounts allocated to final beneficiaries. So 18.600.000 (7% management fee for ILTE is excluded)*0,2= 3.720.000 EUR.</t>
  </si>
  <si>
    <t>When calculating the initial indicator values, data from the “Spiečius” coworking centres’ programmes and training implemented across Lithuania by Versli Lietuva during the 2014–2020 programming period were used. However, the “Spiečius” coworking centre programmes were broader in scope — they included not only consultations for SMEs but also seven-month mentorship programmes led by experienced entrepreneurs, expert consultations, networking activities, and the preparation of individual business growth plans.
In contrast, under the “Business Start” call, the services provided to SMEs were financed on a smaller scale, covering only pre-acceleration and mentorship services.</t>
  </si>
  <si>
    <r>
      <rPr>
        <b/>
        <sz val="11"/>
        <color theme="1"/>
        <rFont val="Calibri"/>
        <family val="2"/>
        <scheme val="minor"/>
      </rPr>
      <t xml:space="preserve">021 </t>
    </r>
    <r>
      <rPr>
        <sz val="11"/>
        <color theme="1"/>
        <rFont val="Calibri"/>
        <family val="2"/>
        <scheme val="minor"/>
      </rPr>
      <t>SME business development and internationalisation (MVĮ verslo plėtra ir tarptautinimas, įskaitant gamybines investicijas)</t>
    </r>
  </si>
  <si>
    <r>
      <rPr>
        <b/>
        <sz val="11"/>
        <color theme="1"/>
        <rFont val="Calibri"/>
        <family val="2"/>
        <scheme val="minor"/>
      </rPr>
      <t xml:space="preserve">025 </t>
    </r>
    <r>
      <rPr>
        <sz val="11"/>
        <color theme="1"/>
        <rFont val="Calibri"/>
        <family val="2"/>
        <scheme val="minor"/>
      </rPr>
      <t>Incubation, support to spin offs and spin outs and start ups (Inkubacija, parama atžalinėms ir atskirtosioms įmonėms bei startuoliams)</t>
    </r>
  </si>
  <si>
    <r>
      <t xml:space="preserve">The 2029 target for RCO01 equals the sum of RCO03 and RCO04 target values (RCO01=RCO03+RCO04). So </t>
    </r>
    <r>
      <rPr>
        <strike/>
        <sz val="11"/>
        <color theme="1"/>
        <rFont val="Calibri"/>
        <family val="2"/>
        <scheme val="minor"/>
      </rPr>
      <t xml:space="preserve">563 </t>
    </r>
    <r>
      <rPr>
        <b/>
        <sz val="11"/>
        <color theme="1"/>
        <rFont val="Calibri"/>
        <family val="2"/>
        <scheme val="minor"/>
      </rPr>
      <t>157</t>
    </r>
    <r>
      <rPr>
        <sz val="11"/>
        <color theme="1"/>
        <rFont val="Calibri"/>
        <family val="2"/>
        <scheme val="minor"/>
      </rPr>
      <t>+</t>
    </r>
    <r>
      <rPr>
        <strike/>
        <sz val="11"/>
        <color theme="1"/>
        <rFont val="Calibri"/>
        <family val="2"/>
        <scheme val="minor"/>
      </rPr>
      <t>909</t>
    </r>
    <r>
      <rPr>
        <b/>
        <sz val="11"/>
        <color theme="1"/>
        <rFont val="Calibri"/>
        <family val="2"/>
        <scheme val="minor"/>
      </rPr>
      <t>1123</t>
    </r>
    <r>
      <rPr>
        <sz val="11"/>
        <color theme="1"/>
        <rFont val="Calibri"/>
        <family val="2"/>
        <scheme val="minor"/>
      </rPr>
      <t>=</t>
    </r>
    <r>
      <rPr>
        <strike/>
        <sz val="11"/>
        <color theme="1"/>
        <rFont val="Calibri"/>
        <family val="2"/>
        <scheme val="minor"/>
      </rPr>
      <t xml:space="preserve">1472 </t>
    </r>
    <r>
      <rPr>
        <b/>
        <sz val="11"/>
        <color theme="1"/>
        <rFont val="Calibri"/>
        <family val="2"/>
        <scheme val="minor"/>
      </rPr>
      <t>1280</t>
    </r>
    <r>
      <rPr>
        <sz val="11"/>
        <color theme="1"/>
        <rFont val="Calibri"/>
        <family val="2"/>
        <scheme val="minor"/>
      </rPr>
      <t>. 
 As regards milestones for 2024, it is assumed that progress of the action of financial instruments would amount to 0% of the final targets set based on the allocation for 2021-2027. So the 2024 target for RCO01 equals the sum of RCO03 and RCO04 target values of 2024 (RCO01=RCO03+RCO04) and it is 336+0=336.</t>
    </r>
  </si>
  <si>
    <r>
      <t xml:space="preserve">Calculation of indicator is based  according to the experience of 2014-2020 and Mid-West Region funding intensity level (EU-85%; national-15%) and it is  </t>
    </r>
    <r>
      <rPr>
        <strike/>
        <sz val="11"/>
        <color theme="1"/>
        <rFont val="Calibri"/>
        <family val="2"/>
        <scheme val="minor"/>
      </rPr>
      <t>38.345.636</t>
    </r>
    <r>
      <rPr>
        <sz val="11"/>
        <color theme="1"/>
        <rFont val="Calibri"/>
        <family val="2"/>
        <scheme val="minor"/>
      </rPr>
      <t xml:space="preserve"> </t>
    </r>
    <r>
      <rPr>
        <b/>
        <sz val="11"/>
        <color theme="1"/>
        <rFont val="Calibri"/>
        <family val="2"/>
        <scheme val="minor"/>
      </rPr>
      <t>40.861.887,94</t>
    </r>
    <r>
      <rPr>
        <sz val="11"/>
        <color theme="1"/>
        <rFont val="Calibri"/>
        <family val="2"/>
        <scheme val="minor"/>
      </rPr>
      <t xml:space="preserve"> EUR (</t>
    </r>
    <r>
      <rPr>
        <b/>
        <sz val="11"/>
        <color theme="1"/>
        <rFont val="Calibri"/>
        <family val="2"/>
        <scheme val="minor"/>
      </rPr>
      <t>11.053.865,08 EUR for risk capital instruments, 29.808.022,86 EUR for direct loan instrument</t>
    </r>
    <r>
      <rPr>
        <sz val="11"/>
        <color theme="1"/>
        <rFont val="Calibri"/>
        <family val="2"/>
        <scheme val="minor"/>
      </rPr>
      <t>)</t>
    </r>
    <r>
      <rPr>
        <strike/>
        <sz val="11"/>
        <color theme="1"/>
        <rFont val="Calibri"/>
        <family val="2"/>
        <scheme val="minor"/>
      </rPr>
      <t>. 73 % of the total amount is allocated to financial instruments. Also multiplier 1,5 is applied and total allocation used for callculation of  the target for  RCO03 is 41.988.471 EUR.</t>
    </r>
    <r>
      <rPr>
        <sz val="11"/>
        <color theme="1"/>
        <rFont val="Calibri"/>
        <family val="2"/>
        <scheme val="minor"/>
      </rPr>
      <t xml:space="preserve">
The calculation of the target value of the indicator requires a preliminary amount of financial instruments that would be allocated to one enterprise. The 2029 target for RCO03 is based on:
the assumption of</t>
    </r>
    <r>
      <rPr>
        <b/>
        <sz val="11"/>
        <color theme="1"/>
        <rFont val="Calibri"/>
        <family val="2"/>
        <scheme val="minor"/>
      </rPr>
      <t xml:space="preserve"> 662.000 EUR average project value per enterprise (assumption based on the latest data under the risk capital financial instrument "Ankstyvosios stadijos ir plėtros fondas II";
the assumption of 500.000 EUR average project value per enterprise (assumption based on the latest data under therisk capital financial instrument "Ko-investicinis fondas";
the assumption of 194.000 EUR average project value per enterprise (assumption based on the latest data under the direct loan financial instrument "Startuok":
(3.855.035,45 EUR (7% management fee for ILTE and 25% for funds managers are excluded)/662.000 EUR) + (5.140.047,26 EUR (7% management fee for ILTE is excluded)/500.000 EUR) +(27.721.461,26 EUR (7% management fee for ILTE is excluded)/194.000 EUR) = 157 enterprises.</t>
    </r>
    <r>
      <rPr>
        <sz val="11"/>
        <color theme="1"/>
        <rFont val="Calibri"/>
        <family val="2"/>
        <scheme val="minor"/>
      </rPr>
      <t xml:space="preserve">
</t>
    </r>
    <r>
      <rPr>
        <strike/>
        <sz val="11"/>
        <color theme="1"/>
        <rFont val="Calibri"/>
        <family val="2"/>
        <scheme val="minor"/>
      </rPr>
      <t>63.351  EUR average project value per enterprise (in terms of 2014-2020 financed projects in Mid-West region under the measures Entrepreneurship FE, Partial compensation of interest). Also the result is reduced 15 % because of implementation risk (according to the experience of 2014-2020 value of discontinued projects is 15% of the value of completed projects):</t>
    </r>
    <r>
      <rPr>
        <sz val="11"/>
        <color theme="1"/>
        <rFont val="Calibri"/>
        <family val="2"/>
        <scheme val="minor"/>
      </rPr>
      <t xml:space="preserve"> 
</t>
    </r>
    <r>
      <rPr>
        <strike/>
        <sz val="11"/>
        <color theme="1"/>
        <rFont val="Calibri"/>
        <family val="2"/>
        <scheme val="minor"/>
      </rPr>
      <t>(41.988.471/63.351)*0,85=  563 small and medium business entities.</t>
    </r>
    <r>
      <rPr>
        <sz val="11"/>
        <color theme="1"/>
        <rFont val="Calibri"/>
        <family val="2"/>
        <scheme val="minor"/>
      </rPr>
      <t xml:space="preserve">
</t>
    </r>
    <r>
      <rPr>
        <strike/>
        <sz val="11"/>
        <color theme="1"/>
        <rFont val="Calibri"/>
        <family val="2"/>
        <scheme val="minor"/>
      </rPr>
      <t>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r>
      <rPr>
        <sz val="11"/>
        <color theme="1"/>
        <rFont val="Calibri"/>
        <family val="2"/>
        <scheme val="minor"/>
      </rPr>
      <t xml:space="preserve"> </t>
    </r>
    <r>
      <rPr>
        <b/>
        <sz val="11"/>
        <color theme="1"/>
        <rFont val="Calibri"/>
        <family val="2"/>
        <scheme val="minor"/>
      </rPr>
      <t>2024 milestone value remains the same.</t>
    </r>
  </si>
  <si>
    <r>
      <rPr>
        <strike/>
        <sz val="11"/>
        <color theme="1"/>
        <rFont val="Calibri"/>
        <family val="2"/>
        <charset val="186"/>
        <scheme val="minor"/>
      </rPr>
      <t>Calculation of indicator is based according to the experience of 2014-2020 and Mid-West Region funding intensity level (EU-85%; national-15%) and it is 38.345.636</t>
    </r>
    <r>
      <rPr>
        <b/>
        <strike/>
        <sz val="11"/>
        <color theme="1"/>
        <rFont val="Calibri"/>
        <family val="2"/>
        <charset val="186"/>
        <scheme val="minor"/>
      </rPr>
      <t xml:space="preserve"> </t>
    </r>
    <r>
      <rPr>
        <strike/>
        <sz val="11"/>
        <color theme="1"/>
        <rFont val="Calibri"/>
        <family val="2"/>
        <charset val="186"/>
        <scheme val="minor"/>
      </rPr>
      <t xml:space="preserve">EUR. 27 % of the total amount is allocated to non-financial support and it is 10.346.201-7% (indirect costs)=9.621.967  EUR.
The calculation of the target value of the indicator requires a preliminary amount of non-financial support that would be provided to one start-up (9.000 EUR) (in terms of 2014-2020 projects implemented by Swarm cooperation centres established by Entrepreneurial Lithuania).  
The 2029 target for RCO04 is based on the assumption of 9.000  EUR average amount of non-financial support per enterprise. Also the result is reduced 15 % because of implementation risk (according to the experience of 2014-2020 value of discontinued projects is 15% of the value of completed projects): 
(9.621.967/9.000)*0,85= 909 entities.
As regards milestones for 2024, it is assumed that progress of the action, according to the forecast made in 2022 March-April (data from planned calls for proposals and payments), would amount to 37% of the final targets set based on the allocation for 2021-2027: 37% *909=336 enterprises.
</t>
    </r>
    <r>
      <rPr>
        <b/>
        <sz val="11"/>
        <color theme="1"/>
        <rFont val="Calibri"/>
        <family val="2"/>
        <charset val="186"/>
        <scheme val="minor"/>
      </rPr>
      <t xml:space="preserve">Given that a second call "Business Start" for funding under this activity will not be announced (since the EU amount of the second call 6,5 million euros were reallocated to defence activities), the remaining EU amount is € 2.294.577. So the total amount allocated to non-financial support is €2.699.502 -7% (indirect costs)=€2.510.537. 
Calculation of indicator is based according to the remaining total amount (€2.510.537), Mid-West Region funding intensity level (EU-85%; national-15%)  and the experience of 2021-2027 implemented similar projects.  
The 2029 target for RCO04 is based on the assumption of 1.900  EUR average amount of non-financial support per enterprise. Also the result is reduced 15 % because of implementation risk (according to the experience of 2014-2020 value of discontinued projects is 15% of the value of completed projects): 
(2.510.537/1.900)*0,85= 1123 entities.
2024 milestone value remains the same.
</t>
    </r>
  </si>
  <si>
    <r>
      <t xml:space="preserve"> The 2029 RCR02 (private investment) target is 15% private funding according to the Mid-West Region funding intensity level (EU-85%; national-15%). Total private contribution co-financing the supported projects where the form of support is a grant or based on financial instruments. The indicator covers also the non-eligible part of the project cost, also including VAT. 
Private investments of enterprises supported by  </t>
    </r>
    <r>
      <rPr>
        <b/>
        <sz val="11"/>
        <color theme="1"/>
        <rFont val="Calibri"/>
        <family val="2"/>
        <scheme val="minor"/>
      </rPr>
      <t>risk capital</t>
    </r>
    <r>
      <rPr>
        <sz val="11"/>
        <color theme="1"/>
        <rFont val="Calibri"/>
        <family val="2"/>
        <scheme val="minor"/>
      </rPr>
      <t xml:space="preserve"> financial </t>
    </r>
    <r>
      <rPr>
        <strike/>
        <sz val="11"/>
        <color theme="1"/>
        <rFont val="Calibri"/>
        <family val="2"/>
        <scheme val="minor"/>
      </rPr>
      <t>enterprises</t>
    </r>
    <r>
      <rPr>
        <b/>
        <sz val="11"/>
        <color theme="1"/>
        <rFont val="Calibri"/>
        <family val="2"/>
        <scheme val="minor"/>
      </rPr>
      <t xml:space="preserve"> instruments</t>
    </r>
    <r>
      <rPr>
        <sz val="11"/>
        <color theme="1"/>
        <rFont val="Calibri"/>
        <family val="2"/>
        <scheme val="minor"/>
      </rPr>
      <t xml:space="preserve"> is: </t>
    </r>
    <r>
      <rPr>
        <strike/>
        <sz val="11"/>
        <color theme="1"/>
        <rFont val="Calibri"/>
        <family val="2"/>
        <scheme val="minor"/>
      </rPr>
      <t xml:space="preserve">41.208.087 EUR (total amount) *0,73 </t>
    </r>
    <r>
      <rPr>
        <b/>
        <sz val="11"/>
        <color theme="1"/>
        <rFont val="Calibri"/>
        <family val="2"/>
        <scheme val="minor"/>
      </rPr>
      <t>5.526.932,54 EUR</t>
    </r>
    <r>
      <rPr>
        <sz val="11"/>
        <color theme="1"/>
        <rFont val="Calibri"/>
        <family val="2"/>
        <scheme val="minor"/>
      </rPr>
      <t xml:space="preserve"> (allocation to </t>
    </r>
    <r>
      <rPr>
        <b/>
        <sz val="11"/>
        <color theme="1"/>
        <rFont val="Calibri"/>
        <family val="2"/>
        <scheme val="minor"/>
      </rPr>
      <t>risk capital</t>
    </r>
    <r>
      <rPr>
        <sz val="11"/>
        <color theme="1"/>
        <rFont val="Calibri"/>
        <family val="2"/>
        <scheme val="minor"/>
      </rPr>
      <t xml:space="preserve"> financial instrument</t>
    </r>
    <r>
      <rPr>
        <strike/>
        <sz val="11"/>
        <color theme="1"/>
        <rFont val="Calibri"/>
        <family val="2"/>
        <scheme val="minor"/>
      </rPr>
      <t xml:space="preserve">s </t>
    </r>
    <r>
      <rPr>
        <b/>
        <sz val="11"/>
        <color theme="1"/>
        <rFont val="Calibri"/>
        <family val="2"/>
        <scheme val="minor"/>
      </rPr>
      <t>"Ankstyvosios stadijos ir plėtros fondas III"</t>
    </r>
    <r>
      <rPr>
        <sz val="11"/>
        <color theme="1"/>
        <rFont val="Calibri"/>
        <family val="2"/>
        <scheme val="minor"/>
      </rPr>
      <t>)</t>
    </r>
    <r>
      <rPr>
        <strike/>
        <sz val="11"/>
        <color theme="1"/>
        <rFont val="Calibri"/>
        <family val="2"/>
        <scheme val="minor"/>
      </rPr>
      <t>*1,5 (multiplier)</t>
    </r>
    <r>
      <rPr>
        <sz val="11"/>
        <color theme="1"/>
        <rFont val="Calibri"/>
        <family val="2"/>
        <scheme val="minor"/>
      </rPr>
      <t xml:space="preserve">*0,15 (private funding) </t>
    </r>
    <r>
      <rPr>
        <b/>
        <sz val="11"/>
        <color theme="1"/>
        <rFont val="Calibri"/>
        <family val="2"/>
        <scheme val="minor"/>
      </rPr>
      <t>+ 5.526.932,54 EUR (allocation to risk capital financial instrument "Ko-investicinis fondas")*0,15 (private funding)</t>
    </r>
    <r>
      <rPr>
        <sz val="11"/>
        <color theme="1"/>
        <rFont val="Calibri"/>
        <family val="2"/>
        <scheme val="minor"/>
      </rPr>
      <t xml:space="preserve"> = </t>
    </r>
    <r>
      <rPr>
        <strike/>
        <sz val="11"/>
        <color theme="1"/>
        <rFont val="Calibri"/>
        <family val="2"/>
        <scheme val="minor"/>
      </rPr>
      <t>6.298.271</t>
    </r>
    <r>
      <rPr>
        <b/>
        <strike/>
        <sz val="11"/>
        <color theme="1"/>
        <rFont val="Calibri"/>
        <family val="2"/>
        <scheme val="minor"/>
      </rPr>
      <t xml:space="preserve"> </t>
    </r>
    <r>
      <rPr>
        <b/>
        <sz val="11"/>
        <color theme="1"/>
        <rFont val="Calibri"/>
        <family val="2"/>
        <scheme val="minor"/>
      </rPr>
      <t xml:space="preserve">1.658.079,76 </t>
    </r>
    <r>
      <rPr>
        <sz val="11"/>
        <color theme="1"/>
        <rFont val="Calibri"/>
        <family val="2"/>
        <scheme val="minor"/>
      </rPr>
      <t xml:space="preserve">EUR. </t>
    </r>
    <r>
      <rPr>
        <b/>
        <sz val="11"/>
        <color theme="1"/>
        <rFont val="Calibri"/>
        <family val="2"/>
        <scheme val="minor"/>
      </rPr>
      <t>According to that loan financial instrument is implemented directly through national promotional bank ILTE, because after the discussions with credit institutions, they refused to participate in the instrument due to the relatively narrow areas for investments and complicated administration due to very specific requirements that are not usual for credit institutions, the 2029 RCR02 (private investment) target is 20% private funding from amounts allocated to final beneficiaries. So 27.721.461,26 (7% management fee for ILTE is excluded)*0,2= 5.544.292,25 EUR.</t>
    </r>
    <r>
      <rPr>
        <sz val="11"/>
        <color theme="1"/>
        <rFont val="Calibri"/>
        <family val="2"/>
        <scheme val="minor"/>
      </rPr>
      <t xml:space="preserve">
In total the 2029 target for RCR02 is</t>
    </r>
    <r>
      <rPr>
        <strike/>
        <sz val="11"/>
        <color theme="1"/>
        <rFont val="Calibri"/>
        <family val="2"/>
        <scheme val="minor"/>
      </rPr>
      <t xml:space="preserve"> 6.298.271</t>
    </r>
    <r>
      <rPr>
        <sz val="11"/>
        <color theme="1"/>
        <rFont val="Calibri"/>
        <family val="2"/>
        <scheme val="minor"/>
      </rPr>
      <t xml:space="preserve"> </t>
    </r>
    <r>
      <rPr>
        <b/>
        <sz val="11"/>
        <color theme="1"/>
        <rFont val="Calibri"/>
        <family val="2"/>
        <scheme val="minor"/>
      </rPr>
      <t>7.202.372,01</t>
    </r>
    <r>
      <rPr>
        <sz val="11"/>
        <color theme="1"/>
        <rFont val="Calibri"/>
        <family val="2"/>
        <scheme val="minor"/>
      </rPr>
      <t xml:space="preserve"> EUR.
</t>
    </r>
    <r>
      <rPr>
        <i/>
        <sz val="11"/>
        <color theme="1"/>
        <rFont val="Calibri"/>
        <family val="2"/>
        <scheme val="minor"/>
      </rPr>
      <t xml:space="preserve">Private investments of  enterprises with non-financial support is: </t>
    </r>
    <r>
      <rPr>
        <i/>
        <strike/>
        <sz val="11"/>
        <color theme="1"/>
        <rFont val="Calibri"/>
        <family val="2"/>
        <scheme val="minor"/>
      </rPr>
      <t xml:space="preserve">38.345.636  </t>
    </r>
    <r>
      <rPr>
        <b/>
        <i/>
        <sz val="11"/>
        <color theme="1"/>
        <rFont val="Calibri"/>
        <family val="2"/>
        <scheme val="minor"/>
      </rPr>
      <t>2.294.577 EUR</t>
    </r>
    <r>
      <rPr>
        <i/>
        <sz val="11"/>
        <color theme="1"/>
        <rFont val="Calibri"/>
        <family val="2"/>
        <scheme val="minor"/>
      </rPr>
      <t xml:space="preserve"> (non-financial support EU amount) *</t>
    </r>
    <r>
      <rPr>
        <i/>
        <strike/>
        <sz val="11"/>
        <color theme="1"/>
        <rFont val="Calibri"/>
        <family val="2"/>
        <scheme val="minor"/>
      </rPr>
      <t>0,27 (allocation to non-financial support, see RCO04 calculation)</t>
    </r>
    <r>
      <rPr>
        <i/>
        <sz val="11"/>
        <color theme="1"/>
        <rFont val="Calibri"/>
        <family val="2"/>
        <scheme val="minor"/>
      </rPr>
      <t xml:space="preserve"> 0,15 (private funding)/0,85= </t>
    </r>
    <r>
      <rPr>
        <i/>
        <strike/>
        <sz val="11"/>
        <color theme="1"/>
        <rFont val="Calibri"/>
        <family val="2"/>
        <scheme val="minor"/>
      </rPr>
      <t xml:space="preserve">1.552.998 </t>
    </r>
    <r>
      <rPr>
        <b/>
        <i/>
        <sz val="11"/>
        <color theme="1"/>
        <rFont val="Calibri"/>
        <family val="2"/>
        <scheme val="minor"/>
      </rPr>
      <t xml:space="preserve">404.925 </t>
    </r>
    <r>
      <rPr>
        <i/>
        <sz val="11"/>
        <color theme="1"/>
        <rFont val="Calibri"/>
        <family val="2"/>
        <scheme val="minor"/>
      </rPr>
      <t>EUR. not  included in the calculation of the indicator.</t>
    </r>
  </si>
  <si>
    <r>
      <t xml:space="preserve">The 2029 target for RCO01 equals the RCO03 target values (RCO01=RCO03). So it is </t>
    </r>
    <r>
      <rPr>
        <strike/>
        <sz val="11"/>
        <color theme="1"/>
        <rFont val="Calibri"/>
        <family val="2"/>
        <charset val="186"/>
        <scheme val="minor"/>
      </rPr>
      <t>55</t>
    </r>
    <r>
      <rPr>
        <sz val="11"/>
        <color theme="1"/>
        <rFont val="Calibri"/>
        <family val="2"/>
        <scheme val="minor"/>
      </rPr>
      <t xml:space="preserve"> </t>
    </r>
    <r>
      <rPr>
        <b/>
        <sz val="11"/>
        <color theme="1"/>
        <rFont val="Calibri"/>
        <family val="2"/>
        <charset val="186"/>
        <scheme val="minor"/>
      </rPr>
      <t>36</t>
    </r>
    <r>
      <rPr>
        <sz val="11"/>
        <color theme="1"/>
        <rFont val="Calibri"/>
        <family val="2"/>
        <scheme val="minor"/>
      </rPr>
      <t xml:space="preserve"> enterprises.
</t>
    </r>
    <r>
      <rPr>
        <strike/>
        <sz val="11"/>
        <color theme="1"/>
        <rFont val="Calibri"/>
        <family val="2"/>
        <charset val="186"/>
        <scheme val="minor"/>
      </rPr>
      <t>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r>
      <rPr>
        <sz val="11"/>
        <color theme="1"/>
        <rFont val="Calibri"/>
        <family val="2"/>
        <scheme val="minor"/>
      </rPr>
      <t xml:space="preserve"> </t>
    </r>
    <r>
      <rPr>
        <b/>
        <sz val="11"/>
        <color theme="1"/>
        <rFont val="Calibri"/>
        <family val="2"/>
        <charset val="186"/>
        <scheme val="minor"/>
      </rPr>
      <t>2024 milestone value remains the same.</t>
    </r>
  </si>
  <si>
    <r>
      <t xml:space="preserve">Calculation of indicator is based according to the experience of 2014-2020 and to the Mid-West Region funding intensity level (EU-85%; national-15%)  </t>
    </r>
    <r>
      <rPr>
        <strike/>
        <sz val="11"/>
        <color theme="1"/>
        <rFont val="Calibri"/>
        <family val="2"/>
        <scheme val="minor"/>
      </rPr>
      <t>in case of financial instruments (15 % private funding) and state aid rules in case of grants (60 % of private funding).</t>
    </r>
    <r>
      <rPr>
        <sz val="11"/>
        <color theme="1"/>
        <rFont val="Calibri"/>
        <family val="2"/>
        <scheme val="minor"/>
      </rPr>
      <t xml:space="preserve">, so it is  </t>
    </r>
    <r>
      <rPr>
        <strike/>
        <sz val="11"/>
        <color theme="1"/>
        <rFont val="Calibri"/>
        <family val="2"/>
        <scheme val="minor"/>
      </rPr>
      <t>46.175.294</t>
    </r>
    <r>
      <rPr>
        <sz val="11"/>
        <color theme="1"/>
        <rFont val="Calibri"/>
        <family val="2"/>
        <scheme val="minor"/>
      </rPr>
      <t xml:space="preserve"> </t>
    </r>
    <r>
      <rPr>
        <b/>
        <sz val="11"/>
        <color theme="1"/>
        <rFont val="Calibri"/>
        <family val="2"/>
        <scheme val="minor"/>
      </rPr>
      <t>47.302.255</t>
    </r>
    <r>
      <rPr>
        <sz val="11"/>
        <color theme="1"/>
        <rFont val="Calibri"/>
        <family val="2"/>
        <scheme val="minor"/>
      </rPr>
      <t xml:space="preserve"> EUR.   
</t>
    </r>
    <r>
      <rPr>
        <strike/>
        <sz val="11"/>
        <color theme="1"/>
        <rFont val="Calibri"/>
        <family val="2"/>
        <scheme val="minor"/>
      </rPr>
      <t>80 % of the total amount is allocated to financial instruments (after assessing the data on the 2014-2020 financed projects in Mid-West region under the measures  "Invest FE", "Partial compensation of interest" and after interviewing experts). Also multiplier 1,5 is applied and total allocation used for callculation of  the target for  RCO03 is 47.302.255  EUR*0,8*1,5=56.762.706 EUR.
The calculation of the target value of the indicator requires a preliminary amount of financial instruments that would be allocated to one enterprise. The 2029 target for RCO03 is based on the assumption of 851.042 EUR average project value per enterprise (in terms of 2014-2020 financed projects  in Mid-West region under the measures "Invest FE", "Partial compensation of interest"). 
Also the result is reduced 15 % because of implementation risk  (according to the experience of 2014-2020 value of discontinued projects is 15% of the value of completed projects): 
(56.762.706/851.042)*0,85= 55 small and medium business entities.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r>
      <rPr>
        <sz val="11"/>
        <color theme="1"/>
        <rFont val="Calibri"/>
        <family val="2"/>
        <scheme val="minor"/>
      </rPr>
      <t xml:space="preserve">
</t>
    </r>
    <r>
      <rPr>
        <b/>
        <sz val="11"/>
        <color theme="1"/>
        <rFont val="Calibri"/>
        <family val="2"/>
        <scheme val="minor"/>
      </rPr>
      <t>The calculation of the target value of the indicator requires a preliminary amount of financial instruments that would be allocated to one enterprise. The 2029 target for RCO03 is based on the assumption of 1.300.000 EUR average project value per enterprise (assumption based on the latest data for 2021-2027 under the financial instrument "Pokytis", activity "Short-value chains", which is implemented directly through national promotional bank ILTE, because after the discussions with credit institutions, they refused to participate in the instrument due to the relatively narrow areas for investments and complicated administration due to very specific requirements that are not usual for credit institutions):
(47.302.255 /1.300.000) = 36 small and medium business entities.
2024 milestone value remains the same.</t>
    </r>
  </si>
  <si>
    <r>
      <t>The 2029 target for RCR01 will depend on the average number of employees employed per supported entity. The new positions need to be filled, and they can be full time, part time or seasonal. Vacant positions are not counted. Moreover, the newly created positions are expected to last for at least one year after project completion. The indicator is calculated as the difference between the annual FTEs filled before the project starts and one year after the project completion. The 2029 target for RCR01 is based on the assumption of, on average, 5 employees employed per enterprises supported (after assessing the data on the 2014-2020 financed projects in Mid-West region under the measure "Regio invest LT+ ", data of the Department of Statistics on average monthly gross earnings in Mid-West region) (i.e. 5*</t>
    </r>
    <r>
      <rPr>
        <strike/>
        <sz val="11"/>
        <color theme="1"/>
        <rFont val="Calibri"/>
        <family val="2"/>
        <scheme val="minor"/>
      </rPr>
      <t>55</t>
    </r>
    <r>
      <rPr>
        <sz val="11"/>
        <color theme="1"/>
        <rFont val="Calibri"/>
        <family val="2"/>
        <scheme val="minor"/>
      </rPr>
      <t xml:space="preserve"> </t>
    </r>
    <r>
      <rPr>
        <b/>
        <sz val="11"/>
        <color theme="1"/>
        <rFont val="Calibri"/>
        <family val="2"/>
        <scheme val="minor"/>
      </rPr>
      <t>36</t>
    </r>
    <r>
      <rPr>
        <sz val="11"/>
        <color theme="1"/>
        <rFont val="Calibri"/>
        <family val="2"/>
        <scheme val="minor"/>
      </rPr>
      <t xml:space="preserve"> (the 2029 target for RCO03)= </t>
    </r>
    <r>
      <rPr>
        <strike/>
        <sz val="11"/>
        <color theme="1"/>
        <rFont val="Calibri"/>
        <family val="2"/>
        <scheme val="minor"/>
      </rPr>
      <t>275</t>
    </r>
    <r>
      <rPr>
        <sz val="11"/>
        <color theme="1"/>
        <rFont val="Calibri"/>
        <family val="2"/>
        <scheme val="minor"/>
      </rPr>
      <t xml:space="preserve"> </t>
    </r>
    <r>
      <rPr>
        <b/>
        <sz val="11"/>
        <color theme="1"/>
        <rFont val="Calibri"/>
        <family val="2"/>
        <scheme val="minor"/>
      </rPr>
      <t>180</t>
    </r>
    <r>
      <rPr>
        <sz val="11"/>
        <color theme="1"/>
        <rFont val="Calibri"/>
        <family val="2"/>
        <scheme val="minor"/>
      </rPr>
      <t xml:space="preserve"> FTEs). 
Also the result is reduced 15% because of implementation risk  (according to the experience of 2014-2020 value of discontinued projects is 15% of the value of completed projects) </t>
    </r>
    <r>
      <rPr>
        <b/>
        <sz val="11"/>
        <color theme="1"/>
        <rFont val="Calibri"/>
        <family val="2"/>
        <scheme val="minor"/>
      </rPr>
      <t>and reduced  45% because of due to the optimization of company activities, digitization, as a result of which companies need fewer employees</t>
    </r>
    <r>
      <rPr>
        <sz val="11"/>
        <color theme="1"/>
        <rFont val="Calibri"/>
        <family val="2"/>
        <scheme val="minor"/>
      </rPr>
      <t xml:space="preserve">: </t>
    </r>
    <r>
      <rPr>
        <strike/>
        <sz val="11"/>
        <color theme="1"/>
        <rFont val="Calibri"/>
        <family val="2"/>
        <scheme val="minor"/>
      </rPr>
      <t>275*0,85=234</t>
    </r>
    <r>
      <rPr>
        <sz val="11"/>
        <color theme="1"/>
        <rFont val="Calibri"/>
        <family val="2"/>
        <scheme val="minor"/>
      </rPr>
      <t xml:space="preserve">  </t>
    </r>
    <r>
      <rPr>
        <b/>
        <sz val="11"/>
        <color theme="1"/>
        <rFont val="Calibri"/>
        <family val="2"/>
        <scheme val="minor"/>
      </rPr>
      <t>180*0,4 = 72</t>
    </r>
    <r>
      <rPr>
        <sz val="11"/>
        <color theme="1"/>
        <rFont val="Calibri"/>
        <family val="2"/>
        <scheme val="minor"/>
      </rPr>
      <t xml:space="preserve"> FTEs.</t>
    </r>
  </si>
  <si>
    <r>
      <rPr>
        <strike/>
        <sz val="11"/>
        <color theme="1"/>
        <rFont val="Calibri"/>
        <family val="2"/>
        <charset val="186"/>
        <scheme val="minor"/>
      </rPr>
      <t xml:space="preserve">The 2029 RCR02 (private investment) target is 15% private funding of financial instruments according to the Mid-West Region funding intensity level (EU-85%; national-15%) and 60% private funding (grant) according to the state aid rules. Total private contribution co-financing the supported projects where the form of support is a grant or based on financial instruments. The indicator covers also the non-eligible part of the project cost, also including VAT. 
The total amount for the action is 46.175.294 EUR, of which 20% is allocated to grant 46.175.294,12*0,2=9.235.059 EUR and 80% is allocated to financial instruments 46.175.294,12*0,8=36.940.235 EUR (in case of the financial instruments multiplier 1,5 is apllied) . 
Private investments of enterprises supported with grants is:  46.175.294 EUR (total amount) * 0,2 (allocation to grants) * 0,6 (private funding)= 5.541.035 EUR.
Private investments of enterprises supported by  financial instruments is: 46.175.294,12 EUR (total amount) *0,8 (allocation to financial instruments) * 1,5 (multiplier) * 0,15 (private funding)= 8.311.553 EUR.
In total the 2029 target for RCR02 is 5.541.035+8.311.553 =13.852.588 EUR.
</t>
    </r>
    <r>
      <rPr>
        <b/>
        <sz val="11"/>
        <color theme="1"/>
        <rFont val="Calibri"/>
        <family val="2"/>
        <charset val="186"/>
        <scheme val="minor"/>
      </rPr>
      <t>According to that financial instrument is implemented directly through national promotional bank ILTE, because after the discussions with credit institutions, they refused to participate in the instrument due to the relatively narrow areas for investments and complicated administration due to very specific requirements that are not usual for credit institutions, the 2029 RCR02 (private investment) target is 20% private funding from amounts allocated to final beneficiaries. So 43.991.097,15 (7% management fee for ILTE is excluded)*0,2= 8.798.219,43 EUR.</t>
    </r>
  </si>
  <si>
    <t>Calculation of indicator is based according to the experience of 2014-2020 and to the Capital Region funding intensity level (EU-50%; national-50%), so it is 18.800.000 EUR.   
The calculation of the target value of the indicator requires a preliminary amount of financial instruments that would be allocated to one enterprise. The 2029 target for RCO03 is based on the assumption of 1.300.000 EUR average project value per enterprise (assumption based on the latest data for 2021-2027 under the financial instrument "Pokytis", activity "Short-value chains", which is implemented directly through national promotional bank ILTE, because after the discussions with credit institutions, they refused to participate in the instrument due to the relatively narrow areas for investments and complicated administration due to very specific requirements that are not usual for credit institutions):
(18.800.000 /1.300.000) = 14 small and medium business entities.</t>
  </si>
  <si>
    <t>According to that financial instrument is implemented directly through national promotional bank ILTE, because after the discussions with credit institutions, they refused to participate in the instrument due to the relatively narrow areas for investments and complicated administration due to very specific requirements that are not usual for credit institutions, the 2029 RCR02 (private investment) target is 20% private funding from amounts allocated to final beneficiaries. So 17.484.000 (7% management fee for ILTE is excluded)*0,2 = 3.496.800 EUR.</t>
  </si>
  <si>
    <r>
      <rPr>
        <strike/>
        <sz val="11"/>
        <color theme="1"/>
        <rFont val="Calibri"/>
        <family val="2"/>
        <charset val="186"/>
        <scheme val="minor"/>
      </rPr>
      <t xml:space="preserve">
</t>
    </r>
    <r>
      <rPr>
        <sz val="11"/>
        <color theme="1"/>
        <rFont val="Calibri"/>
        <family val="2"/>
        <charset val="186"/>
        <scheme val="minor"/>
      </rPr>
      <t xml:space="preserve">The total amount for the action is calculated according to the experience of 2014-2020 and Capital Region funding intensity level (EU-50%; national-50%). So it is </t>
    </r>
    <r>
      <rPr>
        <strike/>
        <sz val="11"/>
        <color theme="1"/>
        <rFont val="Calibri"/>
        <family val="2"/>
        <charset val="186"/>
        <scheme val="minor"/>
      </rPr>
      <t>63.600.000</t>
    </r>
    <r>
      <rPr>
        <sz val="11"/>
        <color theme="1"/>
        <rFont val="Calibri"/>
        <family val="2"/>
        <charset val="186"/>
        <scheme val="minor"/>
      </rPr>
      <t xml:space="preserve"> </t>
    </r>
    <r>
      <rPr>
        <b/>
        <sz val="11"/>
        <color theme="1"/>
        <rFont val="Calibri"/>
        <family val="2"/>
        <charset val="186"/>
        <scheme val="minor"/>
      </rPr>
      <t>46.600.000</t>
    </r>
    <r>
      <rPr>
        <sz val="11"/>
        <color theme="1"/>
        <rFont val="Calibri"/>
        <family val="2"/>
        <charset val="186"/>
        <scheme val="minor"/>
      </rPr>
      <t xml:space="preserve"> EUR for the 021 intervention code. </t>
    </r>
    <r>
      <rPr>
        <strike/>
        <sz val="11"/>
        <color theme="1"/>
        <rFont val="Calibri"/>
        <family val="2"/>
        <charset val="186"/>
        <scheme val="minor"/>
      </rPr>
      <t>Also multiplier 1,5 is applied and total allocation used for callculation of  the target for  RCO03 is  63.600.000*1,5= 95.400.000 EUR.</t>
    </r>
    <r>
      <rPr>
        <sz val="11"/>
        <color theme="1"/>
        <rFont val="Calibri"/>
        <family val="2"/>
        <charset val="186"/>
        <scheme val="minor"/>
      </rPr>
      <t xml:space="preserve">
The calculation of the target value of the indicator requires a preliminary amount of financial instruments that would be allocated to one enterprise. The 2029 target for RCO03 is based on the assumption of </t>
    </r>
    <r>
      <rPr>
        <strike/>
        <sz val="11"/>
        <color theme="1"/>
        <rFont val="Calibri"/>
        <family val="2"/>
        <charset val="186"/>
        <scheme val="minor"/>
      </rPr>
      <t>244.150</t>
    </r>
    <r>
      <rPr>
        <sz val="11"/>
        <color theme="1"/>
        <rFont val="Calibri"/>
        <family val="2"/>
        <charset val="186"/>
        <scheme val="minor"/>
      </rPr>
      <t xml:space="preserve"> </t>
    </r>
    <r>
      <rPr>
        <b/>
        <sz val="11"/>
        <color theme="1"/>
        <rFont val="Calibri"/>
        <family val="2"/>
        <charset val="186"/>
        <scheme val="minor"/>
      </rPr>
      <t>970.255</t>
    </r>
    <r>
      <rPr>
        <sz val="11"/>
        <color theme="1"/>
        <rFont val="Calibri"/>
        <family val="2"/>
        <charset val="186"/>
        <scheme val="minor"/>
      </rPr>
      <t xml:space="preserve"> EUR average project value per enterprise (</t>
    </r>
    <r>
      <rPr>
        <strike/>
        <sz val="11"/>
        <color theme="1"/>
        <rFont val="Calibri"/>
        <family val="2"/>
        <charset val="186"/>
        <scheme val="minor"/>
      </rPr>
      <t>in terms of 2014-2020 financed projects  in Capital region under the measures "Industry digitalization" and "Partial compensation of interest"</t>
    </r>
    <r>
      <rPr>
        <b/>
        <sz val="11"/>
        <color theme="1"/>
        <rFont val="Calibri"/>
        <family val="2"/>
        <charset val="186"/>
        <scheme val="minor"/>
      </rPr>
      <t>assumption based on the latest data for 2021-2027 under the financial instrument "Pokytis", activities "Digitalization Capital" and "Digitalization VVL", which is implemented directly through national promotional bank ILTE, because after the discussions with credit institutions, they refused to participate in the instrument due to the relatively narrow areas for investments and complicated administration due to very specific requirements that are not usual for credit institutions</t>
    </r>
    <r>
      <rPr>
        <sz val="11"/>
        <color theme="1"/>
        <rFont val="Calibri"/>
        <family val="2"/>
        <charset val="186"/>
        <scheme val="minor"/>
      </rPr>
      <t>). Also the result is reduced 15% because of implementation risk (according to the experience of 2014-2020 value of discontinued projects is 15% of the value of completed projects)</t>
    </r>
    <r>
      <rPr>
        <b/>
        <sz val="11"/>
        <color theme="1"/>
        <rFont val="Calibri"/>
        <family val="2"/>
        <charset val="186"/>
        <scheme val="minor"/>
      </rPr>
      <t xml:space="preserve"> and is reduced 30% because of surveys of industrial companies, which showed that some companies in the near future will not invest into digitalization due to geopolitical situation, market uncertainties, other will finance it's projects, but from own or banks resources</t>
    </r>
    <r>
      <rPr>
        <sz val="11"/>
        <color theme="1"/>
        <rFont val="Calibri"/>
        <family val="2"/>
        <charset val="186"/>
        <scheme val="minor"/>
      </rPr>
      <t>: 
(</t>
    </r>
    <r>
      <rPr>
        <strike/>
        <sz val="11"/>
        <color theme="1"/>
        <rFont val="Calibri"/>
        <family val="2"/>
        <charset val="186"/>
        <scheme val="minor"/>
      </rPr>
      <t xml:space="preserve">95.400.000/244.150 </t>
    </r>
    <r>
      <rPr>
        <b/>
        <sz val="11"/>
        <color theme="1"/>
        <rFont val="Calibri"/>
        <family val="2"/>
        <charset val="186"/>
        <scheme val="minor"/>
      </rPr>
      <t xml:space="preserve"> 43.338.000 (7% management fee for ILTE is exluded)/970.255</t>
    </r>
    <r>
      <rPr>
        <sz val="11"/>
        <color theme="1"/>
        <rFont val="Calibri"/>
        <family val="2"/>
        <charset val="186"/>
        <scheme val="minor"/>
      </rPr>
      <t>)*</t>
    </r>
    <r>
      <rPr>
        <strike/>
        <sz val="11"/>
        <color theme="1"/>
        <rFont val="Calibri"/>
        <family val="2"/>
        <charset val="186"/>
        <scheme val="minor"/>
      </rPr>
      <t>0,85</t>
    </r>
    <r>
      <rPr>
        <sz val="11"/>
        <color theme="1"/>
        <rFont val="Calibri"/>
        <family val="2"/>
        <charset val="186"/>
        <scheme val="minor"/>
      </rPr>
      <t xml:space="preserve"> </t>
    </r>
    <r>
      <rPr>
        <b/>
        <sz val="11"/>
        <color theme="1"/>
        <rFont val="Calibri"/>
        <family val="2"/>
        <charset val="186"/>
        <scheme val="minor"/>
      </rPr>
      <t>0,55</t>
    </r>
    <r>
      <rPr>
        <sz val="11"/>
        <color theme="1"/>
        <rFont val="Calibri"/>
        <family val="2"/>
        <charset val="186"/>
        <scheme val="minor"/>
      </rPr>
      <t>=</t>
    </r>
    <r>
      <rPr>
        <strike/>
        <sz val="11"/>
        <color theme="1"/>
        <rFont val="Calibri"/>
        <family val="2"/>
        <charset val="186"/>
        <scheme val="minor"/>
      </rPr>
      <t>332</t>
    </r>
    <r>
      <rPr>
        <sz val="11"/>
        <color theme="1"/>
        <rFont val="Calibri"/>
        <family val="2"/>
        <charset val="186"/>
        <scheme val="minor"/>
      </rPr>
      <t xml:space="preserve"> </t>
    </r>
    <r>
      <rPr>
        <b/>
        <sz val="11"/>
        <color theme="1"/>
        <rFont val="Calibri"/>
        <family val="2"/>
        <charset val="186"/>
        <scheme val="minor"/>
      </rPr>
      <t>24</t>
    </r>
    <r>
      <rPr>
        <sz val="11"/>
        <color theme="1"/>
        <rFont val="Calibri"/>
        <family val="2"/>
        <charset val="186"/>
        <scheme val="minor"/>
      </rPr>
      <t xml:space="preserve"> small and medium business entities.
</t>
    </r>
    <r>
      <rPr>
        <strike/>
        <sz val="11"/>
        <color theme="1"/>
        <rFont val="Calibri"/>
        <family val="2"/>
        <charset val="186"/>
        <scheme val="minor"/>
      </rPr>
      <t>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r>
      <rPr>
        <sz val="11"/>
        <color theme="1"/>
        <rFont val="Calibri"/>
        <family val="2"/>
        <charset val="186"/>
        <scheme val="minor"/>
      </rPr>
      <t xml:space="preserve"> </t>
    </r>
    <r>
      <rPr>
        <b/>
        <sz val="11"/>
        <color theme="1"/>
        <rFont val="Calibri"/>
        <family val="2"/>
        <charset val="186"/>
        <scheme val="minor"/>
      </rPr>
      <t>2024 milestone value remains the same.</t>
    </r>
  </si>
  <si>
    <r>
      <t>The 2029 RCR02 (private investment) target is 50% private funding according to the Capital Region funding intensity level (EU-50%; national-50%). Multiplier 1,5 is apllied. So 31.800.000*1,5=47.700.000 EUR.</t>
    </r>
    <r>
      <rPr>
        <b/>
        <strike/>
        <sz val="11"/>
        <color theme="1"/>
        <rFont val="Calibri"/>
        <family val="2"/>
        <charset val="186"/>
        <scheme val="minor"/>
      </rPr>
      <t xml:space="preserve"> </t>
    </r>
    <r>
      <rPr>
        <b/>
        <sz val="11"/>
        <color theme="1"/>
        <rFont val="Calibri"/>
        <family val="2"/>
        <charset val="186"/>
        <scheme val="minor"/>
      </rPr>
      <t>According to that financial instrument is implemented directly through national promotional bank ILTE, because after the discusions with credit institutions, they refused to participate in the instrument due to the relatively narrow areas for investments and complicated administration due to very specific requirements that are not usual for credit institutions, the 2029 RCR02 (private investment) target is 20% private funding from amounts allocated to final beneficiaries. So 43.338.000 (7% management fee for ILTE is exluded)*0,2= 8.667.600 EUR.</t>
    </r>
  </si>
  <si>
    <r>
      <t xml:space="preserve">The 2029 target for RCR03 is based on the assumption that 90% of the supported SMEs will introduce product or process innovation  (after assessing the data on the completed 2014-2020 financed projects in Capital region under the measure "Eco innovations LT+ "). That is 90% of all supported </t>
    </r>
    <r>
      <rPr>
        <strike/>
        <sz val="11"/>
        <rFont val="Calibri"/>
        <family val="2"/>
        <charset val="186"/>
        <scheme val="minor"/>
      </rPr>
      <t>enterprises</t>
    </r>
    <r>
      <rPr>
        <b/>
        <sz val="11"/>
        <color theme="1"/>
        <rFont val="Calibri"/>
        <family val="2"/>
        <charset val="186"/>
        <scheme val="minor"/>
      </rPr>
      <t xml:space="preserve"> SMEs</t>
    </r>
    <r>
      <rPr>
        <sz val="11"/>
        <rFont val="Calibri"/>
        <family val="2"/>
        <scheme val="minor"/>
      </rPr>
      <t xml:space="preserve"> (as reflected by RCO01) will introduce product or process innovation as a result of the support (</t>
    </r>
    <r>
      <rPr>
        <sz val="11"/>
        <rFont val="Calibri"/>
        <family val="2"/>
        <charset val="186"/>
        <scheme val="minor"/>
      </rPr>
      <t>90% *</t>
    </r>
    <r>
      <rPr>
        <strike/>
        <sz val="11"/>
        <rFont val="Calibri"/>
        <family val="2"/>
        <charset val="186"/>
        <scheme val="minor"/>
      </rPr>
      <t>332</t>
    </r>
    <r>
      <rPr>
        <sz val="11"/>
        <rFont val="Calibri"/>
        <family val="2"/>
        <charset val="186"/>
        <scheme val="minor"/>
      </rPr>
      <t xml:space="preserve"> </t>
    </r>
    <r>
      <rPr>
        <b/>
        <sz val="11"/>
        <color theme="1"/>
        <rFont val="Calibri"/>
        <family val="2"/>
        <charset val="186"/>
        <scheme val="minor"/>
      </rPr>
      <t>24</t>
    </r>
    <r>
      <rPr>
        <sz val="11"/>
        <rFont val="Calibri"/>
        <family val="2"/>
        <charset val="186"/>
        <scheme val="minor"/>
      </rPr>
      <t xml:space="preserve">(the 2029 target for RCO01) = </t>
    </r>
    <r>
      <rPr>
        <strike/>
        <sz val="11"/>
        <rFont val="Calibri"/>
        <family val="2"/>
        <charset val="186"/>
        <scheme val="minor"/>
      </rPr>
      <t>299 enterprises</t>
    </r>
    <r>
      <rPr>
        <b/>
        <strike/>
        <sz val="11"/>
        <color theme="1"/>
        <rFont val="Calibri"/>
        <family val="2"/>
        <charset val="186"/>
        <scheme val="minor"/>
      </rPr>
      <t xml:space="preserve"> </t>
    </r>
    <r>
      <rPr>
        <b/>
        <sz val="11"/>
        <color theme="1"/>
        <rFont val="Calibri"/>
        <family val="2"/>
        <charset val="186"/>
        <scheme val="minor"/>
      </rPr>
      <t>21 SMEs</t>
    </r>
    <r>
      <rPr>
        <sz val="11"/>
        <rFont val="Calibri"/>
        <family val="2"/>
        <charset val="186"/>
        <scheme val="minor"/>
      </rPr>
      <t xml:space="preserve">). </t>
    </r>
  </si>
  <si>
    <r>
      <t>Number of enterprises supported which achieve higher value added per employee. The indicator counts enterprises for which the value added per employee for the fiscal year after the year of completion of output is at least 2% higher than the value added per employee in the year before the project started. 
It is presumed that all enterprises supported by financial instruments (</t>
    </r>
    <r>
      <rPr>
        <sz val="11"/>
        <rFont val="Calibri"/>
        <family val="2"/>
        <charset val="186"/>
        <scheme val="minor"/>
      </rPr>
      <t xml:space="preserve">RCO03)  will generate high added value. So the 2029 target for RCR25 equals the 2029 target for RCO03 and it is </t>
    </r>
    <r>
      <rPr>
        <strike/>
        <sz val="11"/>
        <rFont val="Calibri"/>
        <family val="2"/>
        <charset val="186"/>
        <scheme val="minor"/>
      </rPr>
      <t>332</t>
    </r>
    <r>
      <rPr>
        <sz val="11"/>
        <rFont val="Calibri"/>
        <family val="2"/>
        <charset val="186"/>
        <scheme val="minor"/>
      </rPr>
      <t xml:space="preserve"> </t>
    </r>
    <r>
      <rPr>
        <b/>
        <sz val="11"/>
        <color theme="1"/>
        <rFont val="Calibri"/>
        <family val="2"/>
        <charset val="186"/>
        <scheme val="minor"/>
      </rPr>
      <t xml:space="preserve">24 </t>
    </r>
    <r>
      <rPr>
        <sz val="11"/>
        <rFont val="Calibri"/>
        <family val="2"/>
        <charset val="186"/>
        <scheme val="minor"/>
      </rPr>
      <t>e</t>
    </r>
    <r>
      <rPr>
        <sz val="11"/>
        <rFont val="Calibri"/>
        <family val="2"/>
        <scheme val="minor"/>
      </rPr>
      <t>nteprises.</t>
    </r>
  </si>
  <si>
    <r>
      <rPr>
        <b/>
        <sz val="11"/>
        <color theme="1"/>
        <rFont val="Calibri"/>
        <family val="2"/>
        <charset val="186"/>
        <scheme val="minor"/>
      </rPr>
      <t>The 2029 target for RCO01 equals the sum of RCO03 2029 target value (RCO01=RCO03). 11=11 large enterprises.</t>
    </r>
    <r>
      <rPr>
        <sz val="11"/>
        <color theme="1"/>
        <rFont val="Calibri"/>
        <family val="2"/>
        <charset val="186"/>
        <scheme val="minor"/>
      </rPr>
      <t xml:space="preserve">
</t>
    </r>
    <r>
      <rPr>
        <strike/>
        <sz val="11"/>
        <color theme="1"/>
        <rFont val="Calibri"/>
        <family val="2"/>
        <charset val="186"/>
        <scheme val="minor"/>
      </rPr>
      <t>The 2029 target for RCO01 equals the sum of RCO03 2029 target value (RCO01=RCO03). 222=222 SMEs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r>
      <rPr>
        <sz val="11"/>
        <color theme="1"/>
        <rFont val="Calibri"/>
        <family val="2"/>
        <charset val="186"/>
        <scheme val="minor"/>
      </rPr>
      <t xml:space="preserve"> </t>
    </r>
    <r>
      <rPr>
        <b/>
        <sz val="11"/>
        <color theme="1"/>
        <rFont val="Calibri"/>
        <family val="2"/>
        <charset val="186"/>
        <scheme val="minor"/>
      </rPr>
      <t>2024 milestone value remains the same.</t>
    </r>
  </si>
  <si>
    <r>
      <t xml:space="preserve">The total amount for the action is calculated according to the experience of 2014-2020 and Capital Region funding intensity level (EU-50%; national-50%). </t>
    </r>
    <r>
      <rPr>
        <b/>
        <sz val="11"/>
        <color theme="1"/>
        <rFont val="Calibri"/>
        <family val="2"/>
        <charset val="186"/>
        <scheme val="minor"/>
      </rPr>
      <t>So it is  22.400.000 EUR.</t>
    </r>
    <r>
      <rPr>
        <strike/>
        <sz val="11"/>
        <color theme="1"/>
        <rFont val="Calibri"/>
        <family val="2"/>
        <charset val="186"/>
        <scheme val="minor"/>
      </rPr>
      <t>So it is 42.400.000 EUR for the 022 intervention code. Also multiplier 1,5 is applied and total allocation used for callculation of  the target for  RCO03 is 42.400.000*1,5=63.600.000 EUR.</t>
    </r>
    <r>
      <rPr>
        <sz val="11"/>
        <color theme="1"/>
        <rFont val="Calibri"/>
        <family val="2"/>
        <scheme val="minor"/>
      </rPr>
      <t xml:space="preserve">
The calculation of the target value of the indicator requires a preliminary amount of financial instruments that would be allocated to one enterprise. </t>
    </r>
    <r>
      <rPr>
        <b/>
        <sz val="11"/>
        <color theme="1"/>
        <rFont val="Calibri"/>
        <family val="2"/>
        <charset val="186"/>
        <scheme val="minor"/>
      </rPr>
      <t>The 2029 target for RCO03 is based on the assumption of 970.255 EUR average project value per enterprise (assumption based on the latest data for 2021-2027 under the financial instrument "Pokytis", activities "Digitalization Capital" and "Digitalization VVL", which is implemented directly through national promotional bank ILTE, because after the discusions with credit institutions, they refused to participate in the instrument due to the relatively narrow areas for investments and complicated administration due to very specific requirements that are not usual for credit institutions). Also the result is reduced 15% because of implementation risk  (according to the experience of 2014-2020 value of discontinued projects is 15%of the value of completed projects) and is reduced 30% because of surveys of industrial companies, which showed that some companies in the near future will not invest into digitalization due to geopolitical situation, market uncertainties, other will finance it's projects, but from own or banks resources: 
(20.832.000 (7% management fee for ILTE is exluded)/970.255)*0,55=</t>
    </r>
    <r>
      <rPr>
        <b/>
        <strike/>
        <sz val="11"/>
        <color theme="1"/>
        <rFont val="Calibri"/>
        <family val="2"/>
        <charset val="186"/>
        <scheme val="minor"/>
      </rPr>
      <t xml:space="preserve"> </t>
    </r>
    <r>
      <rPr>
        <b/>
        <sz val="11"/>
        <color theme="1"/>
        <rFont val="Calibri"/>
        <family val="2"/>
        <charset val="186"/>
        <scheme val="minor"/>
      </rPr>
      <t>11 business entities</t>
    </r>
    <r>
      <rPr>
        <sz val="11"/>
        <color theme="1"/>
        <rFont val="Calibri"/>
        <family val="2"/>
        <scheme val="minor"/>
      </rPr>
      <t>.</t>
    </r>
    <r>
      <rPr>
        <strike/>
        <sz val="11"/>
        <color theme="1"/>
        <rFont val="Calibri"/>
        <family val="2"/>
        <charset val="186"/>
        <scheme val="minor"/>
      </rPr>
      <t xml:space="preserve"> The 2029 target for RCO03 is based on the assumption of 244.150 EUR average project value per enterprise (in terms of 2014-2020 financed projects  in Capital region under the measures "Industry digitalization" and "Partial compensation of interest"). Also the result is reduced 15% because of implementation risk  (according to the experience of 2014-2020 value of discontinued projects is 15% of the value of completed projects): 
(63.600.000/244.150)*0,85=222 small and medium business entities.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r>
      <rPr>
        <sz val="11"/>
        <color theme="1"/>
        <rFont val="Calibri"/>
        <family val="2"/>
        <scheme val="minor"/>
      </rPr>
      <t xml:space="preserve">
</t>
    </r>
    <r>
      <rPr>
        <b/>
        <sz val="11"/>
        <color theme="1"/>
        <rFont val="Calibri"/>
        <family val="2"/>
        <charset val="186"/>
        <scheme val="minor"/>
      </rPr>
      <t>2024 milestone value remains the same.</t>
    </r>
  </si>
  <si>
    <r>
      <rPr>
        <strike/>
        <sz val="11"/>
        <color theme="1"/>
        <rFont val="Calibri"/>
        <family val="2"/>
        <charset val="186"/>
        <scheme val="minor"/>
      </rPr>
      <t>The 2029 RCR02 (private investment) target is 50% private funding according to the Capital Region funding intensity level (EU-50%; national-50%). Multiplier 1,5 is apllied. So 21.200.000*1,5=31.800.000 EUR.</t>
    </r>
    <r>
      <rPr>
        <sz val="11"/>
        <color theme="1"/>
        <rFont val="Calibri"/>
        <family val="2"/>
        <scheme val="minor"/>
      </rPr>
      <t xml:space="preserve"> </t>
    </r>
    <r>
      <rPr>
        <b/>
        <sz val="11"/>
        <color theme="1"/>
        <rFont val="Calibri"/>
        <family val="2"/>
        <charset val="186"/>
        <scheme val="minor"/>
      </rPr>
      <t>According to that financial instrument is implemented directly through national promotional bank ILTE, because after the discusions with credit institutions, they refused to participate in the instrument due to the relatively narrow areas for investments and complicated administration due to very specific requirements that are not usual for credit institutions, the 2029 RCR02 (private investment) target is 20% private funding from amounts allocated to final beneficiaries. So 20.832.000 (7% management fee for ILTE is exluded)*0,2= 4.166.400 EUR.</t>
    </r>
  </si>
  <si>
    <r>
      <t xml:space="preserve">The 2029 target for  </t>
    </r>
    <r>
      <rPr>
        <strike/>
        <sz val="11"/>
        <color theme="1"/>
        <rFont val="Calibri"/>
        <family val="2"/>
        <charset val="186"/>
        <scheme val="minor"/>
      </rPr>
      <t>this specific result indicator</t>
    </r>
    <r>
      <rPr>
        <sz val="11"/>
        <color theme="1"/>
        <rFont val="Calibri"/>
        <family val="2"/>
        <scheme val="minor"/>
      </rPr>
      <t xml:space="preserve"> RCR03 is based on the assumption that 90% of the supported large enterprises will introduce product or process innovation </t>
    </r>
    <r>
      <rPr>
        <b/>
        <sz val="11"/>
        <color theme="1"/>
        <rFont val="Calibri"/>
        <family val="2"/>
        <charset val="186"/>
        <scheme val="minor"/>
      </rPr>
      <t xml:space="preserve"> (after assessing the data on the completed 2014-2020 financed projects in Capital region under the measure "Eco innovations LT+")</t>
    </r>
    <r>
      <rPr>
        <sz val="11"/>
        <color theme="1"/>
        <rFont val="Calibri"/>
        <family val="2"/>
        <scheme val="minor"/>
      </rPr>
      <t xml:space="preserve">. That is 90% of all supported large enterprises (as reflected by RCO01) will introduce product or process innovation as a result of the support (90% * </t>
    </r>
    <r>
      <rPr>
        <b/>
        <sz val="11"/>
        <color theme="1"/>
        <rFont val="Calibri"/>
        <family val="2"/>
        <charset val="186"/>
        <scheme val="minor"/>
      </rPr>
      <t>11</t>
    </r>
    <r>
      <rPr>
        <sz val="11"/>
        <color theme="1"/>
        <rFont val="Calibri"/>
        <family val="2"/>
        <scheme val="minor"/>
      </rPr>
      <t xml:space="preserve"> </t>
    </r>
    <r>
      <rPr>
        <strike/>
        <sz val="11"/>
        <color theme="1"/>
        <rFont val="Calibri"/>
        <family val="2"/>
        <charset val="186"/>
        <scheme val="minor"/>
      </rPr>
      <t>222</t>
    </r>
    <r>
      <rPr>
        <sz val="11"/>
        <color theme="1"/>
        <rFont val="Calibri"/>
        <family val="2"/>
        <scheme val="minor"/>
      </rPr>
      <t xml:space="preserve"> (the 2029 target for RCO01) = </t>
    </r>
    <r>
      <rPr>
        <b/>
        <sz val="11"/>
        <color theme="1"/>
        <rFont val="Calibri"/>
        <family val="2"/>
        <charset val="186"/>
        <scheme val="minor"/>
      </rPr>
      <t>10</t>
    </r>
    <r>
      <rPr>
        <sz val="11"/>
        <color theme="1"/>
        <rFont val="Calibri"/>
        <family val="2"/>
        <scheme val="minor"/>
      </rPr>
      <t xml:space="preserve"> </t>
    </r>
    <r>
      <rPr>
        <strike/>
        <sz val="11"/>
        <color theme="1"/>
        <rFont val="Calibri"/>
        <family val="2"/>
        <charset val="186"/>
        <scheme val="minor"/>
      </rPr>
      <t>200</t>
    </r>
    <r>
      <rPr>
        <sz val="11"/>
        <color theme="1"/>
        <rFont val="Calibri"/>
        <family val="2"/>
        <scheme val="minor"/>
      </rPr>
      <t xml:space="preserve"> large enterprises). </t>
    </r>
  </si>
  <si>
    <r>
      <t xml:space="preserve">Number of enterprises supported which achieve higher value added per employee. The indicator counts enterprises for which the value added per employee for the fiscal year after the year of completion of output is at least 2% higher than the value added per employee in the year before the project started. 
</t>
    </r>
    <r>
      <rPr>
        <b/>
        <sz val="11"/>
        <color theme="1"/>
        <rFont val="Calibri"/>
        <family val="2"/>
        <charset val="186"/>
        <scheme val="minor"/>
      </rPr>
      <t xml:space="preserve">Given that only high value-added industrial large enterprises will be eligible applicants for this activity, </t>
    </r>
    <r>
      <rPr>
        <sz val="11"/>
        <color theme="1"/>
        <rFont val="Calibri"/>
        <family val="2"/>
        <scheme val="minor"/>
      </rPr>
      <t xml:space="preserve">It is presumed that all enterprises supported by financial instruments (RCO03)  will generate high added value. So the 2029 target for RCR25 equals the 2029 target for RCO03 and it is </t>
    </r>
    <r>
      <rPr>
        <b/>
        <sz val="11"/>
        <color theme="1"/>
        <rFont val="Calibri"/>
        <family val="2"/>
        <charset val="186"/>
        <scheme val="minor"/>
      </rPr>
      <t>11</t>
    </r>
    <r>
      <rPr>
        <strike/>
        <sz val="11"/>
        <color theme="1"/>
        <rFont val="Calibri"/>
        <family val="2"/>
        <charset val="186"/>
        <scheme val="minor"/>
      </rPr>
      <t xml:space="preserve"> 222</t>
    </r>
    <r>
      <rPr>
        <sz val="11"/>
        <color theme="1"/>
        <rFont val="Calibri"/>
        <family val="2"/>
        <scheme val="minor"/>
      </rPr>
      <t xml:space="preserve"> enteprises.</t>
    </r>
  </si>
  <si>
    <r>
      <t xml:space="preserve">The 2029 target for RCO01 equals the sum of RCO03 2029 target value (RCO01=RCO03). </t>
    </r>
    <r>
      <rPr>
        <strike/>
        <sz val="11"/>
        <color theme="1"/>
        <rFont val="Calibri"/>
        <family val="2"/>
        <charset val="186"/>
        <scheme val="minor"/>
      </rPr>
      <t xml:space="preserve">554 </t>
    </r>
    <r>
      <rPr>
        <b/>
        <sz val="11"/>
        <color theme="1"/>
        <rFont val="Calibri"/>
        <family val="2"/>
        <charset val="186"/>
        <scheme val="minor"/>
      </rPr>
      <t>24</t>
    </r>
    <r>
      <rPr>
        <sz val="11"/>
        <color theme="1"/>
        <rFont val="Calibri"/>
        <family val="2"/>
        <scheme val="minor"/>
      </rPr>
      <t>=</t>
    </r>
    <r>
      <rPr>
        <strike/>
        <sz val="11"/>
        <color theme="1"/>
        <rFont val="Calibri"/>
        <family val="2"/>
        <charset val="186"/>
        <scheme val="minor"/>
      </rPr>
      <t>554</t>
    </r>
    <r>
      <rPr>
        <sz val="11"/>
        <color theme="1"/>
        <rFont val="Calibri"/>
        <family val="2"/>
        <charset val="186"/>
        <scheme val="minor"/>
      </rPr>
      <t xml:space="preserve"> </t>
    </r>
    <r>
      <rPr>
        <b/>
        <sz val="11"/>
        <color theme="1"/>
        <rFont val="Calibri"/>
        <family val="2"/>
        <charset val="186"/>
        <scheme val="minor"/>
      </rPr>
      <t xml:space="preserve">24 </t>
    </r>
    <r>
      <rPr>
        <sz val="11"/>
        <color theme="1"/>
        <rFont val="Calibri"/>
        <family val="2"/>
        <charset val="186"/>
        <scheme val="minor"/>
      </rPr>
      <t>SMEs</t>
    </r>
    <r>
      <rPr>
        <sz val="11"/>
        <color theme="1"/>
        <rFont val="Calibri"/>
        <family val="2"/>
        <scheme val="minor"/>
      </rPr>
      <t xml:space="preserve">.
</t>
    </r>
    <r>
      <rPr>
        <strike/>
        <sz val="11"/>
        <color theme="1"/>
        <rFont val="Calibri"/>
        <family val="2"/>
        <charset val="186"/>
        <scheme val="minor"/>
      </rPr>
      <t>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r>
      <rPr>
        <sz val="11"/>
        <color theme="1"/>
        <rFont val="Calibri"/>
        <family val="2"/>
        <charset val="186"/>
        <scheme val="minor"/>
      </rPr>
      <t xml:space="preserve"> </t>
    </r>
    <r>
      <rPr>
        <b/>
        <sz val="11"/>
        <color theme="1"/>
        <rFont val="Calibri"/>
        <family val="2"/>
        <charset val="186"/>
        <scheme val="minor"/>
      </rPr>
      <t>2024 milestone value remains the same.</t>
    </r>
    <r>
      <rPr>
        <sz val="11"/>
        <color theme="1"/>
        <rFont val="Calibri"/>
        <family val="2"/>
        <scheme val="minor"/>
      </rPr>
      <t xml:space="preserve">
</t>
    </r>
  </si>
  <si>
    <r>
      <t xml:space="preserve"> new enterprise indicator assigned to only one action. Unique will be about 40 percent (about 60 percent of the same enterprises will receive non-financial support, and FI). 
</t>
    </r>
    <r>
      <rPr>
        <b/>
        <sz val="11"/>
        <color theme="1"/>
        <rFont val="Calibri"/>
        <family val="2"/>
        <charset val="186"/>
        <scheme val="minor"/>
      </rPr>
      <t>After analyzing the data from completed calls of this programming period, we see that all the companies were unique.</t>
    </r>
  </si>
  <si>
    <r>
      <rPr>
        <strike/>
        <sz val="11"/>
        <color theme="1"/>
        <rFont val="Calibri"/>
        <family val="2"/>
        <charset val="186"/>
        <scheme val="minor"/>
      </rPr>
      <t xml:space="preserve">MWR region 4 actions (subsidy).  unique will be about 70 percent.
</t>
    </r>
    <r>
      <rPr>
        <b/>
        <sz val="11"/>
        <color theme="1"/>
        <rFont val="Calibri"/>
        <family val="2"/>
        <charset val="186"/>
        <scheme val="minor"/>
      </rPr>
      <t>After analyzing the data from completed calls of this programming period, we see that all the companies were unique.</t>
    </r>
  </si>
  <si>
    <r>
      <t xml:space="preserve">Experience 2014-2020 period about 60-70 percent. Whereas 2 regions will be about 60 percent.
</t>
    </r>
    <r>
      <rPr>
        <b/>
        <sz val="11"/>
        <color theme="1"/>
        <rFont val="Calibri"/>
        <family val="2"/>
        <charset val="186"/>
        <scheme val="minor"/>
      </rPr>
      <t>After analyzing the data from completed calls in this programming period, we see that approximately 80% of the companies were unique.</t>
    </r>
  </si>
  <si>
    <r>
      <t>In the form of non-financial support, only one action is planned. All unique will be.</t>
    </r>
    <r>
      <rPr>
        <strike/>
        <sz val="11"/>
        <color theme="1"/>
        <rFont val="Calibri"/>
        <family val="2"/>
        <charset val="186"/>
        <scheme val="minor"/>
      </rPr>
      <t xml:space="preserve">
</t>
    </r>
  </si>
  <si>
    <r>
      <rPr>
        <strike/>
        <sz val="11"/>
        <color theme="1"/>
        <rFont val="Calibri"/>
        <family val="2"/>
        <charset val="186"/>
        <scheme val="minor"/>
      </rPr>
      <t xml:space="preserve">Unique will be about 40 percent.
</t>
    </r>
    <r>
      <rPr>
        <b/>
        <sz val="11"/>
        <color theme="1"/>
        <rFont val="Calibri"/>
        <family val="2"/>
        <charset val="186"/>
        <scheme val="minor"/>
      </rPr>
      <t>All enterprises will be unique, so indicator target is 771, not 270.</t>
    </r>
  </si>
  <si>
    <r>
      <t xml:space="preserve">An enterprise is considered new if it did not exist during the three years period before the project started. An enterprise will not be considered new if only its legal form changes. 
It is planned that all new companies up to 3 years of age will receive non-financial support, and about </t>
    </r>
    <r>
      <rPr>
        <strike/>
        <sz val="11"/>
        <rFont val="Calibri"/>
        <family val="2"/>
        <scheme val="minor"/>
      </rPr>
      <t>70%</t>
    </r>
    <r>
      <rPr>
        <sz val="11"/>
        <rFont val="Calibri"/>
        <family val="2"/>
        <scheme val="minor"/>
      </rPr>
      <t xml:space="preserve"> </t>
    </r>
    <r>
      <rPr>
        <b/>
        <sz val="11"/>
        <rFont val="Calibri"/>
        <family val="2"/>
        <scheme val="minor"/>
      </rPr>
      <t xml:space="preserve">90% </t>
    </r>
    <r>
      <rPr>
        <sz val="11"/>
        <rFont val="Calibri"/>
        <family val="2"/>
        <scheme val="minor"/>
      </rPr>
      <t>of new companies will receive support through financial instruments (</t>
    </r>
    <r>
      <rPr>
        <strike/>
        <sz val="11"/>
        <rFont val="Calibri"/>
        <family val="2"/>
        <scheme val="minor"/>
      </rPr>
      <t xml:space="preserve">after assessing the data on the implemented and completed 2014-2020 financed projects in Mid-West region under the measures Entrepreneurship FE, Partial compensation of interest </t>
    </r>
    <r>
      <rPr>
        <b/>
        <sz val="11"/>
        <rFont val="Calibri"/>
        <family val="2"/>
        <scheme val="minor"/>
      </rPr>
      <t>assumption based on the latest data under the risk capital financial instruments "Ankstyvosios stadijos ir plėtros fondas II" and "Ko-investicinis fondas" and the direct loan financial instrument "Startuok"</t>
    </r>
    <r>
      <rPr>
        <sz val="11"/>
        <rFont val="Calibri"/>
        <family val="2"/>
        <scheme val="minor"/>
      </rPr>
      <t xml:space="preserve">). Thus </t>
    </r>
    <r>
      <rPr>
        <strike/>
        <sz val="11"/>
        <rFont val="Calibri"/>
        <family val="2"/>
        <scheme val="minor"/>
      </rPr>
      <t>909</t>
    </r>
    <r>
      <rPr>
        <b/>
        <sz val="11"/>
        <rFont val="Calibri"/>
        <family val="2"/>
        <scheme val="minor"/>
      </rPr>
      <t>1123</t>
    </r>
    <r>
      <rPr>
        <sz val="11"/>
        <rFont val="Calibri"/>
        <family val="2"/>
        <scheme val="minor"/>
      </rPr>
      <t>+(</t>
    </r>
    <r>
      <rPr>
        <strike/>
        <sz val="11"/>
        <rFont val="Calibri"/>
        <family val="2"/>
        <scheme val="minor"/>
      </rPr>
      <t>563</t>
    </r>
    <r>
      <rPr>
        <sz val="11"/>
        <rFont val="Calibri"/>
        <family val="2"/>
        <scheme val="minor"/>
      </rPr>
      <t xml:space="preserve"> </t>
    </r>
    <r>
      <rPr>
        <b/>
        <sz val="11"/>
        <rFont val="Calibri"/>
        <family val="2"/>
        <scheme val="minor"/>
      </rPr>
      <t>157</t>
    </r>
    <r>
      <rPr>
        <sz val="11"/>
        <rFont val="Calibri"/>
        <family val="2"/>
        <scheme val="minor"/>
      </rPr>
      <t>*0,</t>
    </r>
    <r>
      <rPr>
        <strike/>
        <sz val="11"/>
        <rFont val="Calibri"/>
        <family val="2"/>
        <scheme val="minor"/>
      </rPr>
      <t>7</t>
    </r>
    <r>
      <rPr>
        <b/>
        <sz val="11"/>
        <rFont val="Calibri"/>
        <family val="2"/>
        <scheme val="minor"/>
      </rPr>
      <t>9</t>
    </r>
    <r>
      <rPr>
        <sz val="11"/>
        <rFont val="Calibri"/>
        <family val="2"/>
        <scheme val="minor"/>
      </rPr>
      <t>)=</t>
    </r>
    <r>
      <rPr>
        <strike/>
        <sz val="11"/>
        <rFont val="Calibri"/>
        <family val="2"/>
        <scheme val="minor"/>
      </rPr>
      <t>1303</t>
    </r>
    <r>
      <rPr>
        <b/>
        <sz val="11"/>
        <rFont val="Calibri"/>
        <family val="2"/>
        <scheme val="minor"/>
      </rPr>
      <t xml:space="preserve"> 1264</t>
    </r>
    <r>
      <rPr>
        <sz val="11"/>
        <rFont val="Calibri"/>
        <family val="2"/>
        <scheme val="minor"/>
      </rPr>
      <t xml:space="preserve"> new enterprises. </t>
    </r>
    <r>
      <rPr>
        <strike/>
        <sz val="11"/>
        <rFont val="Calibri"/>
        <family val="2"/>
        <scheme val="minor"/>
      </rPr>
      <t>Also the result is reduced 15 % because of implementation risk  (according to the experience of 2014-2020 value of discontinued projects is 15% of the value of completed projects): 1303*0,85= 1108 new enterprises.</t>
    </r>
    <r>
      <rPr>
        <b/>
        <strike/>
        <sz val="11"/>
        <rFont val="Calibri"/>
        <family val="2"/>
        <scheme val="minor"/>
      </rPr>
      <t xml:space="preserve"> I</t>
    </r>
    <r>
      <rPr>
        <b/>
        <sz val="11"/>
        <rFont val="Calibri"/>
        <family val="2"/>
        <scheme val="minor"/>
      </rPr>
      <t>t is not appropriate to apply the implementation risk to this indicator, since a 15% implementation risk has already been applied to indicators RCO03 and RCO04.</t>
    </r>
    <r>
      <rPr>
        <sz val="11"/>
        <rFont val="Calibri"/>
        <family val="2"/>
        <scheme val="minor"/>
      </rPr>
      <t xml:space="preserve">
As regards milestones for 2024, it is assumed that progress of the action of non-financial support, according to the forecast made in 2022 March-April (data from planned calls for proposals and payments), would amount to 37% of the final targets set based on the allocation for 2021-2027. So it is 37% *(909*0,85)=286 enterprises.</t>
    </r>
    <r>
      <rPr>
        <b/>
        <sz val="11"/>
        <rFont val="Calibri"/>
        <family val="2"/>
        <scheme val="minor"/>
      </rPr>
      <t xml:space="preserve"> 2024 milestone value remains the same</t>
    </r>
    <r>
      <rPr>
        <sz val="11"/>
        <rFont val="Calibri"/>
        <family val="2"/>
        <scheme val="minor"/>
      </rPr>
      <t xml:space="preserve">.
</t>
    </r>
    <r>
      <rPr>
        <strike/>
        <sz val="11"/>
        <rFont val="Calibri"/>
        <family val="2"/>
        <scheme val="minor"/>
      </rPr>
      <t>As regards milestones for 2024, it is assumed that progress of the action of financial instruments,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</si>
  <si>
    <r>
      <t xml:space="preserve">Enterprise Lithuania's survey ENTREPRENEURSHIP TRENDS IN LITHUANIA IN 2018 AND THE BEGINNING OF 2019 (https://www.verslilietuva.lt/wp-content/uploads/2019/06/Verslumo-ap%C5%BEvalga-2018-m.-2019-m.-I-ketv..pdf) indicates that in 2018 the share of enterprises that had survived for more than 1 year in the national economy was 57.4%, and in 2017 - 63.3%. Based on these findings, the 2029 target for RCR17 is based on the assumption of a success rate of survival of 61% ((57.4+63.3)/2) of all supported new businesses in the regions (61% * </t>
    </r>
    <r>
      <rPr>
        <strike/>
        <sz val="11"/>
        <color theme="1"/>
        <rFont val="Calibri"/>
        <family val="2"/>
        <scheme val="minor"/>
      </rPr>
      <t>1108</t>
    </r>
    <r>
      <rPr>
        <sz val="11"/>
        <color theme="1"/>
        <rFont val="Calibri"/>
        <family val="2"/>
        <scheme val="minor"/>
      </rPr>
      <t xml:space="preserve"> </t>
    </r>
    <r>
      <rPr>
        <b/>
        <sz val="11"/>
        <rFont val="Calibri"/>
        <family val="2"/>
        <charset val="186"/>
        <scheme val="minor"/>
      </rPr>
      <t>1264</t>
    </r>
    <r>
      <rPr>
        <sz val="11"/>
        <color theme="1"/>
        <rFont val="Calibri"/>
        <family val="2"/>
        <scheme val="minor"/>
      </rPr>
      <t>) (the 2029 target for RCO05) =</t>
    </r>
    <r>
      <rPr>
        <strike/>
        <sz val="11"/>
        <color theme="1"/>
        <rFont val="Calibri"/>
        <family val="2"/>
        <scheme val="minor"/>
      </rPr>
      <t>676</t>
    </r>
    <r>
      <rPr>
        <sz val="11"/>
        <color rgb="FFFF0000"/>
        <rFont val="Calibri"/>
        <family val="2"/>
        <charset val="186"/>
        <scheme val="minor"/>
      </rPr>
      <t xml:space="preserve"> </t>
    </r>
    <r>
      <rPr>
        <b/>
        <sz val="11"/>
        <rFont val="Calibri"/>
        <family val="2"/>
        <charset val="186"/>
        <scheme val="minor"/>
      </rPr>
      <t>771</t>
    </r>
    <r>
      <rPr>
        <sz val="11"/>
        <color theme="1"/>
        <rFont val="Calibri"/>
        <family val="2"/>
        <scheme val="minor"/>
      </rPr>
      <t xml:space="preserve"> companies).  Note - the final value of the indicator will also depend on the economic cycle.</t>
    </r>
  </si>
  <si>
    <r>
      <rPr>
        <strike/>
        <sz val="11"/>
        <color theme="1"/>
        <rFont val="Calibri"/>
        <family val="2"/>
        <charset val="186"/>
        <scheme val="minor"/>
      </rPr>
      <t>Experience 2014-2020 period about 60-70 percent. Whereas 2 regions will be about 60 percent.</t>
    </r>
    <r>
      <rPr>
        <sz val="11"/>
        <color theme="1"/>
        <rFont val="Calibri"/>
        <family val="2"/>
        <scheme val="minor"/>
      </rPr>
      <t xml:space="preserve">
</t>
    </r>
    <r>
      <rPr>
        <b/>
        <sz val="11"/>
        <color theme="1"/>
        <rFont val="Calibri"/>
        <family val="2"/>
        <charset val="186"/>
        <scheme val="minor"/>
      </rPr>
      <t>Since new activities in the form of financial instruments have been included, it is expected that about 90% of the companies will be unique.</t>
    </r>
  </si>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</sst>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scheme val="minor"/>
    </font>
    <font>
      <sz val="11"/>
      <name val="Calibri"/>
      <family val="2"/>
      <charset val="186"/>
      <scheme val="minor"/>
    </font>
    <font>
      <b/>
      <sz val="11"/>
      <color theme="1"/>
      <name val="Calibri"/>
      <family val="2"/>
      <charset val="186"/>
      <scheme val="minor"/>
    </font>
    <font>
      <b/>
      <sz val="11"/>
      <color theme="1"/>
      <name val="Calibri"/>
      <family val="2"/>
      <scheme val="minor"/>
    </font>
    <font>
      <sz val="11"/>
      <color rgb="FF00B050"/>
      <name val="Calibri"/>
      <family val="2"/>
      <scheme val="minor"/>
    </font>
    <font>
      <sz val="12"/>
      <color theme="1"/>
      <name val="Calibri"/>
      <family val="2"/>
      <scheme val="minor"/>
    </font>
    <font>
      <i/>
      <sz val="12"/>
      <color theme="1"/>
      <name val="Calibri"/>
      <family val="2"/>
      <scheme val="minor"/>
    </font>
    <font>
      <b/>
      <sz val="12"/>
      <color theme="1"/>
      <name val="Calibri"/>
      <family val="2"/>
      <charset val="186"/>
      <scheme val="minor"/>
    </font>
    <font>
      <sz val="12"/>
      <color rgb="FF000000"/>
      <name val="Calibri"/>
      <family val="2"/>
      <charset val="186"/>
      <scheme val="minor"/>
    </font>
    <font>
      <strike/>
      <sz val="11"/>
      <name val="Calibri"/>
      <family val="2"/>
      <scheme val="minor"/>
    </font>
    <font>
      <i/>
      <sz val="11"/>
      <name val="Calibri"/>
      <family val="2"/>
      <scheme val="minor"/>
    </font>
    <font>
      <strike/>
      <sz val="11"/>
      <name val="Calibri"/>
      <family val="2"/>
      <charset val="186"/>
      <scheme val="minor"/>
    </font>
    <font>
      <b/>
      <sz val="11"/>
      <name val="Calibri"/>
      <family val="2"/>
      <scheme val="minor"/>
    </font>
    <font>
      <b/>
      <strike/>
      <sz val="11"/>
      <name val="Calibri"/>
      <family val="2"/>
      <scheme val="minor"/>
    </font>
    <font>
      <sz val="11"/>
      <color rgb="FFFF0000"/>
      <name val="Calibri"/>
      <family val="2"/>
      <scheme val="minor"/>
    </font>
    <font>
      <sz val="11"/>
      <color rgb="FFFF0000"/>
      <name val="Calibri"/>
      <family val="2"/>
      <charset val="186"/>
      <scheme val="minor"/>
    </font>
    <font>
      <b/>
      <sz val="12"/>
      <color theme="1"/>
      <name val="Calibri"/>
      <family val="2"/>
      <scheme val="minor"/>
    </font>
    <font>
      <sz val="12"/>
      <color theme="1"/>
      <name val="Calibri"/>
      <family val="2"/>
      <charset val="186"/>
      <scheme val="minor"/>
    </font>
    <font>
      <b/>
      <strike/>
      <sz val="11"/>
      <name val="Calibri"/>
      <family val="2"/>
      <charset val="186"/>
      <scheme val="minor"/>
    </font>
    <font>
      <b/>
      <sz val="11"/>
      <color rgb="FFFF0000"/>
      <name val="Calibri"/>
      <family val="2"/>
      <charset val="186"/>
      <scheme val="minor"/>
    </font>
    <font>
      <strike/>
      <sz val="11"/>
      <color theme="1"/>
      <name val="Calibri"/>
      <family val="2"/>
      <charset val="186"/>
      <scheme val="minor"/>
    </font>
    <font>
      <b/>
      <strike/>
      <sz val="11"/>
      <color theme="1"/>
      <name val="Calibri"/>
      <family val="2"/>
      <charset val="186"/>
      <scheme val="minor"/>
    </font>
    <font>
      <strike/>
      <sz val="11"/>
      <color theme="1"/>
      <name val="Calibri"/>
      <family val="2"/>
      <scheme val="minor"/>
    </font>
    <font>
      <b/>
      <strike/>
      <sz val="11"/>
      <color theme="1"/>
      <name val="Calibri"/>
      <family val="2"/>
      <scheme val="minor"/>
    </font>
    <font>
      <i/>
      <sz val="11"/>
      <color theme="1"/>
      <name val="Calibri"/>
      <family val="2"/>
      <scheme val="minor"/>
    </font>
    <font>
      <i/>
      <strike/>
      <sz val="11"/>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cellStyleXfs>
  <cellXfs count="401">
    <xf numFmtId="0" fontId="0" fillId="0" borderId="0" xfId="0"/>
    <xf numFmtId="0" fontId="9" fillId="0" borderId="2" xfId="0" applyFont="1" applyBorder="1" applyAlignment="1">
      <alignment horizontal="center" vertical="center" wrapText="1"/>
    </xf>
    <xf numFmtId="0" fontId="8" fillId="0" borderId="1" xfId="0" applyFont="1" applyBorder="1" applyAlignment="1">
      <alignment horizontal="center" vertical="center" wrapText="1"/>
    </xf>
    <xf numFmtId="3" fontId="0" fillId="0" borderId="0" xfId="0" applyNumberFormat="1"/>
    <xf numFmtId="0" fontId="0" fillId="0" borderId="2" xfId="0" applyBorder="1" applyAlignment="1">
      <alignment horizontal="center" vertical="center"/>
    </xf>
    <xf numFmtId="3" fontId="0" fillId="0" borderId="2" xfId="0" applyNumberFormat="1" applyBorder="1" applyAlignment="1">
      <alignment horizontal="center" vertical="center"/>
    </xf>
    <xf numFmtId="0" fontId="0" fillId="0" borderId="2" xfId="0" applyBorder="1" applyAlignment="1">
      <alignment horizontal="center" vertical="center" wrapText="1"/>
    </xf>
    <xf numFmtId="49" fontId="0" fillId="0" borderId="0" xfId="0" applyNumberFormat="1"/>
    <xf numFmtId="4" fontId="0" fillId="0" borderId="0" xfId="0" applyNumberFormat="1"/>
    <xf numFmtId="0" fontId="0" fillId="0" borderId="0" xfId="0" applyAlignment="1">
      <alignment vertical="top" wrapText="1"/>
    </xf>
    <xf numFmtId="0" fontId="0" fillId="0" borderId="0" xfId="0" applyAlignment="1">
      <alignment horizontal="center" vertical="center" wrapText="1"/>
    </xf>
    <xf numFmtId="0" fontId="0" fillId="0" borderId="0" xfId="0" applyAlignment="1">
      <alignment horizontal="center" vertical="center"/>
    </xf>
    <xf numFmtId="0" fontId="6" fillId="0" borderId="0" xfId="0" applyFont="1" applyAlignment="1">
      <alignment vertical="top" wrapText="1"/>
    </xf>
    <xf numFmtId="0" fontId="0" fillId="0" borderId="12" xfId="0" applyBorder="1" applyAlignment="1">
      <alignment horizontal="center" vertical="center"/>
    </xf>
    <xf numFmtId="3" fontId="0" fillId="0" borderId="2" xfId="0" applyNumberFormat="1" applyBorder="1" applyAlignment="1">
      <alignment horizontal="center" vertical="center" wrapText="1"/>
    </xf>
    <xf numFmtId="4" fontId="0" fillId="0" borderId="0" xfId="0" applyNumberFormat="1" applyAlignment="1">
      <alignment horizontal="center" vertical="top" wrapText="1"/>
    </xf>
    <xf numFmtId="1" fontId="0" fillId="0" borderId="0" xfId="0" applyNumberFormat="1" applyAlignment="1">
      <alignment horizontal="center" vertical="center"/>
    </xf>
    <xf numFmtId="3" fontId="9"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0" fillId="0" borderId="2" xfId="0" applyBorder="1"/>
    <xf numFmtId="0" fontId="0" fillId="2" borderId="2" xfId="0" applyFill="1" applyBorder="1" applyAlignment="1">
      <alignment horizontal="center" vertical="center" wrapText="1"/>
    </xf>
    <xf numFmtId="0" fontId="0" fillId="3" borderId="2" xfId="0" applyFill="1" applyBorder="1" applyAlignment="1">
      <alignment horizontal="center" vertical="center"/>
    </xf>
    <xf numFmtId="3" fontId="9" fillId="0" borderId="2" xfId="0" applyNumberFormat="1" applyFont="1" applyBorder="1" applyAlignment="1">
      <alignment horizontal="center" vertical="center"/>
    </xf>
    <xf numFmtId="0" fontId="0" fillId="2" borderId="2" xfId="0" applyFill="1" applyBorder="1" applyAlignment="1">
      <alignment horizontal="center" vertical="center"/>
    </xf>
    <xf numFmtId="0" fontId="7" fillId="0" borderId="0" xfId="3"/>
    <xf numFmtId="0" fontId="9" fillId="2" borderId="2" xfId="3" applyFont="1" applyFill="1" applyBorder="1" applyAlignment="1">
      <alignment horizontal="center" vertical="center"/>
    </xf>
    <xf numFmtId="0" fontId="0" fillId="2" borderId="12" xfId="0" applyFill="1" applyBorder="1" applyAlignment="1">
      <alignment horizontal="center" vertical="center"/>
    </xf>
    <xf numFmtId="3" fontId="9" fillId="3" borderId="2" xfId="0" applyNumberFormat="1" applyFont="1" applyFill="1" applyBorder="1" applyAlignment="1">
      <alignment horizontal="center" vertical="center"/>
    </xf>
    <xf numFmtId="0" fontId="9" fillId="0" borderId="2" xfId="0" applyFont="1" applyBorder="1" applyAlignment="1">
      <alignment horizontal="center" vertical="center"/>
    </xf>
    <xf numFmtId="3" fontId="9" fillId="2" borderId="2" xfId="0" applyNumberFormat="1" applyFont="1" applyFill="1" applyBorder="1" applyAlignment="1">
      <alignment horizontal="center" vertical="center"/>
    </xf>
    <xf numFmtId="3" fontId="9" fillId="2"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11" fillId="4" borderId="1" xfId="0" applyFont="1" applyFill="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14" fillId="0" borderId="2" xfId="0" applyFont="1" applyBorder="1" applyAlignment="1">
      <alignment vertical="center"/>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4" fillId="0" borderId="2" xfId="0" applyFont="1" applyBorder="1" applyAlignment="1">
      <alignment wrapText="1"/>
    </xf>
    <xf numFmtId="0" fontId="14" fillId="0" borderId="2" xfId="0" applyFont="1" applyBorder="1" applyAlignment="1">
      <alignment horizontal="left" wrapText="1"/>
    </xf>
    <xf numFmtId="0" fontId="15" fillId="0" borderId="2" xfId="0" applyFont="1" applyBorder="1" applyAlignment="1">
      <alignment wrapText="1"/>
    </xf>
    <xf numFmtId="0" fontId="14" fillId="0" borderId="0" xfId="0" applyFont="1" applyAlignment="1">
      <alignment horizontal="center" vertical="center" wrapText="1"/>
    </xf>
    <xf numFmtId="0" fontId="14" fillId="0" borderId="0" xfId="0" applyFont="1" applyAlignment="1">
      <alignment vertical="center" wrapText="1"/>
    </xf>
    <xf numFmtId="0" fontId="14" fillId="0" borderId="0" xfId="0" applyFont="1" applyAlignment="1">
      <alignment wrapText="1"/>
    </xf>
    <xf numFmtId="0" fontId="16" fillId="0" borderId="2" xfId="0" applyFont="1" applyBorder="1" applyAlignment="1">
      <alignment vertical="center" wrapText="1"/>
    </xf>
    <xf numFmtId="0" fontId="17" fillId="0" borderId="0" xfId="0" applyFont="1" applyAlignment="1">
      <alignment wrapText="1"/>
    </xf>
    <xf numFmtId="0" fontId="17" fillId="0" borderId="2" xfId="0" applyFont="1" applyBorder="1"/>
    <xf numFmtId="0" fontId="17" fillId="0" borderId="2" xfId="0" applyFont="1" applyBorder="1" applyAlignment="1">
      <alignment horizontal="left" vertical="center" wrapText="1"/>
    </xf>
    <xf numFmtId="0" fontId="16" fillId="0" borderId="0" xfId="0" applyFont="1"/>
    <xf numFmtId="0" fontId="17" fillId="0" borderId="2" xfId="0" applyFont="1" applyBorder="1" applyAlignment="1">
      <alignment wrapText="1"/>
    </xf>
    <xf numFmtId="0" fontId="13" fillId="0" borderId="0" xfId="3" applyFont="1"/>
    <xf numFmtId="3" fontId="0" fillId="0" borderId="0" xfId="0" applyNumberFormat="1" applyAlignment="1">
      <alignment vertical="top" wrapText="1"/>
    </xf>
    <xf numFmtId="0" fontId="7" fillId="0" borderId="2" xfId="3" applyBorder="1"/>
    <xf numFmtId="0" fontId="13" fillId="0" borderId="2" xfId="3" applyFont="1" applyBorder="1"/>
    <xf numFmtId="3" fontId="0" fillId="2" borderId="2" xfId="0" applyNumberFormat="1" applyFill="1" applyBorder="1" applyAlignment="1">
      <alignment horizontal="center" vertical="center" wrapText="1"/>
    </xf>
    <xf numFmtId="0" fontId="17" fillId="0" borderId="2" xfId="0" applyFont="1" applyBorder="1" applyAlignment="1">
      <alignment horizontal="justify" vertical="top" wrapText="1"/>
    </xf>
    <xf numFmtId="0" fontId="26" fillId="0" borderId="2" xfId="0" applyFont="1" applyBorder="1" applyAlignment="1">
      <alignment wrapText="1"/>
    </xf>
    <xf numFmtId="0" fontId="25" fillId="0" borderId="2" xfId="0" applyFont="1" applyBorder="1" applyAlignment="1">
      <alignment wrapText="1"/>
    </xf>
    <xf numFmtId="3" fontId="9" fillId="0" borderId="0" xfId="0" applyNumberFormat="1" applyFont="1" applyAlignment="1">
      <alignment wrapText="1"/>
    </xf>
    <xf numFmtId="0" fontId="11" fillId="0" borderId="0" xfId="0" applyFont="1"/>
    <xf numFmtId="0" fontId="12" fillId="0" borderId="0" xfId="0" applyFont="1"/>
    <xf numFmtId="0" fontId="11" fillId="0" borderId="1" xfId="0" applyFont="1" applyBorder="1" applyAlignment="1">
      <alignment vertical="top" wrapText="1"/>
    </xf>
    <xf numFmtId="0" fontId="11" fillId="0" borderId="6" xfId="0" applyFont="1" applyBorder="1" applyAlignment="1">
      <alignment vertical="top" wrapText="1"/>
    </xf>
    <xf numFmtId="0" fontId="8" fillId="0" borderId="6" xfId="0" applyFont="1" applyBorder="1" applyAlignment="1">
      <alignment vertical="top" wrapText="1"/>
    </xf>
    <xf numFmtId="0" fontId="11" fillId="0" borderId="1" xfId="0" applyFont="1" applyBorder="1" applyAlignment="1">
      <alignment vertical="top"/>
    </xf>
    <xf numFmtId="0" fontId="0" fillId="0" borderId="9" xfId="3" applyFont="1" applyBorder="1" applyAlignment="1">
      <alignment horizontal="center" vertical="center" wrapText="1"/>
    </xf>
    <xf numFmtId="0" fontId="7" fillId="0" borderId="9" xfId="3" applyBorder="1" applyAlignment="1">
      <alignment horizontal="center" vertical="center" wrapText="1"/>
    </xf>
    <xf numFmtId="0" fontId="7" fillId="0" borderId="9" xfId="3" applyBorder="1" applyAlignment="1">
      <alignment horizontal="center" vertical="center"/>
    </xf>
    <xf numFmtId="1" fontId="9" fillId="0" borderId="9" xfId="3" applyNumberFormat="1" applyFont="1" applyBorder="1" applyAlignment="1">
      <alignment horizontal="center" vertical="center"/>
    </xf>
    <xf numFmtId="3" fontId="9" fillId="0" borderId="9" xfId="3" applyNumberFormat="1" applyFont="1" applyBorder="1" applyAlignment="1">
      <alignment horizontal="center" vertical="center"/>
    </xf>
    <xf numFmtId="0" fontId="9" fillId="0" borderId="2" xfId="3" applyFont="1" applyBorder="1" applyAlignment="1">
      <alignment horizontal="left" vertical="center" wrapText="1"/>
    </xf>
    <xf numFmtId="0" fontId="0" fillId="0" borderId="2" xfId="3" applyFont="1" applyBorder="1" applyAlignment="1">
      <alignment horizontal="center" vertical="center" wrapText="1"/>
    </xf>
    <xf numFmtId="0" fontId="7" fillId="0" borderId="2" xfId="3" applyBorder="1" applyAlignment="1">
      <alignment horizontal="center" vertical="center" wrapText="1"/>
    </xf>
    <xf numFmtId="0" fontId="7" fillId="0" borderId="2" xfId="3" applyBorder="1" applyAlignment="1">
      <alignment horizontal="center" vertical="center"/>
    </xf>
    <xf numFmtId="1" fontId="9" fillId="0" borderId="2" xfId="3" applyNumberFormat="1" applyFont="1" applyBorder="1" applyAlignment="1">
      <alignment horizontal="center" vertical="center"/>
    </xf>
    <xf numFmtId="3" fontId="9" fillId="0" borderId="2" xfId="3" applyNumberFormat="1" applyFont="1" applyBorder="1" applyAlignment="1">
      <alignment horizontal="center" vertical="center"/>
    </xf>
    <xf numFmtId="0" fontId="7" fillId="0" borderId="1" xfId="3" applyBorder="1" applyAlignment="1">
      <alignment horizontal="center" vertical="center" wrapText="1"/>
    </xf>
    <xf numFmtId="4" fontId="9" fillId="0" borderId="2" xfId="3" applyNumberFormat="1" applyFont="1" applyBorder="1" applyAlignment="1">
      <alignment horizontal="left" vertical="center" wrapText="1"/>
    </xf>
    <xf numFmtId="4" fontId="9" fillId="0" borderId="7" xfId="3" applyNumberFormat="1" applyFont="1" applyBorder="1" applyAlignment="1">
      <alignment horizontal="left" vertical="center" wrapText="1"/>
    </xf>
    <xf numFmtId="0" fontId="23" fillId="0" borderId="7" xfId="0" applyFont="1" applyBorder="1" applyAlignment="1">
      <alignment vertical="top"/>
    </xf>
    <xf numFmtId="0" fontId="9" fillId="0" borderId="1" xfId="3" applyFont="1" applyBorder="1" applyAlignment="1">
      <alignment horizontal="center" vertical="center" wrapText="1"/>
    </xf>
    <xf numFmtId="0" fontId="0" fillId="0" borderId="2" xfId="3" applyFont="1" applyBorder="1"/>
    <xf numFmtId="0" fontId="9" fillId="0" borderId="2" xfId="3" applyFont="1" applyBorder="1" applyAlignment="1">
      <alignment horizontal="center" vertical="center"/>
    </xf>
    <xf numFmtId="0" fontId="0" fillId="0" borderId="1" xfId="3" applyFont="1" applyBorder="1" applyAlignment="1">
      <alignment horizontal="center" vertical="center" wrapText="1"/>
    </xf>
    <xf numFmtId="0" fontId="7" fillId="0" borderId="1" xfId="3" applyBorder="1" applyAlignment="1">
      <alignment horizontal="center" vertical="center"/>
    </xf>
    <xf numFmtId="0" fontId="9" fillId="0" borderId="1" xfId="3" applyFont="1" applyBorder="1" applyAlignment="1">
      <alignment horizontal="center" vertical="center"/>
    </xf>
    <xf numFmtId="3" fontId="9" fillId="0" borderId="1" xfId="3" applyNumberFormat="1" applyFont="1" applyBorder="1" applyAlignment="1">
      <alignment horizontal="center" vertical="center"/>
    </xf>
    <xf numFmtId="4" fontId="9" fillId="0" borderId="9" xfId="3" applyNumberFormat="1" applyFont="1" applyBorder="1" applyAlignment="1">
      <alignment horizontal="center" vertical="center" wrapText="1"/>
    </xf>
    <xf numFmtId="4" fontId="10" fillId="0" borderId="2" xfId="3" applyNumberFormat="1" applyFont="1" applyBorder="1" applyAlignment="1">
      <alignment horizontal="left" vertical="center" wrapText="1"/>
    </xf>
    <xf numFmtId="0" fontId="9" fillId="0" borderId="2" xfId="3" applyFont="1" applyBorder="1" applyAlignment="1">
      <alignment horizontal="center" vertical="center" wrapText="1"/>
    </xf>
    <xf numFmtId="4" fontId="9" fillId="0" borderId="1" xfId="3" applyNumberFormat="1" applyFont="1" applyBorder="1" applyAlignment="1">
      <alignment horizontal="center" vertical="center" wrapText="1"/>
    </xf>
    <xf numFmtId="0" fontId="7" fillId="0" borderId="7" xfId="3" applyBorder="1" applyAlignment="1">
      <alignment horizontal="center" vertical="center" wrapText="1"/>
    </xf>
    <xf numFmtId="0" fontId="0" fillId="0" borderId="7" xfId="3" applyFont="1" applyBorder="1" applyAlignment="1">
      <alignment horizontal="center" vertical="center" wrapText="1"/>
    </xf>
    <xf numFmtId="0" fontId="7" fillId="0" borderId="7" xfId="3" applyBorder="1" applyAlignment="1">
      <alignment horizontal="center" vertical="center"/>
    </xf>
    <xf numFmtId="3" fontId="9" fillId="0" borderId="7" xfId="3" applyNumberFormat="1" applyFont="1" applyBorder="1" applyAlignment="1">
      <alignment horizontal="center" vertical="center"/>
    </xf>
    <xf numFmtId="4" fontId="7" fillId="0" borderId="7" xfId="3" applyNumberFormat="1" applyBorder="1" applyAlignment="1">
      <alignment horizontal="center" vertical="center" wrapText="1"/>
    </xf>
    <xf numFmtId="4" fontId="0" fillId="0" borderId="7" xfId="3" applyNumberFormat="1" applyFont="1" applyBorder="1" applyAlignment="1">
      <alignment horizontal="left" vertical="center" wrapText="1"/>
    </xf>
    <xf numFmtId="4" fontId="0" fillId="0" borderId="2" xfId="3" applyNumberFormat="1" applyFont="1" applyBorder="1" applyAlignment="1">
      <alignment horizontal="left" vertical="center" wrapText="1"/>
    </xf>
    <xf numFmtId="0" fontId="9" fillId="0" borderId="9" xfId="3" applyFont="1" applyBorder="1" applyAlignment="1">
      <alignment horizontal="center" vertical="center" wrapText="1"/>
    </xf>
    <xf numFmtId="0" fontId="9" fillId="0" borderId="9" xfId="3" applyFont="1" applyBorder="1" applyAlignment="1">
      <alignment horizontal="center" vertical="center"/>
    </xf>
    <xf numFmtId="4" fontId="7" fillId="0" borderId="2" xfId="3" applyNumberFormat="1" applyBorder="1" applyAlignment="1">
      <alignment horizontal="center" vertical="center" wrapText="1"/>
    </xf>
    <xf numFmtId="4" fontId="7" fillId="0" borderId="2" xfId="3" applyNumberFormat="1" applyBorder="1" applyAlignment="1">
      <alignment horizontal="left" vertical="center" wrapText="1"/>
    </xf>
    <xf numFmtId="0" fontId="10" fillId="0" borderId="2" xfId="3" applyFont="1" applyBorder="1" applyAlignment="1">
      <alignment horizontal="center" vertical="center" wrapText="1"/>
    </xf>
    <xf numFmtId="4" fontId="9" fillId="0" borderId="2" xfId="3" applyNumberFormat="1" applyFont="1" applyBorder="1" applyAlignment="1">
      <alignment horizontal="center" vertical="center" wrapText="1"/>
    </xf>
    <xf numFmtId="4" fontId="9" fillId="0" borderId="1" xfId="3" applyNumberFormat="1" applyFont="1" applyBorder="1" applyAlignment="1">
      <alignment horizontal="left" vertical="center" wrapText="1"/>
    </xf>
    <xf numFmtId="0" fontId="7" fillId="0" borderId="1" xfId="3" applyBorder="1"/>
    <xf numFmtId="4" fontId="23" fillId="0" borderId="2" xfId="3" applyNumberFormat="1" applyFont="1" applyBorder="1" applyAlignment="1">
      <alignment horizontal="left" vertical="center" wrapText="1"/>
    </xf>
    <xf numFmtId="4" fontId="8" fillId="0" borderId="2" xfId="3" applyNumberFormat="1" applyFont="1" applyBorder="1" applyAlignment="1">
      <alignment horizontal="left" vertical="center" wrapText="1"/>
    </xf>
    <xf numFmtId="0" fontId="7" fillId="0" borderId="7" xfId="3" applyBorder="1"/>
    <xf numFmtId="1" fontId="9" fillId="0" borderId="7" xfId="3" applyNumberFormat="1" applyFont="1" applyBorder="1" applyAlignment="1">
      <alignment horizontal="center" vertical="center"/>
    </xf>
    <xf numFmtId="4" fontId="9" fillId="0" borderId="7" xfId="3" applyNumberFormat="1" applyFont="1" applyBorder="1" applyAlignment="1">
      <alignment horizontal="center" vertical="center" wrapText="1"/>
    </xf>
    <xf numFmtId="0" fontId="9" fillId="0" borderId="7" xfId="3" applyFont="1" applyBorder="1" applyAlignment="1">
      <alignment horizontal="center" vertical="center" wrapText="1"/>
    </xf>
    <xf numFmtId="0" fontId="9" fillId="0" borderId="7" xfId="3" applyFont="1" applyBorder="1" applyAlignment="1">
      <alignment horizontal="center" vertical="center"/>
    </xf>
    <xf numFmtId="0" fontId="7" fillId="0" borderId="0" xfId="3" applyAlignment="1">
      <alignment vertical="top" wrapText="1"/>
    </xf>
    <xf numFmtId="4" fontId="9" fillId="0" borderId="0" xfId="3" applyNumberFormat="1" applyFont="1" applyAlignment="1">
      <alignment horizontal="left" vertical="top" wrapText="1"/>
    </xf>
    <xf numFmtId="3" fontId="9" fillId="0" borderId="0" xfId="3" applyNumberFormat="1" applyFont="1" applyAlignment="1">
      <alignment horizontal="center" vertical="top"/>
    </xf>
    <xf numFmtId="3" fontId="9" fillId="0" borderId="0" xfId="3" applyNumberFormat="1" applyFont="1" applyAlignment="1">
      <alignment horizontal="center" vertical="top" wrapText="1"/>
    </xf>
    <xf numFmtId="0" fontId="7" fillId="0" borderId="0" xfId="3" applyAlignment="1">
      <alignment horizontal="center" vertical="center" wrapText="1"/>
    </xf>
    <xf numFmtId="0" fontId="0" fillId="0" borderId="0" xfId="3" applyFont="1" applyAlignment="1">
      <alignment horizontal="center" vertical="center" wrapText="1"/>
    </xf>
    <xf numFmtId="0" fontId="7" fillId="0" borderId="0" xfId="3" applyAlignment="1">
      <alignment horizontal="center" vertical="center"/>
    </xf>
    <xf numFmtId="0" fontId="7" fillId="0" borderId="0" xfId="3" applyAlignment="1">
      <alignment vertical="center" wrapText="1"/>
    </xf>
    <xf numFmtId="0" fontId="9" fillId="0" borderId="0" xfId="3" applyFont="1" applyAlignment="1">
      <alignment horizontal="center" vertical="center"/>
    </xf>
    <xf numFmtId="3" fontId="9" fillId="0" borderId="0" xfId="3" applyNumberFormat="1" applyFont="1" applyAlignment="1">
      <alignment horizontal="center" vertical="center"/>
    </xf>
    <xf numFmtId="3" fontId="0" fillId="0" borderId="0" xfId="0" applyNumberFormat="1" applyAlignment="1">
      <alignment wrapText="1"/>
    </xf>
    <xf numFmtId="0" fontId="23" fillId="0" borderId="2" xfId="3" applyFont="1" applyBorder="1" applyAlignment="1">
      <alignment vertical="top" wrapText="1"/>
    </xf>
    <xf numFmtId="0" fontId="0" fillId="0" borderId="7" xfId="3" applyFont="1" applyBorder="1"/>
    <xf numFmtId="0" fontId="7" fillId="0" borderId="10" xfId="3" applyBorder="1"/>
    <xf numFmtId="0" fontId="9" fillId="0" borderId="7" xfId="3" applyFont="1" applyBorder="1" applyAlignment="1">
      <alignment horizontal="left" vertical="center" wrapText="1"/>
    </xf>
    <xf numFmtId="4" fontId="9" fillId="0" borderId="10" xfId="3" applyNumberFormat="1" applyFont="1" applyBorder="1" applyAlignment="1">
      <alignment horizontal="left" vertical="center" wrapText="1"/>
    </xf>
    <xf numFmtId="0" fontId="7" fillId="0" borderId="3" xfId="3" applyBorder="1"/>
    <xf numFmtId="0" fontId="0" fillId="0" borderId="10" xfId="3" applyFont="1" applyBorder="1" applyAlignment="1">
      <alignment horizontal="left" vertical="center" wrapText="1"/>
    </xf>
    <xf numFmtId="0" fontId="0" fillId="0" borderId="3" xfId="3" applyFont="1" applyBorder="1" applyAlignment="1">
      <alignment vertical="top" wrapText="1"/>
    </xf>
    <xf numFmtId="0" fontId="10" fillId="0" borderId="3" xfId="3" applyFont="1" applyBorder="1" applyAlignment="1">
      <alignment vertical="top" wrapText="1"/>
    </xf>
    <xf numFmtId="4" fontId="10" fillId="0" borderId="1" xfId="3" applyNumberFormat="1" applyFont="1" applyBorder="1" applyAlignment="1">
      <alignment horizontal="left" vertical="center" wrapText="1"/>
    </xf>
    <xf numFmtId="0" fontId="24" fillId="0" borderId="3" xfId="3" applyFont="1" applyBorder="1" applyAlignment="1">
      <alignment vertical="top" wrapText="1"/>
    </xf>
    <xf numFmtId="0" fontId="20" fillId="0" borderId="3" xfId="3" applyFont="1" applyBorder="1" applyAlignment="1">
      <alignment vertical="top" wrapText="1"/>
    </xf>
    <xf numFmtId="4" fontId="9" fillId="0" borderId="2" xfId="3" applyNumberFormat="1" applyFont="1" applyBorder="1" applyAlignment="1">
      <alignment horizontal="left" vertical="top" wrapText="1"/>
    </xf>
    <xf numFmtId="0" fontId="9" fillId="0" borderId="5" xfId="3" applyFont="1" applyBorder="1" applyAlignment="1">
      <alignment vertical="top" wrapText="1"/>
    </xf>
    <xf numFmtId="0" fontId="0" fillId="0" borderId="2" xfId="0" applyBorder="1" applyAlignment="1">
      <alignment vertical="top"/>
    </xf>
    <xf numFmtId="0" fontId="9" fillId="0" borderId="9" xfId="3" applyFont="1" applyBorder="1" applyAlignment="1">
      <alignment horizontal="left" vertical="center" wrapText="1"/>
    </xf>
    <xf numFmtId="0" fontId="0" fillId="0" borderId="2" xfId="0" applyBorder="1" applyAlignment="1">
      <alignment vertical="top" wrapText="1"/>
    </xf>
    <xf numFmtId="0" fontId="23" fillId="0" borderId="2" xfId="0" applyFont="1" applyBorder="1" applyAlignment="1">
      <alignment vertical="top"/>
    </xf>
    <xf numFmtId="3" fontId="23" fillId="3" borderId="2" xfId="0" applyNumberFormat="1" applyFont="1" applyFill="1" applyBorder="1" applyAlignment="1">
      <alignment horizontal="center" vertical="center"/>
    </xf>
    <xf numFmtId="0" fontId="23" fillId="3" borderId="2" xfId="0" applyFont="1" applyFill="1" applyBorder="1" applyAlignment="1">
      <alignment horizontal="center" vertical="center"/>
    </xf>
    <xf numFmtId="0" fontId="0" fillId="0" borderId="2" xfId="3" applyFont="1" applyBorder="1" applyAlignment="1">
      <alignment wrapText="1"/>
    </xf>
    <xf numFmtId="0" fontId="0" fillId="0" borderId="2" xfId="3" applyFont="1" applyBorder="1" applyAlignment="1">
      <alignment vertical="top" wrapText="1"/>
    </xf>
    <xf numFmtId="0" fontId="0" fillId="2" borderId="2" xfId="3" applyFont="1" applyFill="1" applyBorder="1" applyAlignment="1">
      <alignment wrapText="1"/>
    </xf>
    <xf numFmtId="0" fontId="0" fillId="0" borderId="0" xfId="3" applyFont="1"/>
    <xf numFmtId="0" fontId="7" fillId="4" borderId="9" xfId="3" applyFill="1" applyBorder="1" applyAlignment="1">
      <alignment horizontal="center" vertical="center" wrapText="1"/>
    </xf>
    <xf numFmtId="0" fontId="7" fillId="4" borderId="9" xfId="3" applyFill="1" applyBorder="1" applyAlignment="1">
      <alignment horizontal="center" vertical="center"/>
    </xf>
    <xf numFmtId="1" fontId="7" fillId="4" borderId="9" xfId="3" applyNumberFormat="1" applyFill="1" applyBorder="1" applyAlignment="1">
      <alignment horizontal="center" vertical="center"/>
    </xf>
    <xf numFmtId="3" fontId="7" fillId="4" borderId="9" xfId="3" applyNumberFormat="1" applyFill="1" applyBorder="1" applyAlignment="1">
      <alignment horizontal="center" vertical="center"/>
    </xf>
    <xf numFmtId="4" fontId="7" fillId="4" borderId="9" xfId="3" applyNumberFormat="1" applyFill="1" applyBorder="1" applyAlignment="1">
      <alignment horizontal="center" vertical="center" wrapText="1"/>
    </xf>
    <xf numFmtId="0" fontId="7" fillId="4" borderId="2" xfId="3" applyFill="1" applyBorder="1" applyAlignment="1">
      <alignment horizontal="center" vertical="center"/>
    </xf>
    <xf numFmtId="0" fontId="7" fillId="4" borderId="2" xfId="3" applyFill="1" applyBorder="1" applyAlignment="1">
      <alignment horizontal="center" vertical="center" wrapText="1"/>
    </xf>
    <xf numFmtId="1" fontId="7" fillId="4" borderId="2" xfId="3" applyNumberFormat="1" applyFill="1" applyBorder="1" applyAlignment="1">
      <alignment horizontal="center" vertical="center"/>
    </xf>
    <xf numFmtId="3" fontId="7" fillId="4" borderId="2" xfId="3" applyNumberFormat="1" applyFill="1" applyBorder="1" applyAlignment="1">
      <alignment horizontal="center" vertical="center"/>
    </xf>
    <xf numFmtId="0" fontId="7" fillId="4" borderId="1" xfId="3" applyFill="1" applyBorder="1" applyAlignment="1">
      <alignment horizontal="center" vertical="center" wrapText="1"/>
    </xf>
    <xf numFmtId="3" fontId="7" fillId="4" borderId="1" xfId="3" applyNumberFormat="1" applyFill="1" applyBorder="1" applyAlignment="1">
      <alignment horizontal="center" vertical="center"/>
    </xf>
    <xf numFmtId="1" fontId="7" fillId="0" borderId="2" xfId="3" applyNumberFormat="1" applyBorder="1" applyAlignment="1">
      <alignment horizontal="center" vertical="center"/>
    </xf>
    <xf numFmtId="0" fontId="7" fillId="4" borderId="1" xfId="3" applyFill="1" applyBorder="1" applyAlignment="1">
      <alignment horizontal="center" vertical="center"/>
    </xf>
    <xf numFmtId="0" fontId="7" fillId="4" borderId="3" xfId="3" applyFill="1" applyBorder="1" applyAlignment="1">
      <alignment vertical="top" wrapText="1"/>
    </xf>
    <xf numFmtId="0" fontId="4" fillId="4" borderId="2" xfId="3" applyFont="1" applyFill="1" applyBorder="1" applyAlignment="1">
      <alignment horizontal="left" vertical="top" wrapText="1"/>
    </xf>
    <xf numFmtId="0" fontId="7" fillId="4" borderId="3" xfId="3" applyFill="1" applyBorder="1" applyAlignment="1">
      <alignment wrapText="1"/>
    </xf>
    <xf numFmtId="0" fontId="11" fillId="4" borderId="3" xfId="3" applyFont="1" applyFill="1" applyBorder="1" applyAlignment="1">
      <alignment vertical="center" wrapText="1"/>
    </xf>
    <xf numFmtId="0" fontId="4" fillId="4" borderId="3" xfId="3" applyFont="1" applyFill="1" applyBorder="1" applyAlignment="1">
      <alignment vertical="center" wrapText="1"/>
    </xf>
    <xf numFmtId="0" fontId="11" fillId="4" borderId="22" xfId="3" applyFont="1" applyFill="1" applyBorder="1" applyAlignment="1">
      <alignment vertical="center"/>
    </xf>
    <xf numFmtId="4" fontId="4" fillId="4" borderId="2" xfId="3" applyNumberFormat="1" applyFont="1" applyFill="1" applyBorder="1" applyAlignment="1">
      <alignment horizontal="left" vertical="center" wrapText="1"/>
    </xf>
    <xf numFmtId="4" fontId="29" fillId="4" borderId="2" xfId="3" applyNumberFormat="1" applyFont="1" applyFill="1" applyBorder="1" applyAlignment="1">
      <alignment horizontal="left" vertical="center" wrapText="1"/>
    </xf>
    <xf numFmtId="0" fontId="9" fillId="4" borderId="2" xfId="3" applyFont="1" applyFill="1" applyBorder="1" applyAlignment="1">
      <alignment horizontal="left" vertical="center" wrapText="1"/>
    </xf>
    <xf numFmtId="4" fontId="9" fillId="4" borderId="1" xfId="3" applyNumberFormat="1" applyFont="1" applyFill="1" applyBorder="1" applyAlignment="1">
      <alignment horizontal="left" vertical="center" wrapText="1"/>
    </xf>
    <xf numFmtId="3" fontId="7" fillId="4" borderId="7" xfId="3" applyNumberFormat="1" applyFill="1" applyBorder="1" applyAlignment="1">
      <alignment horizontal="center" vertical="center"/>
    </xf>
    <xf numFmtId="4" fontId="7" fillId="4" borderId="2" xfId="3" applyNumberFormat="1" applyFill="1" applyBorder="1" applyAlignment="1">
      <alignment horizontal="center" vertical="center"/>
    </xf>
    <xf numFmtId="1" fontId="7" fillId="0" borderId="7" xfId="3" applyNumberFormat="1" applyBorder="1" applyAlignment="1">
      <alignment horizontal="center" vertical="center"/>
    </xf>
    <xf numFmtId="4" fontId="4" fillId="4" borderId="1" xfId="3" applyNumberFormat="1" applyFont="1" applyFill="1" applyBorder="1" applyAlignment="1">
      <alignment horizontal="center" vertical="center"/>
    </xf>
    <xf numFmtId="1" fontId="4" fillId="4" borderId="2" xfId="3" applyNumberFormat="1" applyFont="1" applyFill="1" applyBorder="1" applyAlignment="1">
      <alignment horizontal="center" vertical="center" wrapText="1"/>
    </xf>
    <xf numFmtId="3" fontId="4" fillId="4" borderId="2" xfId="3" applyNumberFormat="1" applyFont="1" applyFill="1" applyBorder="1" applyAlignment="1">
      <alignment horizontal="center" vertical="center"/>
    </xf>
    <xf numFmtId="0" fontId="4" fillId="4" borderId="2" xfId="3" applyFont="1" applyFill="1" applyBorder="1" applyAlignment="1">
      <alignment vertical="center" wrapText="1"/>
    </xf>
    <xf numFmtId="0" fontId="0" fillId="4" borderId="2" xfId="3" applyFont="1" applyFill="1" applyBorder="1" applyAlignment="1">
      <alignment wrapText="1"/>
    </xf>
    <xf numFmtId="0" fontId="10" fillId="0" borderId="10" xfId="3" applyFont="1" applyBorder="1" applyAlignment="1">
      <alignment horizontal="center" vertical="center" wrapText="1"/>
    </xf>
    <xf numFmtId="0" fontId="9" fillId="0" borderId="10" xfId="3" applyFont="1" applyBorder="1" applyAlignment="1">
      <alignment horizontal="center" vertical="center" wrapText="1"/>
    </xf>
    <xf numFmtId="1" fontId="9" fillId="0" borderId="10" xfId="3" applyNumberFormat="1" applyFont="1" applyBorder="1" applyAlignment="1">
      <alignment horizontal="center" vertical="center" wrapText="1"/>
    </xf>
    <xf numFmtId="0" fontId="0" fillId="4" borderId="20" xfId="3" applyFont="1" applyFill="1" applyBorder="1" applyAlignment="1">
      <alignment wrapText="1"/>
    </xf>
    <xf numFmtId="4" fontId="23" fillId="0" borderId="10" xfId="3" applyNumberFormat="1" applyFont="1" applyBorder="1" applyAlignment="1">
      <alignment horizontal="left" vertical="center" wrapText="1"/>
    </xf>
    <xf numFmtId="4" fontId="8" fillId="0" borderId="10" xfId="3" applyNumberFormat="1" applyFont="1" applyBorder="1" applyAlignment="1">
      <alignment horizontal="left" vertical="center" wrapText="1"/>
    </xf>
    <xf numFmtId="0" fontId="7" fillId="0" borderId="20" xfId="3" applyBorder="1"/>
    <xf numFmtId="0" fontId="24" fillId="0" borderId="10" xfId="3" applyFont="1" applyBorder="1" applyAlignment="1">
      <alignment vertical="top" wrapText="1"/>
    </xf>
    <xf numFmtId="0" fontId="24" fillId="0" borderId="20" xfId="3" applyFont="1" applyBorder="1" applyAlignment="1">
      <alignment vertical="top" wrapText="1"/>
    </xf>
    <xf numFmtId="4" fontId="10" fillId="0" borderId="10" xfId="3" applyNumberFormat="1" applyFont="1" applyBorder="1" applyAlignment="1">
      <alignment horizontal="left" vertical="center" wrapText="1"/>
    </xf>
    <xf numFmtId="0" fontId="13" fillId="0" borderId="10" xfId="3" applyFont="1" applyBorder="1"/>
    <xf numFmtId="4" fontId="24" fillId="0" borderId="7" xfId="3" applyNumberFormat="1" applyFont="1" applyBorder="1" applyAlignment="1">
      <alignment vertical="top" wrapText="1"/>
    </xf>
    <xf numFmtId="0" fontId="11" fillId="4" borderId="20" xfId="3" applyFont="1" applyFill="1" applyBorder="1" applyAlignment="1">
      <alignment vertical="center" wrapText="1"/>
    </xf>
    <xf numFmtId="0" fontId="23" fillId="0" borderId="7" xfId="3" applyFont="1" applyBorder="1" applyAlignment="1">
      <alignment vertical="top" wrapText="1"/>
    </xf>
    <xf numFmtId="0" fontId="7" fillId="4" borderId="20" xfId="3" applyFill="1" applyBorder="1" applyAlignment="1">
      <alignment vertical="center" wrapText="1"/>
    </xf>
    <xf numFmtId="0" fontId="0" fillId="0" borderId="10" xfId="3" applyFont="1" applyBorder="1"/>
    <xf numFmtId="0" fontId="11" fillId="4" borderId="26" xfId="3" applyFont="1" applyFill="1" applyBorder="1" applyAlignment="1">
      <alignment vertical="center" wrapText="1" shrinkToFit="1"/>
    </xf>
    <xf numFmtId="0" fontId="0" fillId="0" borderId="7" xfId="3" applyFont="1" applyBorder="1" applyAlignment="1">
      <alignment vertical="top" wrapText="1"/>
    </xf>
    <xf numFmtId="0" fontId="0" fillId="0" borderId="10" xfId="3" applyFont="1" applyBorder="1" applyAlignment="1">
      <alignment vertical="top" wrapText="1"/>
    </xf>
    <xf numFmtId="0" fontId="0" fillId="0" borderId="10" xfId="3" applyFont="1" applyBorder="1" applyAlignment="1">
      <alignment wrapText="1"/>
    </xf>
    <xf numFmtId="3" fontId="0" fillId="4" borderId="2" xfId="0" applyNumberFormat="1" applyFill="1" applyBorder="1" applyAlignment="1">
      <alignment horizontal="center" vertical="center"/>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3" fontId="0" fillId="4" borderId="2" xfId="0" applyNumberFormat="1" applyFill="1" applyBorder="1" applyAlignment="1">
      <alignment horizontal="center" vertical="center" wrapText="1"/>
    </xf>
    <xf numFmtId="0" fontId="4" fillId="4" borderId="2" xfId="0" applyFont="1" applyFill="1" applyBorder="1" applyAlignment="1">
      <alignment vertical="top" wrapText="1"/>
    </xf>
    <xf numFmtId="0" fontId="20" fillId="4" borderId="2" xfId="0" applyFont="1" applyFill="1" applyBorder="1" applyAlignment="1">
      <alignment vertical="top" wrapText="1"/>
    </xf>
    <xf numFmtId="0" fontId="29" fillId="4" borderId="2" xfId="0" applyFont="1" applyFill="1" applyBorder="1" applyAlignment="1">
      <alignment vertical="top" wrapText="1"/>
    </xf>
    <xf numFmtId="0" fontId="28" fillId="0" borderId="0" xfId="0" applyFont="1" applyAlignment="1">
      <alignment horizontal="center" vertical="center" wrapText="1"/>
    </xf>
    <xf numFmtId="0" fontId="0" fillId="0" borderId="0" xfId="0" applyAlignment="1">
      <alignment vertical="top"/>
    </xf>
    <xf numFmtId="0" fontId="9" fillId="0" borderId="0" xfId="0" applyFont="1" applyAlignment="1">
      <alignment vertical="top" wrapText="1"/>
    </xf>
    <xf numFmtId="0" fontId="0" fillId="4" borderId="10" xfId="3" applyFont="1" applyFill="1" applyBorder="1" applyAlignment="1">
      <alignment wrapText="1"/>
    </xf>
    <xf numFmtId="0" fontId="3" fillId="0" borderId="2" xfId="0" applyFont="1" applyBorder="1" applyAlignment="1">
      <alignment vertical="top" wrapText="1"/>
    </xf>
    <xf numFmtId="0" fontId="3" fillId="4" borderId="2" xfId="0" applyFont="1" applyFill="1" applyBorder="1" applyAlignment="1">
      <alignment vertical="top" wrapText="1"/>
    </xf>
    <xf numFmtId="0" fontId="9" fillId="4" borderId="3" xfId="3" applyFont="1" applyFill="1" applyBorder="1" applyAlignment="1">
      <alignment vertical="top" wrapText="1"/>
    </xf>
    <xf numFmtId="0" fontId="23" fillId="0" borderId="0" xfId="3" applyFont="1" applyAlignment="1">
      <alignment vertical="center" wrapText="1"/>
    </xf>
    <xf numFmtId="3" fontId="9" fillId="4" borderId="1" xfId="3" applyNumberFormat="1" applyFont="1" applyFill="1" applyBorder="1" applyAlignment="1">
      <alignment horizontal="center" vertical="center"/>
    </xf>
    <xf numFmtId="3" fontId="9" fillId="4" borderId="2" xfId="3" applyNumberFormat="1" applyFont="1" applyFill="1" applyBorder="1" applyAlignment="1">
      <alignment horizontal="center" vertical="center"/>
    </xf>
    <xf numFmtId="0" fontId="2" fillId="4" borderId="2" xfId="0" applyFont="1" applyFill="1" applyBorder="1" applyAlignment="1">
      <alignment vertical="top" wrapText="1"/>
    </xf>
    <xf numFmtId="0" fontId="11" fillId="0" borderId="0" xfId="0" applyFont="1" applyAlignment="1">
      <alignment horizontal="center" vertical="center"/>
    </xf>
    <xf numFmtId="0" fontId="23" fillId="0" borderId="0" xfId="0" applyFont="1" applyAlignment="1">
      <alignment vertical="top"/>
    </xf>
    <xf numFmtId="0" fontId="23" fillId="0" borderId="0" xfId="0" applyFont="1" applyAlignment="1">
      <alignment vertical="top" wrapText="1"/>
    </xf>
    <xf numFmtId="3" fontId="0" fillId="0" borderId="0" xfId="0" applyNumberFormat="1" applyAlignment="1">
      <alignment horizontal="right"/>
    </xf>
    <xf numFmtId="3" fontId="0" fillId="0" borderId="0" xfId="0" applyNumberFormat="1" applyAlignment="1">
      <alignment horizontal="right" vertical="top" wrapText="1"/>
    </xf>
    <xf numFmtId="0" fontId="0" fillId="4" borderId="7" xfId="3" applyFont="1" applyFill="1" applyBorder="1" applyAlignment="1">
      <alignment vertical="center" wrapText="1"/>
    </xf>
    <xf numFmtId="0" fontId="9" fillId="0" borderId="8" xfId="3" applyFont="1" applyBorder="1" applyAlignment="1">
      <alignment horizontal="left" vertical="top" wrapText="1"/>
    </xf>
    <xf numFmtId="0" fontId="9" fillId="0" borderId="7" xfId="3" applyFont="1" applyBorder="1" applyAlignment="1">
      <alignment horizontal="left" vertical="top" wrapText="1"/>
    </xf>
    <xf numFmtId="0" fontId="7" fillId="0" borderId="8" xfId="3" applyBorder="1" applyAlignment="1">
      <alignment horizontal="center"/>
    </xf>
    <xf numFmtId="0" fontId="7" fillId="0" borderId="7" xfId="3" applyBorder="1" applyAlignment="1">
      <alignment horizontal="center"/>
    </xf>
    <xf numFmtId="0" fontId="0" fillId="0" borderId="8" xfId="0" applyBorder="1" applyAlignment="1">
      <alignment horizontal="center" vertical="top" wrapText="1"/>
    </xf>
    <xf numFmtId="0" fontId="0" fillId="0" borderId="7" xfId="0" applyBorder="1" applyAlignment="1">
      <alignment horizontal="center" vertical="top" wrapText="1"/>
    </xf>
    <xf numFmtId="0" fontId="7" fillId="0" borderId="9" xfId="3" applyBorder="1" applyAlignment="1">
      <alignment horizontal="center" vertical="center" wrapText="1"/>
    </xf>
    <xf numFmtId="0" fontId="7" fillId="0" borderId="2" xfId="3" applyBorder="1" applyAlignment="1">
      <alignment horizontal="center" vertical="center" wrapText="1"/>
    </xf>
    <xf numFmtId="0" fontId="7" fillId="0" borderId="9" xfId="3" applyBorder="1" applyAlignment="1">
      <alignment horizontal="center" vertical="center"/>
    </xf>
    <xf numFmtId="0" fontId="7" fillId="0" borderId="2" xfId="3" applyBorder="1" applyAlignment="1">
      <alignment horizontal="center" vertical="center"/>
    </xf>
    <xf numFmtId="0" fontId="0" fillId="0" borderId="9" xfId="3" applyFont="1" applyBorder="1" applyAlignment="1">
      <alignment horizontal="center" vertical="center"/>
    </xf>
    <xf numFmtId="0" fontId="0" fillId="0" borderId="1" xfId="0" applyBorder="1" applyAlignment="1">
      <alignment horizontal="center" vertical="center"/>
    </xf>
    <xf numFmtId="0" fontId="11" fillId="0" borderId="1" xfId="0" applyFont="1" applyBorder="1" applyAlignment="1">
      <alignment horizontal="center" vertical="top" wrapText="1"/>
    </xf>
    <xf numFmtId="0" fontId="11" fillId="0" borderId="5"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1" xfId="0" applyFont="1" applyBorder="1" applyAlignment="1">
      <alignment horizontal="center" vertical="top"/>
    </xf>
    <xf numFmtId="0" fontId="11" fillId="0" borderId="5" xfId="0" applyFont="1" applyBorder="1" applyAlignment="1">
      <alignment horizontal="center" vertical="top"/>
    </xf>
    <xf numFmtId="0" fontId="4" fillId="4" borderId="1" xfId="3" applyFont="1" applyFill="1" applyBorder="1" applyAlignment="1">
      <alignment horizontal="left" wrapText="1"/>
    </xf>
    <xf numFmtId="0" fontId="0" fillId="4" borderId="19" xfId="3" applyFont="1" applyFill="1" applyBorder="1" applyAlignment="1">
      <alignment horizontal="left" wrapText="1"/>
    </xf>
    <xf numFmtId="0" fontId="11" fillId="4" borderId="2" xfId="3" applyFont="1" applyFill="1" applyBorder="1" applyAlignment="1">
      <alignment horizontal="left" vertical="center" wrapText="1"/>
    </xf>
    <xf numFmtId="0" fontId="11" fillId="4" borderId="10" xfId="3" applyFont="1" applyFill="1" applyBorder="1" applyAlignment="1">
      <alignment horizontal="left" vertical="center"/>
    </xf>
    <xf numFmtId="3" fontId="9" fillId="0" borderId="9" xfId="3" applyNumberFormat="1" applyFont="1" applyBorder="1" applyAlignment="1">
      <alignment horizontal="center" vertical="center"/>
    </xf>
    <xf numFmtId="3" fontId="9" fillId="0" borderId="2" xfId="3" applyNumberFormat="1" applyFont="1" applyBorder="1" applyAlignment="1">
      <alignment horizontal="center" vertical="center"/>
    </xf>
    <xf numFmtId="0" fontId="11" fillId="4" borderId="2" xfId="0" applyFont="1" applyFill="1" applyBorder="1" applyAlignment="1">
      <alignment horizontal="center" vertical="center"/>
    </xf>
    <xf numFmtId="0" fontId="11" fillId="4" borderId="10" xfId="0" applyFont="1" applyFill="1" applyBorder="1" applyAlignment="1">
      <alignment horizontal="center" vertical="center"/>
    </xf>
    <xf numFmtId="0" fontId="12" fillId="0" borderId="2" xfId="0" applyFont="1" applyBorder="1" applyAlignment="1">
      <alignment horizontal="center" vertical="center"/>
    </xf>
    <xf numFmtId="0" fontId="12" fillId="0" borderId="10" xfId="0" applyFont="1" applyBorder="1" applyAlignment="1">
      <alignment horizontal="center" vertical="center"/>
    </xf>
    <xf numFmtId="0" fontId="7" fillId="0" borderId="1" xfId="3" applyBorder="1" applyAlignment="1">
      <alignment horizontal="center"/>
    </xf>
    <xf numFmtId="0" fontId="7" fillId="0" borderId="19" xfId="3" applyBorder="1" applyAlignment="1">
      <alignment horizontal="center"/>
    </xf>
    <xf numFmtId="0" fontId="0" fillId="0" borderId="2" xfId="3" applyFont="1" applyBorder="1" applyAlignment="1">
      <alignment horizontal="center"/>
    </xf>
    <xf numFmtId="0" fontId="0" fillId="0" borderId="10" xfId="3" applyFont="1" applyBorder="1" applyAlignment="1">
      <alignment horizontal="center"/>
    </xf>
    <xf numFmtId="4" fontId="9" fillId="0" borderId="7" xfId="3" applyNumberFormat="1" applyFont="1" applyBorder="1" applyAlignment="1">
      <alignment horizontal="left" vertical="center" wrapText="1"/>
    </xf>
    <xf numFmtId="0" fontId="9" fillId="0" borderId="2" xfId="3" applyFont="1" applyBorder="1" applyAlignment="1">
      <alignment horizontal="left" vertical="center" wrapText="1"/>
    </xf>
    <xf numFmtId="0" fontId="11" fillId="0" borderId="1" xfId="0" applyFont="1" applyBorder="1" applyAlignment="1">
      <alignment horizontal="center" vertical="center"/>
    </xf>
    <xf numFmtId="0" fontId="11" fillId="0" borderId="19" xfId="0" applyFont="1" applyBorder="1" applyAlignment="1">
      <alignment horizontal="center" vertical="center"/>
    </xf>
    <xf numFmtId="0" fontId="7" fillId="0" borderId="1" xfId="3" applyBorder="1" applyAlignment="1">
      <alignment horizontal="center" vertical="center" wrapText="1"/>
    </xf>
    <xf numFmtId="4" fontId="9" fillId="0" borderId="2" xfId="3" applyNumberFormat="1" applyFont="1" applyBorder="1" applyAlignment="1">
      <alignment horizontal="left" vertical="center" wrapText="1"/>
    </xf>
    <xf numFmtId="0" fontId="9" fillId="0" borderId="1" xfId="3" applyFont="1" applyBorder="1" applyAlignment="1">
      <alignment horizontal="left" vertical="center" wrapText="1"/>
    </xf>
    <xf numFmtId="3" fontId="7" fillId="4" borderId="2" xfId="3" applyNumberFormat="1" applyFill="1" applyBorder="1" applyAlignment="1">
      <alignment horizontal="center" vertical="center"/>
    </xf>
    <xf numFmtId="3" fontId="7" fillId="4" borderId="1" xfId="3" applyNumberFormat="1" applyFill="1" applyBorder="1" applyAlignment="1">
      <alignment horizontal="center" vertical="center"/>
    </xf>
    <xf numFmtId="0" fontId="9" fillId="0" borderId="9" xfId="3" applyFont="1" applyBorder="1" applyAlignment="1">
      <alignment horizontal="center" vertical="center"/>
    </xf>
    <xf numFmtId="0" fontId="9" fillId="0" borderId="2" xfId="3" applyFont="1" applyBorder="1" applyAlignment="1">
      <alignment horizontal="center" vertical="center"/>
    </xf>
    <xf numFmtId="0" fontId="7" fillId="4" borderId="2" xfId="3" applyFill="1" applyBorder="1" applyAlignment="1">
      <alignment horizontal="center" vertical="center" wrapText="1"/>
    </xf>
    <xf numFmtId="0" fontId="7" fillId="4" borderId="10" xfId="3" applyFill="1" applyBorder="1" applyAlignment="1">
      <alignment horizontal="center" vertical="center" wrapText="1"/>
    </xf>
    <xf numFmtId="0" fontId="7" fillId="4" borderId="2" xfId="3" applyFill="1" applyBorder="1" applyAlignment="1">
      <alignment horizontal="center" vertical="center"/>
    </xf>
    <xf numFmtId="0" fontId="7" fillId="4" borderId="10" xfId="3" applyFill="1" applyBorder="1" applyAlignment="1">
      <alignment horizontal="center" vertical="center"/>
    </xf>
    <xf numFmtId="3" fontId="9" fillId="0" borderId="9" xfId="3" applyNumberFormat="1" applyFont="1" applyBorder="1" applyAlignment="1">
      <alignment horizontal="center" vertical="top"/>
    </xf>
    <xf numFmtId="3" fontId="9" fillId="0" borderId="2" xfId="3" applyNumberFormat="1" applyFont="1" applyBorder="1" applyAlignment="1">
      <alignment horizontal="center" vertical="top"/>
    </xf>
    <xf numFmtId="3" fontId="9" fillId="0" borderId="2" xfId="0" applyNumberFormat="1" applyFont="1" applyBorder="1" applyAlignment="1">
      <alignment horizontal="center" vertical="top"/>
    </xf>
    <xf numFmtId="3" fontId="9" fillId="0" borderId="1" xfId="0" applyNumberFormat="1" applyFont="1" applyBorder="1" applyAlignment="1">
      <alignment horizontal="center" vertical="top"/>
    </xf>
    <xf numFmtId="0" fontId="7" fillId="4" borderId="8" xfId="3" applyFill="1" applyBorder="1" applyAlignment="1">
      <alignment horizontal="center" vertical="top" wrapText="1"/>
    </xf>
    <xf numFmtId="0" fontId="7" fillId="4" borderId="5" xfId="0" applyFont="1" applyFill="1" applyBorder="1" applyAlignment="1">
      <alignment horizontal="center" vertical="top" wrapText="1"/>
    </xf>
    <xf numFmtId="0" fontId="7" fillId="4" borderId="19" xfId="0" applyFont="1" applyFill="1" applyBorder="1" applyAlignment="1">
      <alignment horizontal="center" vertical="top" wrapText="1"/>
    </xf>
    <xf numFmtId="0" fontId="7" fillId="4" borderId="9" xfId="3" applyFill="1" applyBorder="1" applyAlignment="1">
      <alignment horizontal="center" vertical="center"/>
    </xf>
    <xf numFmtId="0" fontId="7" fillId="0" borderId="1" xfId="3" applyBorder="1" applyAlignment="1">
      <alignment horizontal="center" vertical="center"/>
    </xf>
    <xf numFmtId="0" fontId="0" fillId="0" borderId="2" xfId="3" applyFont="1" applyBorder="1" applyAlignment="1">
      <alignment horizontal="center" vertical="center" wrapText="1"/>
    </xf>
    <xf numFmtId="4" fontId="9" fillId="0" borderId="9" xfId="3" applyNumberFormat="1" applyFont="1" applyBorder="1" applyAlignment="1">
      <alignment horizontal="center" vertical="center" wrapText="1"/>
    </xf>
    <xf numFmtId="4" fontId="9" fillId="0" borderId="2" xfId="3" applyNumberFormat="1" applyFont="1" applyBorder="1" applyAlignment="1">
      <alignment horizontal="center" vertical="center" wrapText="1"/>
    </xf>
    <xf numFmtId="0" fontId="9" fillId="0" borderId="10" xfId="3" applyFont="1" applyBorder="1" applyAlignment="1">
      <alignment horizontal="left" vertical="center" wrapText="1"/>
    </xf>
    <xf numFmtId="0" fontId="7" fillId="0" borderId="6" xfId="3" applyBorder="1" applyAlignment="1">
      <alignment horizontal="center"/>
    </xf>
    <xf numFmtId="0" fontId="7" fillId="0" borderId="25" xfId="3" applyBorder="1" applyAlignment="1">
      <alignment horizontal="center"/>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5" xfId="0" applyFont="1" applyBorder="1" applyAlignment="1">
      <alignment horizontal="center" vertical="top" wrapText="1"/>
    </xf>
    <xf numFmtId="49" fontId="0" fillId="0" borderId="13" xfId="3" applyNumberFormat="1" applyFont="1" applyBorder="1" applyAlignment="1">
      <alignment horizontal="center" vertical="top" wrapText="1"/>
    </xf>
    <xf numFmtId="0" fontId="7" fillId="0" borderId="12" xfId="3" applyBorder="1" applyAlignment="1">
      <alignment horizontal="center" vertical="top" wrapText="1"/>
    </xf>
    <xf numFmtId="0" fontId="0" fillId="0" borderId="14" xfId="0" applyBorder="1" applyAlignment="1">
      <alignment horizontal="center" vertical="top" wrapText="1"/>
    </xf>
    <xf numFmtId="3" fontId="9" fillId="0" borderId="9" xfId="3" applyNumberFormat="1" applyFont="1" applyBorder="1" applyAlignment="1">
      <alignment horizontal="center" vertical="top" wrapText="1"/>
    </xf>
    <xf numFmtId="3" fontId="9" fillId="0" borderId="2" xfId="3" applyNumberFormat="1" applyFont="1" applyBorder="1" applyAlignment="1">
      <alignment horizontal="center" vertical="top" wrapText="1"/>
    </xf>
    <xf numFmtId="3" fontId="9" fillId="0" borderId="1" xfId="0" applyNumberFormat="1" applyFont="1" applyBorder="1" applyAlignment="1">
      <alignment horizontal="center" vertical="top" wrapText="1"/>
    </xf>
    <xf numFmtId="0" fontId="9" fillId="0" borderId="9" xfId="3" applyFont="1" applyBorder="1" applyAlignment="1">
      <alignment horizontal="center" vertical="top" wrapText="1"/>
    </xf>
    <xf numFmtId="0" fontId="9" fillId="0" borderId="2" xfId="3" applyFont="1" applyBorder="1" applyAlignment="1">
      <alignment horizontal="center" vertical="top" wrapText="1"/>
    </xf>
    <xf numFmtId="0" fontId="9" fillId="0" borderId="1" xfId="3" applyFont="1" applyBorder="1" applyAlignment="1">
      <alignment horizontal="center" vertical="top" wrapText="1"/>
    </xf>
    <xf numFmtId="3" fontId="9" fillId="0" borderId="1" xfId="3" applyNumberFormat="1" applyFont="1" applyBorder="1" applyAlignment="1">
      <alignment horizontal="center" vertical="top"/>
    </xf>
    <xf numFmtId="3" fontId="7" fillId="4" borderId="9" xfId="3" applyNumberFormat="1" applyFill="1" applyBorder="1" applyAlignment="1">
      <alignment horizontal="center" vertical="top" wrapText="1"/>
    </xf>
    <xf numFmtId="3" fontId="7" fillId="4" borderId="2" xfId="3" applyNumberFormat="1" applyFill="1" applyBorder="1" applyAlignment="1">
      <alignment horizontal="center" vertical="top" wrapText="1"/>
    </xf>
    <xf numFmtId="3" fontId="7" fillId="4" borderId="1" xfId="3" applyNumberFormat="1" applyFill="1" applyBorder="1" applyAlignment="1">
      <alignment horizontal="center" vertical="top" wrapText="1"/>
    </xf>
    <xf numFmtId="3" fontId="7" fillId="4" borderId="9" xfId="3" applyNumberFormat="1" applyFill="1" applyBorder="1" applyAlignment="1">
      <alignment horizontal="center" vertical="top"/>
    </xf>
    <xf numFmtId="3" fontId="7" fillId="4" borderId="2" xfId="3" applyNumberFormat="1" applyFill="1" applyBorder="1" applyAlignment="1">
      <alignment horizontal="center" vertical="top"/>
    </xf>
    <xf numFmtId="3" fontId="7" fillId="4" borderId="1" xfId="3" applyNumberFormat="1" applyFill="1" applyBorder="1" applyAlignment="1">
      <alignment horizontal="center" vertical="top"/>
    </xf>
    <xf numFmtId="3" fontId="9" fillId="4" borderId="9" xfId="3" applyNumberFormat="1" applyFont="1" applyFill="1" applyBorder="1" applyAlignment="1">
      <alignment horizontal="center" vertical="top" wrapText="1"/>
    </xf>
    <xf numFmtId="3" fontId="9" fillId="4" borderId="2" xfId="3" applyNumberFormat="1" applyFont="1" applyFill="1" applyBorder="1" applyAlignment="1">
      <alignment horizontal="center" vertical="top" wrapText="1"/>
    </xf>
    <xf numFmtId="3" fontId="9" fillId="4" borderId="1" xfId="3" applyNumberFormat="1" applyFont="1" applyFill="1" applyBorder="1" applyAlignment="1">
      <alignment horizontal="center" vertical="top" wrapText="1"/>
    </xf>
    <xf numFmtId="49" fontId="7" fillId="0" borderId="11" xfId="3" applyNumberFormat="1" applyBorder="1" applyAlignment="1">
      <alignment horizontal="center" vertical="top" wrapText="1"/>
    </xf>
    <xf numFmtId="0" fontId="9" fillId="0" borderId="5" xfId="3" applyFont="1" applyBorder="1" applyAlignment="1">
      <alignment horizontal="center" vertical="top" wrapText="1"/>
    </xf>
    <xf numFmtId="49" fontId="0" fillId="0" borderId="23" xfId="3" applyNumberFormat="1" applyFont="1" applyBorder="1" applyAlignment="1">
      <alignment horizontal="center" vertical="top" wrapText="1"/>
    </xf>
    <xf numFmtId="0" fontId="0" fillId="0" borderId="11" xfId="0" applyBorder="1" applyAlignment="1">
      <alignment horizontal="center" vertical="top" wrapText="1"/>
    </xf>
    <xf numFmtId="0" fontId="0" fillId="0" borderId="21" xfId="0" applyBorder="1" applyAlignment="1">
      <alignment horizontal="center" vertical="top" wrapText="1"/>
    </xf>
    <xf numFmtId="49" fontId="24" fillId="0" borderId="23" xfId="3" applyNumberFormat="1" applyFont="1" applyBorder="1" applyAlignment="1">
      <alignment horizontal="center" vertical="top" wrapText="1"/>
    </xf>
    <xf numFmtId="49" fontId="7" fillId="0" borderId="21" xfId="3" applyNumberFormat="1" applyBorder="1" applyAlignment="1">
      <alignment horizontal="center" vertical="top" wrapText="1"/>
    </xf>
    <xf numFmtId="3" fontId="7" fillId="4" borderId="10" xfId="3" applyNumberFormat="1" applyFill="1" applyBorder="1" applyAlignment="1">
      <alignment horizontal="center" vertical="top" wrapText="1"/>
    </xf>
    <xf numFmtId="3" fontId="7" fillId="4" borderId="10" xfId="3" applyNumberFormat="1" applyFill="1" applyBorder="1" applyAlignment="1">
      <alignment horizontal="center" vertical="top"/>
    </xf>
    <xf numFmtId="0" fontId="7" fillId="4" borderId="9" xfId="3" applyFill="1" applyBorder="1" applyAlignment="1">
      <alignment horizontal="center" vertical="top" wrapText="1"/>
    </xf>
    <xf numFmtId="0" fontId="7" fillId="4" borderId="2" xfId="3" applyFill="1" applyBorder="1" applyAlignment="1">
      <alignment horizontal="center" vertical="top" wrapText="1"/>
    </xf>
    <xf numFmtId="0" fontId="7" fillId="4" borderId="10" xfId="3" applyFill="1" applyBorder="1" applyAlignment="1">
      <alignment horizontal="center" vertical="top" wrapText="1"/>
    </xf>
    <xf numFmtId="0" fontId="7" fillId="0" borderId="12" xfId="3" applyBorder="1" applyAlignment="1">
      <alignment horizontal="center" vertical="top"/>
    </xf>
    <xf numFmtId="0" fontId="0" fillId="0" borderId="14" xfId="0" applyBorder="1" applyAlignment="1">
      <alignment horizontal="center" vertical="top"/>
    </xf>
    <xf numFmtId="49" fontId="9" fillId="0" borderId="11" xfId="3" applyNumberFormat="1" applyFont="1" applyBorder="1" applyAlignment="1">
      <alignment horizontal="center" vertical="top" wrapText="1"/>
    </xf>
    <xf numFmtId="0" fontId="9" fillId="0" borderId="11" xfId="3" applyFont="1" applyBorder="1" applyAlignment="1">
      <alignment horizontal="center" vertical="top" wrapText="1"/>
    </xf>
    <xf numFmtId="3" fontId="9" fillId="0" borderId="5" xfId="3" applyNumberFormat="1" applyFont="1" applyBorder="1" applyAlignment="1">
      <alignment horizontal="center" vertical="top" wrapText="1"/>
    </xf>
    <xf numFmtId="3" fontId="9" fillId="0" borderId="5" xfId="3" applyNumberFormat="1" applyFont="1" applyBorder="1" applyAlignment="1">
      <alignment horizontal="center" vertical="top"/>
    </xf>
    <xf numFmtId="49" fontId="12" fillId="0" borderId="13" xfId="3" applyNumberFormat="1" applyFont="1" applyBorder="1" applyAlignment="1">
      <alignment horizontal="center" vertical="top" wrapText="1"/>
    </xf>
    <xf numFmtId="0" fontId="0" fillId="0" borderId="12" xfId="0" applyBorder="1" applyAlignment="1">
      <alignment horizontal="center" vertical="top" wrapText="1"/>
    </xf>
    <xf numFmtId="3" fontId="0" fillId="0" borderId="2" xfId="0" applyNumberFormat="1" applyBorder="1" applyAlignment="1">
      <alignment horizontal="center" vertical="top" wrapText="1"/>
    </xf>
    <xf numFmtId="3" fontId="0" fillId="0" borderId="1" xfId="0" applyNumberFormat="1" applyBorder="1" applyAlignment="1">
      <alignment horizontal="center" vertical="top" wrapText="1"/>
    </xf>
    <xf numFmtId="3" fontId="0" fillId="0" borderId="2" xfId="0" applyNumberFormat="1" applyBorder="1" applyAlignment="1">
      <alignment horizontal="center" vertical="top"/>
    </xf>
    <xf numFmtId="3" fontId="0" fillId="0" borderId="1" xfId="0" applyNumberFormat="1" applyBorder="1" applyAlignment="1">
      <alignment horizontal="center" vertical="top"/>
    </xf>
    <xf numFmtId="0" fontId="5" fillId="0" borderId="9" xfId="3" applyFont="1" applyBorder="1" applyAlignment="1">
      <alignment horizontal="center" vertical="top" wrapText="1"/>
    </xf>
    <xf numFmtId="0" fontId="5" fillId="0" borderId="2" xfId="3" applyFont="1" applyBorder="1" applyAlignment="1">
      <alignment horizontal="center" vertical="top" wrapText="1"/>
    </xf>
    <xf numFmtId="0" fontId="5" fillId="0" borderId="1" xfId="3" applyFont="1" applyBorder="1" applyAlignment="1">
      <alignment horizontal="center" vertical="top" wrapText="1"/>
    </xf>
    <xf numFmtId="49" fontId="9" fillId="0" borderId="17" xfId="3" applyNumberFormat="1" applyFont="1" applyBorder="1" applyAlignment="1">
      <alignment horizontal="center" vertical="top" wrapText="1"/>
    </xf>
    <xf numFmtId="0" fontId="9" fillId="0" borderId="17" xfId="3" applyFont="1"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49" fontId="9" fillId="0" borderId="16" xfId="3" applyNumberFormat="1" applyFont="1" applyBorder="1" applyAlignment="1">
      <alignment horizontal="center" vertical="top" wrapText="1"/>
    </xf>
    <xf numFmtId="0" fontId="9" fillId="0" borderId="17" xfId="3" applyFont="1" applyBorder="1" applyAlignment="1">
      <alignment vertical="top"/>
    </xf>
    <xf numFmtId="0" fontId="0" fillId="0" borderId="17" xfId="0" applyBorder="1"/>
    <xf numFmtId="0" fontId="0" fillId="0" borderId="24" xfId="0" applyBorder="1"/>
    <xf numFmtId="3" fontId="9" fillId="0" borderId="8" xfId="3" applyNumberFormat="1" applyFont="1" applyBorder="1" applyAlignment="1">
      <alignment horizontal="center" vertical="top" wrapText="1"/>
    </xf>
    <xf numFmtId="0" fontId="0" fillId="0" borderId="5" xfId="0" applyBorder="1"/>
    <xf numFmtId="0" fontId="0" fillId="0" borderId="19" xfId="0" applyBorder="1"/>
    <xf numFmtId="3" fontId="9" fillId="4" borderId="1" xfId="3" applyNumberFormat="1" applyFont="1" applyFill="1" applyBorder="1" applyAlignment="1">
      <alignment horizontal="center" vertical="top"/>
    </xf>
    <xf numFmtId="0" fontId="9" fillId="4" borderId="5" xfId="0" applyFont="1" applyFill="1" applyBorder="1" applyAlignment="1">
      <alignment horizontal="center" vertical="top"/>
    </xf>
    <xf numFmtId="0" fontId="9" fillId="4" borderId="7" xfId="0" applyFont="1" applyFill="1" applyBorder="1" applyAlignment="1">
      <alignment horizontal="center" vertical="top"/>
    </xf>
    <xf numFmtId="0" fontId="9" fillId="0" borderId="5" xfId="0" applyFont="1" applyBorder="1"/>
    <xf numFmtId="0" fontId="9" fillId="0" borderId="7" xfId="0" applyFont="1" applyBorder="1"/>
    <xf numFmtId="0" fontId="9" fillId="0" borderId="19" xfId="0" applyFont="1" applyBorder="1"/>
    <xf numFmtId="3" fontId="9" fillId="4" borderId="5" xfId="3" applyNumberFormat="1" applyFont="1" applyFill="1" applyBorder="1" applyAlignment="1">
      <alignment horizontal="center" vertical="top" wrapText="1"/>
    </xf>
    <xf numFmtId="0" fontId="9" fillId="4" borderId="5" xfId="0" applyFont="1" applyFill="1" applyBorder="1" applyAlignment="1">
      <alignment horizontal="center" vertical="top" wrapText="1"/>
    </xf>
    <xf numFmtId="0" fontId="9" fillId="4" borderId="7" xfId="0" applyFont="1" applyFill="1" applyBorder="1" applyAlignment="1">
      <alignment horizontal="center" vertical="top" wrapText="1"/>
    </xf>
    <xf numFmtId="3" fontId="9" fillId="4" borderId="7" xfId="3" applyNumberFormat="1" applyFont="1" applyFill="1" applyBorder="1" applyAlignment="1">
      <alignment horizontal="center" vertical="top"/>
    </xf>
    <xf numFmtId="3" fontId="9" fillId="4" borderId="2" xfId="3" applyNumberFormat="1" applyFont="1" applyFill="1" applyBorder="1" applyAlignment="1">
      <alignment horizontal="center" vertical="top"/>
    </xf>
    <xf numFmtId="0" fontId="9" fillId="0" borderId="7" xfId="3" applyFont="1" applyBorder="1" applyAlignment="1">
      <alignment horizontal="center" vertical="top" wrapText="1"/>
    </xf>
    <xf numFmtId="3" fontId="9" fillId="4" borderId="9" xfId="3" applyNumberFormat="1" applyFont="1" applyFill="1" applyBorder="1" applyAlignment="1">
      <alignment horizontal="center" vertical="top"/>
    </xf>
    <xf numFmtId="0" fontId="7" fillId="0" borderId="5" xfId="3" applyBorder="1" applyAlignment="1">
      <alignment horizontal="center" vertical="top" wrapText="1"/>
    </xf>
    <xf numFmtId="0" fontId="0" fillId="0" borderId="9" xfId="3" applyFont="1" applyBorder="1" applyAlignment="1">
      <alignment horizontal="center" vertical="center" wrapText="1"/>
    </xf>
    <xf numFmtId="0" fontId="7" fillId="0" borderId="8" xfId="3" applyBorder="1" applyAlignment="1">
      <alignment horizontal="center" vertical="top" wrapText="1"/>
    </xf>
    <xf numFmtId="0" fontId="0" fillId="0" borderId="5" xfId="0" applyBorder="1" applyAlignment="1">
      <alignment vertical="top"/>
    </xf>
    <xf numFmtId="0" fontId="0" fillId="0" borderId="19" xfId="0" applyBorder="1" applyAlignment="1">
      <alignment vertical="top"/>
    </xf>
    <xf numFmtId="0" fontId="0" fillId="0" borderId="8" xfId="3" applyFont="1" applyBorder="1" applyAlignment="1">
      <alignment horizontal="center" vertical="top"/>
    </xf>
    <xf numFmtId="0" fontId="7" fillId="0" borderId="5" xfId="3" applyBorder="1" applyAlignment="1">
      <alignment horizontal="center" vertical="top"/>
    </xf>
    <xf numFmtId="0" fontId="7" fillId="0" borderId="9" xfId="3" applyBorder="1" applyAlignment="1">
      <alignment horizontal="center" vertical="top" wrapText="1"/>
    </xf>
    <xf numFmtId="0" fontId="7" fillId="0" borderId="2" xfId="3" applyBorder="1" applyAlignment="1">
      <alignment horizontal="center" vertical="top" wrapText="1"/>
    </xf>
    <xf numFmtId="0" fontId="0" fillId="0" borderId="2" xfId="0" applyBorder="1" applyAlignment="1">
      <alignment horizontal="center" vertical="top" wrapText="1"/>
    </xf>
    <xf numFmtId="0" fontId="0" fillId="0" borderId="1" xfId="0" applyBorder="1" applyAlignment="1">
      <alignment horizontal="center" vertical="top" wrapText="1"/>
    </xf>
    <xf numFmtId="0" fontId="0" fillId="0" borderId="9" xfId="3" applyFont="1" applyBorder="1" applyAlignment="1">
      <alignment horizontal="center" vertical="top"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7" fillId="0" borderId="8" xfId="3" applyBorder="1" applyAlignment="1">
      <alignment horizontal="center" vertical="center" wrapText="1"/>
    </xf>
    <xf numFmtId="0" fontId="7" fillId="0" borderId="5" xfId="3" applyBorder="1" applyAlignment="1">
      <alignment horizontal="center" vertical="center" wrapText="1"/>
    </xf>
    <xf numFmtId="0" fontId="7" fillId="0" borderId="7" xfId="3" applyBorder="1" applyAlignment="1">
      <alignment horizontal="center" vertical="center" wrapText="1"/>
    </xf>
    <xf numFmtId="0" fontId="0" fillId="0" borderId="8" xfId="3" applyFont="1" applyBorder="1" applyAlignment="1">
      <alignment horizontal="center" vertical="center"/>
    </xf>
    <xf numFmtId="0" fontId="0" fillId="0" borderId="5" xfId="3" applyFont="1" applyBorder="1" applyAlignment="1">
      <alignment horizontal="center" vertical="center"/>
    </xf>
    <xf numFmtId="0" fontId="0" fillId="0" borderId="7" xfId="3" applyFont="1" applyBorder="1" applyAlignment="1">
      <alignment horizontal="center" vertical="center"/>
    </xf>
    <xf numFmtId="0" fontId="0" fillId="0" borderId="5" xfId="3" applyFont="1" applyBorder="1" applyAlignment="1">
      <alignment horizontal="center" vertical="center" wrapText="1"/>
    </xf>
    <xf numFmtId="3" fontId="7" fillId="4" borderId="10" xfId="3" applyNumberFormat="1" applyFill="1" applyBorder="1" applyAlignment="1">
      <alignment horizontal="center" vertical="center"/>
    </xf>
    <xf numFmtId="0" fontId="11" fillId="0" borderId="2" xfId="0" applyFont="1" applyBorder="1" applyAlignment="1">
      <alignment horizontal="center" vertical="top"/>
    </xf>
    <xf numFmtId="4" fontId="9" fillId="0" borderId="1" xfId="3" applyNumberFormat="1" applyFont="1" applyBorder="1" applyAlignment="1">
      <alignment horizontal="center" vertical="center" wrapText="1"/>
    </xf>
    <xf numFmtId="4" fontId="9" fillId="0" borderId="19" xfId="3" applyNumberFormat="1" applyFont="1" applyBorder="1" applyAlignment="1">
      <alignment horizontal="center" vertical="center" wrapText="1"/>
    </xf>
    <xf numFmtId="0" fontId="7" fillId="0" borderId="1" xfId="3" applyBorder="1" applyAlignment="1">
      <alignment horizontal="center" vertical="top" wrapText="1"/>
    </xf>
    <xf numFmtId="0" fontId="0" fillId="0" borderId="9" xfId="3" applyFont="1" applyBorder="1" applyAlignment="1">
      <alignment horizontal="center" vertical="top"/>
    </xf>
    <xf numFmtId="0" fontId="7" fillId="0" borderId="2" xfId="3" applyBorder="1" applyAlignment="1">
      <alignment horizontal="center" vertical="top"/>
    </xf>
    <xf numFmtId="0" fontId="7" fillId="0" borderId="1" xfId="3" applyBorder="1" applyAlignment="1">
      <alignment horizontal="center" vertical="top"/>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5" xfId="0" applyBorder="1" applyAlignment="1">
      <alignment horizontal="center" vertical="top" wrapText="1"/>
    </xf>
    <xf numFmtId="0" fontId="0" fillId="0" borderId="19" xfId="0" applyBorder="1" applyAlignment="1">
      <alignment horizontal="center" vertical="top"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7" fillId="4" borderId="9" xfId="3" applyFill="1" applyBorder="1" applyAlignment="1">
      <alignment horizontal="center" vertical="top"/>
    </xf>
    <xf numFmtId="0" fontId="7" fillId="4" borderId="2" xfId="3" applyFill="1" applyBorder="1" applyAlignment="1">
      <alignment horizontal="center" vertical="top"/>
    </xf>
    <xf numFmtId="0" fontId="7" fillId="4" borderId="1" xfId="3" applyFill="1" applyBorder="1" applyAlignment="1">
      <alignment horizontal="center" vertical="top"/>
    </xf>
    <xf numFmtId="0" fontId="9" fillId="0" borderId="1" xfId="3" applyFont="1" applyBorder="1" applyAlignment="1">
      <alignment horizontal="center" vertical="center"/>
    </xf>
    <xf numFmtId="0" fontId="7" fillId="4" borderId="1" xfId="3" applyFill="1" applyBorder="1" applyAlignment="1">
      <alignment horizontal="center" vertical="top" wrapText="1"/>
    </xf>
  </cellXfs>
  <cellStyles count="5">
    <cellStyle name="Įprastas" xfId="0" builtinId="0"/>
    <cellStyle name="Įprastas 2" xfId="1" xr:uid="{00000000-0005-0000-0000-000001000000}"/>
    <cellStyle name="Kablelis 2" xfId="2" xr:uid="{00000000-0005-0000-0000-000002000000}"/>
    <cellStyle name="Kablelis 2 2" xfId="4" xr:uid="{00000000-0005-0000-0000-000003000000}"/>
    <cellStyle name="Normal 2" xfId="3"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W98"/>
  <sheetViews>
    <sheetView tabSelected="1" zoomScale="70" zoomScaleNormal="70" workbookViewId="0">
      <selection activeCell="F6" sqref="F6:F11"/>
    </sheetView>
  </sheetViews>
  <sheetFormatPr defaultRowHeight="15" x14ac:dyDescent="0.25"/>
  <cols>
    <col min="1" max="1" width="21.85546875" customWidth="1"/>
    <col min="2" max="2" width="25.140625" customWidth="1"/>
    <col min="3" max="3" width="20.42578125" customWidth="1"/>
    <col min="4" max="4" width="17.42578125" customWidth="1"/>
    <col min="5" max="5" width="17.140625" customWidth="1"/>
    <col min="6" max="6" width="18.140625" customWidth="1"/>
    <col min="7" max="7" width="19.42578125" customWidth="1"/>
    <col min="8" max="8" width="14.140625" customWidth="1"/>
    <col min="9" max="9" width="23.140625" customWidth="1"/>
    <col min="10" max="10" width="15" customWidth="1"/>
    <col min="11" max="11" width="15.85546875" customWidth="1"/>
    <col min="12" max="12" width="27.5703125" customWidth="1"/>
    <col min="13" max="13" width="11.85546875" customWidth="1"/>
    <col min="14" max="14" width="9" customWidth="1"/>
    <col min="15" max="15" width="15.42578125" customWidth="1"/>
    <col min="16" max="16" width="17.85546875" customWidth="1"/>
    <col min="17" max="17" width="17" customWidth="1"/>
    <col min="18" max="19" width="90.7109375" customWidth="1"/>
    <col min="20" max="20" width="36.5703125" customWidth="1"/>
    <col min="21" max="21" width="90.7109375" customWidth="1"/>
    <col min="22" max="22" width="36.5703125" customWidth="1"/>
    <col min="23" max="23" width="21" customWidth="1"/>
  </cols>
  <sheetData>
    <row r="1" spans="1:23" x14ac:dyDescent="0.25">
      <c r="A1" s="59" t="s">
        <v>110</v>
      </c>
    </row>
    <row r="2" spans="1:23" x14ac:dyDescent="0.25">
      <c r="A2" s="60" t="s">
        <v>66</v>
      </c>
      <c r="B2" s="60"/>
      <c r="C2" s="60"/>
      <c r="D2" s="60"/>
      <c r="E2" s="60"/>
      <c r="F2" s="60"/>
      <c r="G2" s="60"/>
    </row>
    <row r="3" spans="1:23" x14ac:dyDescent="0.25">
      <c r="A3" t="s">
        <v>48</v>
      </c>
    </row>
    <row r="4" spans="1:23" x14ac:dyDescent="0.25">
      <c r="A4" s="285" t="s">
        <v>47</v>
      </c>
      <c r="B4" s="287" t="s">
        <v>25</v>
      </c>
      <c r="C4" s="287" t="s">
        <v>0</v>
      </c>
      <c r="D4" s="237" t="s">
        <v>1</v>
      </c>
      <c r="E4" s="289"/>
      <c r="F4" s="238"/>
      <c r="G4" s="285" t="s">
        <v>192</v>
      </c>
      <c r="H4" s="383" t="s">
        <v>2</v>
      </c>
      <c r="I4" s="383"/>
      <c r="J4" s="235" t="s">
        <v>3</v>
      </c>
      <c r="K4" s="239" t="s">
        <v>4</v>
      </c>
      <c r="L4" s="235" t="s">
        <v>5</v>
      </c>
      <c r="M4" s="237" t="s">
        <v>6</v>
      </c>
      <c r="N4" s="238"/>
      <c r="O4" s="235" t="s">
        <v>30</v>
      </c>
      <c r="P4" s="235" t="s">
        <v>8</v>
      </c>
      <c r="Q4" s="394" t="s">
        <v>9</v>
      </c>
      <c r="R4" s="390" t="s">
        <v>10</v>
      </c>
      <c r="S4" s="390" t="s">
        <v>176</v>
      </c>
      <c r="T4" s="257" t="s">
        <v>63</v>
      </c>
      <c r="U4" s="247" t="s">
        <v>202</v>
      </c>
      <c r="V4" s="249" t="s">
        <v>63</v>
      </c>
    </row>
    <row r="5" spans="1:23" ht="30.75" thickBot="1" x14ac:dyDescent="0.3">
      <c r="A5" s="286"/>
      <c r="B5" s="288"/>
      <c r="C5" s="288"/>
      <c r="D5" s="61" t="s">
        <v>11</v>
      </c>
      <c r="E5" s="62" t="s">
        <v>12</v>
      </c>
      <c r="F5" s="63" t="s">
        <v>13</v>
      </c>
      <c r="G5" s="286"/>
      <c r="H5" s="61" t="s">
        <v>14</v>
      </c>
      <c r="I5" s="64" t="s">
        <v>15</v>
      </c>
      <c r="J5" s="236"/>
      <c r="K5" s="240"/>
      <c r="L5" s="236"/>
      <c r="M5" s="64" t="s">
        <v>16</v>
      </c>
      <c r="N5" s="64" t="s">
        <v>17</v>
      </c>
      <c r="O5" s="236"/>
      <c r="P5" s="236"/>
      <c r="Q5" s="395"/>
      <c r="R5" s="391"/>
      <c r="S5" s="391"/>
      <c r="T5" s="258"/>
      <c r="U5" s="248"/>
      <c r="V5" s="250"/>
    </row>
    <row r="6" spans="1:23" s="24" customFormat="1" ht="105" x14ac:dyDescent="0.25">
      <c r="A6" s="311" t="s">
        <v>203</v>
      </c>
      <c r="B6" s="300">
        <f>F6</f>
        <v>38975980</v>
      </c>
      <c r="C6" s="303">
        <f>32593792+2433083+8500000-6499694</f>
        <v>37027181</v>
      </c>
      <c r="D6" s="296" t="s">
        <v>190</v>
      </c>
      <c r="E6" s="300">
        <f>C6/0.95*0.05</f>
        <v>1948799</v>
      </c>
      <c r="F6" s="303">
        <f>C6+E6</f>
        <v>38975980</v>
      </c>
      <c r="G6" s="300">
        <f>C6+E6</f>
        <v>38975980</v>
      </c>
      <c r="H6" s="65" t="s">
        <v>32</v>
      </c>
      <c r="I6" s="65" t="s">
        <v>49</v>
      </c>
      <c r="J6" s="367" t="s">
        <v>33</v>
      </c>
      <c r="K6" s="387" t="s">
        <v>31</v>
      </c>
      <c r="L6" s="66" t="s">
        <v>34</v>
      </c>
      <c r="M6" s="67">
        <v>0</v>
      </c>
      <c r="N6" s="67" t="s">
        <v>18</v>
      </c>
      <c r="O6" s="68">
        <f>O7+O8</f>
        <v>336</v>
      </c>
      <c r="P6" s="151">
        <f>P7+P8</f>
        <v>1280</v>
      </c>
      <c r="Q6" s="95" t="s">
        <v>35</v>
      </c>
      <c r="R6" s="127" t="s">
        <v>120</v>
      </c>
      <c r="S6" s="127"/>
      <c r="T6" s="192"/>
      <c r="U6" s="193" t="s">
        <v>212</v>
      </c>
      <c r="V6" s="222" t="s">
        <v>240</v>
      </c>
    </row>
    <row r="7" spans="1:23" s="24" customFormat="1" ht="409.5" x14ac:dyDescent="0.25">
      <c r="A7" s="309"/>
      <c r="B7" s="301"/>
      <c r="C7" s="304"/>
      <c r="D7" s="297"/>
      <c r="E7" s="301"/>
      <c r="F7" s="304"/>
      <c r="G7" s="301"/>
      <c r="H7" s="71" t="s">
        <v>36</v>
      </c>
      <c r="I7" s="71" t="s">
        <v>52</v>
      </c>
      <c r="J7" s="368"/>
      <c r="K7" s="388"/>
      <c r="L7" s="72" t="s">
        <v>34</v>
      </c>
      <c r="M7" s="73">
        <v>0</v>
      </c>
      <c r="N7" s="73" t="s">
        <v>18</v>
      </c>
      <c r="O7" s="74">
        <v>0</v>
      </c>
      <c r="P7" s="156">
        <v>157</v>
      </c>
      <c r="Q7" s="76" t="s">
        <v>19</v>
      </c>
      <c r="R7" s="77" t="s">
        <v>121</v>
      </c>
      <c r="S7" s="78"/>
      <c r="T7" s="79"/>
      <c r="U7" s="161" t="s">
        <v>213</v>
      </c>
      <c r="V7" s="145" t="s">
        <v>196</v>
      </c>
    </row>
    <row r="8" spans="1:23" s="24" customFormat="1" ht="409.5" x14ac:dyDescent="0.25">
      <c r="A8" s="309"/>
      <c r="B8" s="301"/>
      <c r="C8" s="304"/>
      <c r="D8" s="297"/>
      <c r="E8" s="301"/>
      <c r="F8" s="304"/>
      <c r="G8" s="301"/>
      <c r="H8" s="71" t="s">
        <v>37</v>
      </c>
      <c r="I8" s="71" t="s">
        <v>53</v>
      </c>
      <c r="J8" s="368"/>
      <c r="K8" s="388"/>
      <c r="L8" s="72" t="s">
        <v>34</v>
      </c>
      <c r="M8" s="73">
        <v>0</v>
      </c>
      <c r="N8" s="73" t="s">
        <v>18</v>
      </c>
      <c r="O8" s="74">
        <v>336</v>
      </c>
      <c r="P8" s="156">
        <v>1123</v>
      </c>
      <c r="Q8" s="80" t="s">
        <v>19</v>
      </c>
      <c r="R8" s="70" t="s">
        <v>122</v>
      </c>
      <c r="S8" s="70"/>
      <c r="T8" s="52"/>
      <c r="U8" s="162" t="s">
        <v>214</v>
      </c>
      <c r="V8" s="145" t="s">
        <v>209</v>
      </c>
    </row>
    <row r="9" spans="1:23" s="24" customFormat="1" ht="360" x14ac:dyDescent="0.25">
      <c r="A9" s="309"/>
      <c r="B9" s="301"/>
      <c r="C9" s="304"/>
      <c r="D9" s="297"/>
      <c r="E9" s="301"/>
      <c r="F9" s="304"/>
      <c r="G9" s="301"/>
      <c r="H9" s="71" t="s">
        <v>38</v>
      </c>
      <c r="I9" s="71" t="s">
        <v>54</v>
      </c>
      <c r="J9" s="368"/>
      <c r="K9" s="388"/>
      <c r="L9" s="72" t="s">
        <v>34</v>
      </c>
      <c r="M9" s="73">
        <v>0</v>
      </c>
      <c r="N9" s="73" t="s">
        <v>18</v>
      </c>
      <c r="O9" s="74">
        <v>286</v>
      </c>
      <c r="P9" s="215">
        <v>1264</v>
      </c>
      <c r="Q9" s="76" t="s">
        <v>19</v>
      </c>
      <c r="R9" s="77" t="s">
        <v>138</v>
      </c>
      <c r="S9" s="77"/>
      <c r="T9" s="81"/>
      <c r="U9" s="212" t="s">
        <v>237</v>
      </c>
      <c r="V9" s="145"/>
      <c r="W9" s="213"/>
    </row>
    <row r="10" spans="1:23" s="24" customFormat="1" ht="285" x14ac:dyDescent="0.25">
      <c r="A10" s="309"/>
      <c r="B10" s="301"/>
      <c r="C10" s="304"/>
      <c r="D10" s="297"/>
      <c r="E10" s="301"/>
      <c r="F10" s="304"/>
      <c r="G10" s="301"/>
      <c r="H10" s="71" t="s">
        <v>39</v>
      </c>
      <c r="I10" s="71" t="s">
        <v>56</v>
      </c>
      <c r="J10" s="368"/>
      <c r="K10" s="388"/>
      <c r="L10" s="72" t="s">
        <v>40</v>
      </c>
      <c r="M10" s="73">
        <v>0</v>
      </c>
      <c r="N10" s="82">
        <v>2021</v>
      </c>
      <c r="O10" s="73" t="s">
        <v>18</v>
      </c>
      <c r="P10" s="156">
        <v>7202372.0099999998</v>
      </c>
      <c r="Q10" s="72" t="s">
        <v>19</v>
      </c>
      <c r="R10" s="77" t="s">
        <v>119</v>
      </c>
      <c r="T10" s="52"/>
      <c r="U10" s="161" t="s">
        <v>215</v>
      </c>
      <c r="V10" s="145" t="s">
        <v>196</v>
      </c>
    </row>
    <row r="11" spans="1:23" s="24" customFormat="1" ht="120.75" thickBot="1" x14ac:dyDescent="0.3">
      <c r="A11" s="309"/>
      <c r="B11" s="302"/>
      <c r="C11" s="305"/>
      <c r="D11" s="298"/>
      <c r="E11" s="302"/>
      <c r="F11" s="305"/>
      <c r="G11" s="302"/>
      <c r="H11" s="83" t="s">
        <v>41</v>
      </c>
      <c r="I11" s="83" t="s">
        <v>58</v>
      </c>
      <c r="J11" s="386"/>
      <c r="K11" s="389"/>
      <c r="L11" s="76" t="s">
        <v>34</v>
      </c>
      <c r="M11" s="84">
        <v>0</v>
      </c>
      <c r="N11" s="85">
        <v>2021</v>
      </c>
      <c r="O11" s="84" t="s">
        <v>18</v>
      </c>
      <c r="P11" s="214">
        <f>P9*0.61</f>
        <v>771.04</v>
      </c>
      <c r="Q11" s="80" t="s">
        <v>19</v>
      </c>
      <c r="R11" s="128" t="s">
        <v>123</v>
      </c>
      <c r="S11" s="128"/>
      <c r="T11" s="126"/>
      <c r="U11" s="209" t="s">
        <v>238</v>
      </c>
      <c r="V11" s="194"/>
      <c r="W11" s="213"/>
    </row>
    <row r="12" spans="1:23" s="24" customFormat="1" ht="105" x14ac:dyDescent="0.25">
      <c r="A12" s="312"/>
      <c r="B12" s="300">
        <f>F12</f>
        <v>16666666.666666668</v>
      </c>
      <c r="C12" s="303">
        <v>10000000</v>
      </c>
      <c r="D12" s="318" t="s">
        <v>211</v>
      </c>
      <c r="E12" s="300">
        <f>C12/0.6*0.4</f>
        <v>6666666.6666666679</v>
      </c>
      <c r="F12" s="303">
        <f>C12+E12</f>
        <v>16666666.666666668</v>
      </c>
      <c r="G12" s="300">
        <f>C12+E12</f>
        <v>16666666.666666668</v>
      </c>
      <c r="H12" s="148" t="s">
        <v>32</v>
      </c>
      <c r="I12" s="148" t="s">
        <v>49</v>
      </c>
      <c r="J12" s="318" t="s">
        <v>28</v>
      </c>
      <c r="K12" s="396" t="s">
        <v>31</v>
      </c>
      <c r="L12" s="148" t="s">
        <v>34</v>
      </c>
      <c r="M12" s="149">
        <v>0</v>
      </c>
      <c r="N12" s="149" t="s">
        <v>18</v>
      </c>
      <c r="O12" s="150">
        <v>0</v>
      </c>
      <c r="P12" s="151">
        <v>95</v>
      </c>
      <c r="Q12" s="152" t="s">
        <v>35</v>
      </c>
      <c r="R12" s="70"/>
      <c r="S12" s="70"/>
      <c r="T12" s="124"/>
      <c r="U12" s="191" t="s">
        <v>206</v>
      </c>
      <c r="V12" s="125"/>
    </row>
    <row r="13" spans="1:23" s="24" customFormat="1" ht="150" x14ac:dyDescent="0.25">
      <c r="A13" s="312"/>
      <c r="B13" s="301"/>
      <c r="C13" s="304"/>
      <c r="D13" s="319"/>
      <c r="E13" s="301"/>
      <c r="F13" s="304"/>
      <c r="G13" s="301"/>
      <c r="H13" s="154" t="s">
        <v>36</v>
      </c>
      <c r="I13" s="154" t="s">
        <v>52</v>
      </c>
      <c r="J13" s="319"/>
      <c r="K13" s="397"/>
      <c r="L13" s="154" t="s">
        <v>34</v>
      </c>
      <c r="M13" s="153">
        <v>0</v>
      </c>
      <c r="N13" s="153" t="s">
        <v>18</v>
      </c>
      <c r="O13" s="155">
        <v>0</v>
      </c>
      <c r="P13" s="156">
        <v>95</v>
      </c>
      <c r="Q13" s="157" t="s">
        <v>19</v>
      </c>
      <c r="R13" s="77"/>
      <c r="S13" s="78"/>
      <c r="T13" s="79"/>
      <c r="U13" s="164" t="s">
        <v>205</v>
      </c>
      <c r="V13" s="81"/>
    </row>
    <row r="14" spans="1:23" s="24" customFormat="1" ht="135" x14ac:dyDescent="0.25">
      <c r="A14" s="312"/>
      <c r="B14" s="301"/>
      <c r="C14" s="304"/>
      <c r="D14" s="319"/>
      <c r="E14" s="301"/>
      <c r="F14" s="304"/>
      <c r="G14" s="301"/>
      <c r="H14" s="154" t="s">
        <v>38</v>
      </c>
      <c r="I14" s="154" t="s">
        <v>54</v>
      </c>
      <c r="J14" s="319"/>
      <c r="K14" s="397"/>
      <c r="L14" s="154" t="s">
        <v>34</v>
      </c>
      <c r="M14" s="153">
        <v>0</v>
      </c>
      <c r="N14" s="153" t="s">
        <v>18</v>
      </c>
      <c r="O14" s="155">
        <v>0</v>
      </c>
      <c r="P14" s="156">
        <v>85</v>
      </c>
      <c r="Q14" s="157" t="s">
        <v>19</v>
      </c>
      <c r="R14" s="77"/>
      <c r="S14" s="77"/>
      <c r="T14" s="81"/>
      <c r="U14" s="164" t="s">
        <v>207</v>
      </c>
      <c r="V14" s="81"/>
    </row>
    <row r="15" spans="1:23" s="24" customFormat="1" ht="150" x14ac:dyDescent="0.25">
      <c r="A15" s="312"/>
      <c r="B15" s="301"/>
      <c r="C15" s="304"/>
      <c r="D15" s="319"/>
      <c r="E15" s="301"/>
      <c r="F15" s="304"/>
      <c r="G15" s="301"/>
      <c r="H15" s="154" t="s">
        <v>39</v>
      </c>
      <c r="I15" s="154" t="s">
        <v>56</v>
      </c>
      <c r="J15" s="319"/>
      <c r="K15" s="397"/>
      <c r="L15" s="154" t="s">
        <v>40</v>
      </c>
      <c r="M15" s="153">
        <v>0</v>
      </c>
      <c r="N15" s="153">
        <v>2021</v>
      </c>
      <c r="O15" s="156">
        <v>0</v>
      </c>
      <c r="P15" s="156">
        <v>3720000</v>
      </c>
      <c r="Q15" s="154" t="s">
        <v>19</v>
      </c>
      <c r="R15" s="77"/>
      <c r="T15" s="52"/>
      <c r="U15" s="164" t="s">
        <v>208</v>
      </c>
      <c r="V15" s="81"/>
    </row>
    <row r="16" spans="1:23" s="24" customFormat="1" ht="120.75" thickBot="1" x14ac:dyDescent="0.3">
      <c r="A16" s="313"/>
      <c r="B16" s="302"/>
      <c r="C16" s="305"/>
      <c r="D16" s="400"/>
      <c r="E16" s="302"/>
      <c r="F16" s="305"/>
      <c r="G16" s="302"/>
      <c r="H16" s="157" t="s">
        <v>41</v>
      </c>
      <c r="I16" s="157" t="s">
        <v>58</v>
      </c>
      <c r="J16" s="400"/>
      <c r="K16" s="398"/>
      <c r="L16" s="157" t="s">
        <v>34</v>
      </c>
      <c r="M16" s="160">
        <v>0</v>
      </c>
      <c r="N16" s="160">
        <v>2021</v>
      </c>
      <c r="O16" s="160">
        <v>0</v>
      </c>
      <c r="P16" s="158">
        <v>63</v>
      </c>
      <c r="Q16" s="157" t="s">
        <v>19</v>
      </c>
      <c r="R16" s="128"/>
      <c r="S16" s="128"/>
      <c r="T16" s="126"/>
      <c r="U16" s="195" t="s">
        <v>199</v>
      </c>
      <c r="V16" s="194"/>
    </row>
    <row r="17" spans="1:22" s="24" customFormat="1" ht="135" x14ac:dyDescent="0.25">
      <c r="A17" s="290" t="s">
        <v>204</v>
      </c>
      <c r="B17" s="306">
        <f>F17</f>
        <v>42323070.526315793</v>
      </c>
      <c r="C17" s="359">
        <f>32040000+8166917</f>
        <v>40206917</v>
      </c>
      <c r="D17" s="296" t="s">
        <v>191</v>
      </c>
      <c r="E17" s="306">
        <f>(C17/0.95*0.05)</f>
        <v>2116153.5263157897</v>
      </c>
      <c r="F17" s="359">
        <f>C17+E17</f>
        <v>42323070.526315793</v>
      </c>
      <c r="G17" s="359">
        <f>SUM(C17+E17)</f>
        <v>42323070.526315793</v>
      </c>
      <c r="H17" s="66" t="s">
        <v>32</v>
      </c>
      <c r="I17" s="65" t="s">
        <v>49</v>
      </c>
      <c r="J17" s="362" t="s">
        <v>33</v>
      </c>
      <c r="K17" s="233" t="s">
        <v>31</v>
      </c>
      <c r="L17" s="66" t="s">
        <v>34</v>
      </c>
      <c r="M17" s="67">
        <v>0</v>
      </c>
      <c r="N17" s="67" t="s">
        <v>18</v>
      </c>
      <c r="O17" s="68">
        <f>O18</f>
        <v>0</v>
      </c>
      <c r="P17" s="151">
        <f>P18</f>
        <v>36</v>
      </c>
      <c r="Q17" s="87" t="s">
        <v>35</v>
      </c>
      <c r="R17" s="127" t="s">
        <v>124</v>
      </c>
      <c r="S17" s="127"/>
      <c r="T17" s="190"/>
      <c r="U17" s="182" t="s">
        <v>216</v>
      </c>
      <c r="V17" s="125"/>
    </row>
    <row r="18" spans="1:22" s="24" customFormat="1" ht="409.5" x14ac:dyDescent="0.25">
      <c r="A18" s="309"/>
      <c r="B18" s="307"/>
      <c r="C18" s="357"/>
      <c r="D18" s="297"/>
      <c r="E18" s="307"/>
      <c r="F18" s="357"/>
      <c r="G18" s="357"/>
      <c r="H18" s="73" t="s">
        <v>36</v>
      </c>
      <c r="I18" s="71" t="s">
        <v>52</v>
      </c>
      <c r="J18" s="392"/>
      <c r="K18" s="232"/>
      <c r="L18" s="72" t="s">
        <v>34</v>
      </c>
      <c r="M18" s="73">
        <v>0</v>
      </c>
      <c r="N18" s="73" t="s">
        <v>18</v>
      </c>
      <c r="O18" s="74">
        <v>0</v>
      </c>
      <c r="P18" s="156">
        <v>36</v>
      </c>
      <c r="Q18" s="76" t="s">
        <v>19</v>
      </c>
      <c r="R18" s="88" t="s">
        <v>125</v>
      </c>
      <c r="S18" s="88"/>
      <c r="T18" s="140"/>
      <c r="U18" s="163" t="s">
        <v>217</v>
      </c>
      <c r="V18" s="81"/>
    </row>
    <row r="19" spans="1:22" s="24" customFormat="1" ht="195" x14ac:dyDescent="0.25">
      <c r="A19" s="309"/>
      <c r="B19" s="307"/>
      <c r="C19" s="357"/>
      <c r="D19" s="297"/>
      <c r="E19" s="307"/>
      <c r="F19" s="357"/>
      <c r="G19" s="357"/>
      <c r="H19" s="72" t="s">
        <v>43</v>
      </c>
      <c r="I19" s="71" t="s">
        <v>55</v>
      </c>
      <c r="J19" s="392"/>
      <c r="K19" s="232"/>
      <c r="L19" s="72" t="s">
        <v>44</v>
      </c>
      <c r="M19" s="73">
        <v>0</v>
      </c>
      <c r="N19" s="82">
        <v>2021</v>
      </c>
      <c r="O19" s="82" t="s">
        <v>18</v>
      </c>
      <c r="P19" s="156">
        <f>5*P18*0.4</f>
        <v>72</v>
      </c>
      <c r="Q19" s="89" t="s">
        <v>19</v>
      </c>
      <c r="R19" s="77" t="s">
        <v>145</v>
      </c>
      <c r="S19" s="77"/>
      <c r="T19" s="88"/>
      <c r="U19" s="163" t="s">
        <v>218</v>
      </c>
      <c r="V19" s="146"/>
    </row>
    <row r="20" spans="1:22" s="24" customFormat="1" ht="132.75" customHeight="1" x14ac:dyDescent="0.25">
      <c r="A20" s="309"/>
      <c r="B20" s="307"/>
      <c r="C20" s="357"/>
      <c r="D20" s="297"/>
      <c r="E20" s="307"/>
      <c r="F20" s="357"/>
      <c r="G20" s="357"/>
      <c r="H20" s="230" t="s">
        <v>39</v>
      </c>
      <c r="I20" s="279" t="s">
        <v>56</v>
      </c>
      <c r="J20" s="392"/>
      <c r="K20" s="232"/>
      <c r="L20" s="230" t="s">
        <v>40</v>
      </c>
      <c r="M20" s="232">
        <v>0</v>
      </c>
      <c r="N20" s="265">
        <v>2021</v>
      </c>
      <c r="O20" s="265" t="s">
        <v>18</v>
      </c>
      <c r="P20" s="262">
        <v>8798219.4299999997</v>
      </c>
      <c r="Q20" s="230" t="s">
        <v>19</v>
      </c>
      <c r="R20" s="260" t="s">
        <v>117</v>
      </c>
      <c r="S20" s="384"/>
      <c r="T20" s="251"/>
      <c r="U20" s="241" t="s">
        <v>219</v>
      </c>
      <c r="V20" s="253"/>
    </row>
    <row r="21" spans="1:22" s="24" customFormat="1" ht="165" customHeight="1" thickBot="1" x14ac:dyDescent="0.3">
      <c r="A21" s="309"/>
      <c r="B21" s="308"/>
      <c r="C21" s="347"/>
      <c r="D21" s="298"/>
      <c r="E21" s="308"/>
      <c r="F21" s="347"/>
      <c r="G21" s="347"/>
      <c r="H21" s="259"/>
      <c r="I21" s="259"/>
      <c r="J21" s="393"/>
      <c r="K21" s="278"/>
      <c r="L21" s="259"/>
      <c r="M21" s="278"/>
      <c r="N21" s="399"/>
      <c r="O21" s="399"/>
      <c r="P21" s="263"/>
      <c r="Q21" s="259"/>
      <c r="R21" s="261"/>
      <c r="S21" s="385"/>
      <c r="T21" s="252"/>
      <c r="U21" s="242"/>
      <c r="V21" s="254"/>
    </row>
    <row r="22" spans="1:22" s="24" customFormat="1" ht="105" x14ac:dyDescent="0.25">
      <c r="A22" s="314"/>
      <c r="B22" s="300">
        <f>F22</f>
        <v>15666666.666666668</v>
      </c>
      <c r="C22" s="303">
        <v>9400000</v>
      </c>
      <c r="D22" s="318" t="s">
        <v>210</v>
      </c>
      <c r="E22" s="300">
        <f>(C22/0.6*0.4)</f>
        <v>6266666.6666666679</v>
      </c>
      <c r="F22" s="303">
        <f>C22+E22</f>
        <v>15666666.666666668</v>
      </c>
      <c r="G22" s="303">
        <f>SUM(C22+E22)</f>
        <v>15666666.666666668</v>
      </c>
      <c r="H22" s="148" t="s">
        <v>32</v>
      </c>
      <c r="I22" s="148" t="s">
        <v>49</v>
      </c>
      <c r="J22" s="274" t="s">
        <v>28</v>
      </c>
      <c r="K22" s="277" t="s">
        <v>31</v>
      </c>
      <c r="L22" s="148" t="s">
        <v>34</v>
      </c>
      <c r="M22" s="149">
        <v>0</v>
      </c>
      <c r="N22" s="149" t="s">
        <v>18</v>
      </c>
      <c r="O22" s="150">
        <f>O23</f>
        <v>0</v>
      </c>
      <c r="P22" s="151">
        <f>P23</f>
        <v>14</v>
      </c>
      <c r="Q22" s="152" t="s">
        <v>35</v>
      </c>
      <c r="R22" s="139"/>
      <c r="S22" s="127"/>
      <c r="T22" s="190"/>
      <c r="U22" s="166" t="s">
        <v>194</v>
      </c>
      <c r="V22" s="125"/>
    </row>
    <row r="23" spans="1:22" s="24" customFormat="1" ht="165" x14ac:dyDescent="0.25">
      <c r="A23" s="309"/>
      <c r="B23" s="301"/>
      <c r="C23" s="304"/>
      <c r="D23" s="319"/>
      <c r="E23" s="301"/>
      <c r="F23" s="304"/>
      <c r="G23" s="304"/>
      <c r="H23" s="153" t="s">
        <v>36</v>
      </c>
      <c r="I23" s="154" t="s">
        <v>52</v>
      </c>
      <c r="J23" s="275"/>
      <c r="K23" s="268"/>
      <c r="L23" s="154" t="s">
        <v>34</v>
      </c>
      <c r="M23" s="153">
        <v>0</v>
      </c>
      <c r="N23" s="153" t="s">
        <v>18</v>
      </c>
      <c r="O23" s="155">
        <v>0</v>
      </c>
      <c r="P23" s="156">
        <v>14</v>
      </c>
      <c r="Q23" s="157" t="s">
        <v>19</v>
      </c>
      <c r="R23" s="88"/>
      <c r="S23" s="88"/>
      <c r="T23" s="140"/>
      <c r="U23" s="164" t="s">
        <v>220</v>
      </c>
      <c r="V23" s="144"/>
    </row>
    <row r="24" spans="1:22" s="24" customFormat="1" ht="195" x14ac:dyDescent="0.25">
      <c r="A24" s="309"/>
      <c r="B24" s="301"/>
      <c r="C24" s="304"/>
      <c r="D24" s="319"/>
      <c r="E24" s="301"/>
      <c r="F24" s="304"/>
      <c r="G24" s="304"/>
      <c r="H24" s="154" t="s">
        <v>43</v>
      </c>
      <c r="I24" s="154" t="s">
        <v>55</v>
      </c>
      <c r="J24" s="275"/>
      <c r="K24" s="268"/>
      <c r="L24" s="154" t="s">
        <v>44</v>
      </c>
      <c r="M24" s="153">
        <v>0</v>
      </c>
      <c r="N24" s="153">
        <v>2021</v>
      </c>
      <c r="O24" s="153" t="s">
        <v>18</v>
      </c>
      <c r="P24" s="156">
        <f>5*P23*0.4</f>
        <v>28</v>
      </c>
      <c r="Q24" s="154" t="s">
        <v>19</v>
      </c>
      <c r="R24" s="77"/>
      <c r="S24" s="77"/>
      <c r="T24" s="88"/>
      <c r="U24" s="164" t="s">
        <v>195</v>
      </c>
      <c r="V24" s="81"/>
    </row>
    <row r="25" spans="1:22" s="24" customFormat="1" ht="43.5" customHeight="1" x14ac:dyDescent="0.25">
      <c r="A25" s="309"/>
      <c r="B25" s="301"/>
      <c r="C25" s="304"/>
      <c r="D25" s="319"/>
      <c r="E25" s="301"/>
      <c r="F25" s="304"/>
      <c r="G25" s="304"/>
      <c r="H25" s="266" t="s">
        <v>39</v>
      </c>
      <c r="I25" s="266" t="s">
        <v>56</v>
      </c>
      <c r="J25" s="275"/>
      <c r="K25" s="268"/>
      <c r="L25" s="266" t="s">
        <v>40</v>
      </c>
      <c r="M25" s="268">
        <v>0</v>
      </c>
      <c r="N25" s="268">
        <v>2021</v>
      </c>
      <c r="O25" s="268" t="s">
        <v>18</v>
      </c>
      <c r="P25" s="262">
        <v>3496800</v>
      </c>
      <c r="Q25" s="266" t="s">
        <v>19</v>
      </c>
      <c r="R25" s="260"/>
      <c r="S25" s="384"/>
      <c r="T25" s="283"/>
      <c r="U25" s="243" t="s">
        <v>221</v>
      </c>
      <c r="V25" s="253"/>
    </row>
    <row r="26" spans="1:22" s="24" customFormat="1" ht="43.5" customHeight="1" thickBot="1" x14ac:dyDescent="0.3">
      <c r="A26" s="315"/>
      <c r="B26" s="316"/>
      <c r="C26" s="317"/>
      <c r="D26" s="320"/>
      <c r="E26" s="316"/>
      <c r="F26" s="317"/>
      <c r="G26" s="317"/>
      <c r="H26" s="267"/>
      <c r="I26" s="267"/>
      <c r="J26" s="276"/>
      <c r="K26" s="269"/>
      <c r="L26" s="267"/>
      <c r="M26" s="269"/>
      <c r="N26" s="269"/>
      <c r="O26" s="269"/>
      <c r="P26" s="382"/>
      <c r="Q26" s="267"/>
      <c r="R26" s="282"/>
      <c r="S26" s="385"/>
      <c r="T26" s="284"/>
      <c r="U26" s="244"/>
      <c r="V26" s="254"/>
    </row>
    <row r="27" spans="1:22" s="24" customFormat="1" ht="105" x14ac:dyDescent="0.25">
      <c r="A27" s="323" t="s">
        <v>126</v>
      </c>
      <c r="B27" s="325">
        <f>F27</f>
        <v>5263157.8947368423</v>
      </c>
      <c r="C27" s="326">
        <f>5000000</f>
        <v>5000000</v>
      </c>
      <c r="D27" s="310" t="s">
        <v>188</v>
      </c>
      <c r="E27" s="326">
        <f>C27/0.95*0.05</f>
        <v>263157.89473684214</v>
      </c>
      <c r="F27" s="326">
        <f>C27+E27</f>
        <v>5263157.8947368423</v>
      </c>
      <c r="G27" s="326">
        <f>C27+E27</f>
        <v>5263157.8947368423</v>
      </c>
      <c r="H27" s="91" t="s">
        <v>32</v>
      </c>
      <c r="I27" s="92" t="s">
        <v>49</v>
      </c>
      <c r="J27" s="360" t="s">
        <v>33</v>
      </c>
      <c r="K27" s="381" t="s">
        <v>31</v>
      </c>
      <c r="L27" s="91" t="s">
        <v>34</v>
      </c>
      <c r="M27" s="93">
        <v>0</v>
      </c>
      <c r="N27" s="93" t="s">
        <v>18</v>
      </c>
      <c r="O27" s="94">
        <f>O28</f>
        <v>119</v>
      </c>
      <c r="P27" s="94">
        <f>P28</f>
        <v>154</v>
      </c>
      <c r="Q27" s="95" t="s">
        <v>35</v>
      </c>
      <c r="R27" s="96" t="s">
        <v>140</v>
      </c>
      <c r="S27" s="96"/>
      <c r="T27" s="125"/>
      <c r="U27" s="137"/>
      <c r="V27" s="196"/>
    </row>
    <row r="28" spans="1:22" s="24" customFormat="1" ht="210" x14ac:dyDescent="0.25">
      <c r="A28" s="324"/>
      <c r="B28" s="325"/>
      <c r="C28" s="326"/>
      <c r="D28" s="310"/>
      <c r="E28" s="326"/>
      <c r="F28" s="326"/>
      <c r="G28" s="326"/>
      <c r="H28" s="73" t="s">
        <v>42</v>
      </c>
      <c r="I28" s="71" t="s">
        <v>50</v>
      </c>
      <c r="J28" s="360"/>
      <c r="K28" s="376"/>
      <c r="L28" s="72" t="s">
        <v>34</v>
      </c>
      <c r="M28" s="73">
        <v>0</v>
      </c>
      <c r="N28" s="73" t="s">
        <v>18</v>
      </c>
      <c r="O28" s="94">
        <v>119</v>
      </c>
      <c r="P28" s="75">
        <v>154</v>
      </c>
      <c r="Q28" s="76" t="s">
        <v>19</v>
      </c>
      <c r="R28" s="104" t="s">
        <v>139</v>
      </c>
      <c r="S28" s="104"/>
      <c r="T28" s="105"/>
      <c r="U28" s="133"/>
      <c r="V28" s="145"/>
    </row>
    <row r="29" spans="1:22" s="24" customFormat="1" ht="150.75" thickBot="1" x14ac:dyDescent="0.3">
      <c r="A29" s="324"/>
      <c r="B29" s="325"/>
      <c r="C29" s="326"/>
      <c r="D29" s="310"/>
      <c r="E29" s="326"/>
      <c r="F29" s="326"/>
      <c r="G29" s="326"/>
      <c r="H29" s="76" t="s">
        <v>39</v>
      </c>
      <c r="I29" s="83" t="s">
        <v>56</v>
      </c>
      <c r="J29" s="360"/>
      <c r="K29" s="376"/>
      <c r="L29" s="76" t="s">
        <v>40</v>
      </c>
      <c r="M29" s="84">
        <v>0</v>
      </c>
      <c r="N29" s="85">
        <v>2021</v>
      </c>
      <c r="O29" s="85" t="s">
        <v>18</v>
      </c>
      <c r="P29" s="86">
        <v>5000000</v>
      </c>
      <c r="Q29" s="76" t="s">
        <v>19</v>
      </c>
      <c r="R29" s="130" t="s">
        <v>105</v>
      </c>
      <c r="S29" s="130"/>
      <c r="T29" s="126"/>
      <c r="U29" s="128"/>
      <c r="V29" s="197"/>
    </row>
    <row r="30" spans="1:22" s="24" customFormat="1" ht="105" x14ac:dyDescent="0.25">
      <c r="A30" s="290" t="s">
        <v>69</v>
      </c>
      <c r="B30" s="293">
        <f>F30</f>
        <v>10526315.789473685</v>
      </c>
      <c r="C30" s="270">
        <f>10000000</f>
        <v>10000000</v>
      </c>
      <c r="D30" s="296" t="s">
        <v>188</v>
      </c>
      <c r="E30" s="270">
        <f>C30/0.95*0.05</f>
        <v>526315.78947368427</v>
      </c>
      <c r="F30" s="270">
        <f>C30+E30</f>
        <v>10526315.789473685</v>
      </c>
      <c r="G30" s="270">
        <f>C30+E30</f>
        <v>10526315.789473685</v>
      </c>
      <c r="H30" s="66" t="s">
        <v>32</v>
      </c>
      <c r="I30" s="65" t="s">
        <v>49</v>
      </c>
      <c r="J30" s="229" t="s">
        <v>33</v>
      </c>
      <c r="K30" s="233" t="s">
        <v>31</v>
      </c>
      <c r="L30" s="66" t="s">
        <v>34</v>
      </c>
      <c r="M30" s="67">
        <v>0</v>
      </c>
      <c r="N30" s="67" t="s">
        <v>18</v>
      </c>
      <c r="O30" s="68">
        <v>86</v>
      </c>
      <c r="P30" s="69">
        <f>P31</f>
        <v>270</v>
      </c>
      <c r="Q30" s="87" t="s">
        <v>35</v>
      </c>
      <c r="R30" s="78" t="s">
        <v>127</v>
      </c>
      <c r="S30" s="78"/>
      <c r="T30" s="108"/>
      <c r="U30" s="187"/>
      <c r="V30" s="196"/>
    </row>
    <row r="31" spans="1:22" s="24" customFormat="1" ht="210" x14ac:dyDescent="0.25">
      <c r="A31" s="291"/>
      <c r="B31" s="294"/>
      <c r="C31" s="271"/>
      <c r="D31" s="297"/>
      <c r="E31" s="271"/>
      <c r="F31" s="271"/>
      <c r="G31" s="271"/>
      <c r="H31" s="73" t="s">
        <v>42</v>
      </c>
      <c r="I31" s="71" t="s">
        <v>50</v>
      </c>
      <c r="J31" s="230"/>
      <c r="K31" s="232"/>
      <c r="L31" s="72" t="s">
        <v>34</v>
      </c>
      <c r="M31" s="73">
        <v>0</v>
      </c>
      <c r="N31" s="73" t="s">
        <v>18</v>
      </c>
      <c r="O31" s="74">
        <v>86</v>
      </c>
      <c r="P31" s="75">
        <v>270</v>
      </c>
      <c r="Q31" s="76" t="s">
        <v>19</v>
      </c>
      <c r="R31" s="77" t="s">
        <v>128</v>
      </c>
      <c r="S31" s="77"/>
      <c r="T31" s="52"/>
      <c r="U31" s="134"/>
      <c r="V31" s="145"/>
    </row>
    <row r="32" spans="1:22" s="24" customFormat="1" ht="150" x14ac:dyDescent="0.25">
      <c r="A32" s="291"/>
      <c r="B32" s="294"/>
      <c r="C32" s="271"/>
      <c r="D32" s="297"/>
      <c r="E32" s="271"/>
      <c r="F32" s="271"/>
      <c r="G32" s="271"/>
      <c r="H32" s="72" t="s">
        <v>39</v>
      </c>
      <c r="I32" s="71" t="s">
        <v>56</v>
      </c>
      <c r="J32" s="230"/>
      <c r="K32" s="232"/>
      <c r="L32" s="72" t="s">
        <v>40</v>
      </c>
      <c r="M32" s="82">
        <v>0</v>
      </c>
      <c r="N32" s="82">
        <v>2021</v>
      </c>
      <c r="O32" s="82" t="s">
        <v>18</v>
      </c>
      <c r="P32" s="75">
        <f>10000000</f>
        <v>10000000</v>
      </c>
      <c r="Q32" s="72" t="s">
        <v>19</v>
      </c>
      <c r="R32" s="97" t="s">
        <v>106</v>
      </c>
      <c r="S32" s="97"/>
      <c r="T32" s="52"/>
      <c r="U32" s="132"/>
      <c r="V32" s="81"/>
    </row>
    <row r="33" spans="1:22" s="50" customFormat="1" ht="180" x14ac:dyDescent="0.25">
      <c r="A33" s="291"/>
      <c r="B33" s="294"/>
      <c r="C33" s="272"/>
      <c r="D33" s="297"/>
      <c r="E33" s="271"/>
      <c r="F33" s="271"/>
      <c r="G33" s="272"/>
      <c r="H33" s="89" t="s">
        <v>108</v>
      </c>
      <c r="I33" s="89" t="s">
        <v>111</v>
      </c>
      <c r="J33" s="372"/>
      <c r="K33" s="374"/>
      <c r="L33" s="89" t="s">
        <v>109</v>
      </c>
      <c r="M33" s="82">
        <v>0</v>
      </c>
      <c r="N33" s="82">
        <v>2021</v>
      </c>
      <c r="O33" s="82" t="s">
        <v>18</v>
      </c>
      <c r="P33" s="75">
        <v>1097</v>
      </c>
      <c r="Q33" s="89" t="s">
        <v>19</v>
      </c>
      <c r="R33" s="88" t="s">
        <v>142</v>
      </c>
      <c r="S33" s="88"/>
      <c r="T33" s="53"/>
      <c r="U33" s="132"/>
      <c r="V33" s="144"/>
    </row>
    <row r="34" spans="1:22" s="50" customFormat="1" ht="120.75" thickBot="1" x14ac:dyDescent="0.3">
      <c r="A34" s="292"/>
      <c r="B34" s="295"/>
      <c r="C34" s="273"/>
      <c r="D34" s="298"/>
      <c r="E34" s="299"/>
      <c r="F34" s="299"/>
      <c r="G34" s="273"/>
      <c r="H34" s="80" t="s">
        <v>108</v>
      </c>
      <c r="I34" s="80" t="s">
        <v>112</v>
      </c>
      <c r="J34" s="373"/>
      <c r="K34" s="234"/>
      <c r="L34" s="80" t="s">
        <v>109</v>
      </c>
      <c r="M34" s="85">
        <v>0</v>
      </c>
      <c r="N34" s="85">
        <v>2021</v>
      </c>
      <c r="O34" s="85" t="s">
        <v>18</v>
      </c>
      <c r="P34" s="86">
        <v>777</v>
      </c>
      <c r="Q34" s="80" t="s">
        <v>19</v>
      </c>
      <c r="R34" s="188" t="s">
        <v>143</v>
      </c>
      <c r="S34" s="188"/>
      <c r="T34" s="189"/>
      <c r="U34" s="186"/>
      <c r="V34" s="198"/>
    </row>
    <row r="35" spans="1:22" s="24" customFormat="1" ht="105" x14ac:dyDescent="0.25">
      <c r="A35" s="327" t="s">
        <v>193</v>
      </c>
      <c r="B35" s="293">
        <f>F35</f>
        <v>16666666.666666668</v>
      </c>
      <c r="C35" s="270">
        <v>10000000</v>
      </c>
      <c r="D35" s="333" t="s">
        <v>61</v>
      </c>
      <c r="E35" s="270">
        <f>C35/0.6*0.4</f>
        <v>6666666.6666666679</v>
      </c>
      <c r="F35" s="270">
        <f>C35+E35</f>
        <v>16666666.666666668</v>
      </c>
      <c r="G35" s="270">
        <f>C35+E35</f>
        <v>16666666.666666668</v>
      </c>
      <c r="H35" s="66" t="s">
        <v>32</v>
      </c>
      <c r="I35" s="65" t="s">
        <v>49</v>
      </c>
      <c r="J35" s="367" t="s">
        <v>28</v>
      </c>
      <c r="K35" s="371" t="s">
        <v>31</v>
      </c>
      <c r="L35" s="98" t="s">
        <v>34</v>
      </c>
      <c r="M35" s="99">
        <v>0</v>
      </c>
      <c r="N35" s="99" t="s">
        <v>18</v>
      </c>
      <c r="O35" s="68">
        <f>O36</f>
        <v>80</v>
      </c>
      <c r="P35" s="69">
        <f>P36</f>
        <v>250</v>
      </c>
      <c r="Q35" s="87" t="s">
        <v>35</v>
      </c>
      <c r="R35" s="78" t="s">
        <v>129</v>
      </c>
      <c r="S35" s="78"/>
      <c r="T35" s="108"/>
      <c r="U35" s="185"/>
      <c r="V35" s="125"/>
    </row>
    <row r="36" spans="1:22" s="24" customFormat="1" ht="210" x14ac:dyDescent="0.25">
      <c r="A36" s="291"/>
      <c r="B36" s="294"/>
      <c r="C36" s="271"/>
      <c r="D36" s="334"/>
      <c r="E36" s="271"/>
      <c r="F36" s="271"/>
      <c r="G36" s="271"/>
      <c r="H36" s="73" t="s">
        <v>42</v>
      </c>
      <c r="I36" s="71" t="s">
        <v>50</v>
      </c>
      <c r="J36" s="368"/>
      <c r="K36" s="368"/>
      <c r="L36" s="89" t="s">
        <v>34</v>
      </c>
      <c r="M36" s="82">
        <v>0</v>
      </c>
      <c r="N36" s="82" t="s">
        <v>18</v>
      </c>
      <c r="O36" s="74">
        <v>80</v>
      </c>
      <c r="P36" s="75">
        <v>250</v>
      </c>
      <c r="Q36" s="80" t="s">
        <v>19</v>
      </c>
      <c r="R36" s="77" t="s">
        <v>130</v>
      </c>
      <c r="S36" s="77"/>
      <c r="T36" s="52"/>
      <c r="U36" s="129"/>
      <c r="V36" s="81"/>
    </row>
    <row r="37" spans="1:22" s="24" customFormat="1" ht="150" x14ac:dyDescent="0.25">
      <c r="A37" s="291"/>
      <c r="B37" s="294"/>
      <c r="C37" s="271"/>
      <c r="D37" s="334"/>
      <c r="E37" s="271"/>
      <c r="F37" s="271"/>
      <c r="G37" s="271"/>
      <c r="H37" s="72" t="s">
        <v>39</v>
      </c>
      <c r="I37" s="71" t="s">
        <v>56</v>
      </c>
      <c r="J37" s="368"/>
      <c r="K37" s="368"/>
      <c r="L37" s="72" t="s">
        <v>40</v>
      </c>
      <c r="M37" s="82">
        <v>0</v>
      </c>
      <c r="N37" s="82">
        <v>2021</v>
      </c>
      <c r="O37" s="82" t="s">
        <v>18</v>
      </c>
      <c r="P37" s="75">
        <f>C35</f>
        <v>10000000</v>
      </c>
      <c r="Q37" s="100" t="s">
        <v>19</v>
      </c>
      <c r="R37" s="101" t="s">
        <v>51</v>
      </c>
      <c r="S37" s="101"/>
      <c r="T37" s="52"/>
      <c r="U37" s="129"/>
      <c r="V37" s="81"/>
    </row>
    <row r="38" spans="1:22" s="24" customFormat="1" ht="120" x14ac:dyDescent="0.25">
      <c r="A38" s="291"/>
      <c r="B38" s="294"/>
      <c r="C38" s="271"/>
      <c r="D38" s="334"/>
      <c r="E38" s="271"/>
      <c r="F38" s="271"/>
      <c r="G38" s="271"/>
      <c r="H38" s="89" t="s">
        <v>115</v>
      </c>
      <c r="I38" s="102" t="s">
        <v>118</v>
      </c>
      <c r="J38" s="368"/>
      <c r="K38" s="368"/>
      <c r="L38" s="89" t="s">
        <v>34</v>
      </c>
      <c r="M38" s="82">
        <v>0</v>
      </c>
      <c r="N38" s="82">
        <v>2021</v>
      </c>
      <c r="O38" s="82" t="s">
        <v>18</v>
      </c>
      <c r="P38" s="75">
        <v>250</v>
      </c>
      <c r="Q38" s="103" t="s">
        <v>116</v>
      </c>
      <c r="R38" s="77" t="s">
        <v>131</v>
      </c>
      <c r="S38" s="77"/>
      <c r="T38" s="52"/>
      <c r="U38" s="129"/>
      <c r="V38" s="81"/>
    </row>
    <row r="39" spans="1:22" s="24" customFormat="1" ht="165" x14ac:dyDescent="0.25">
      <c r="A39" s="328"/>
      <c r="B39" s="329"/>
      <c r="C39" s="331"/>
      <c r="D39" s="334"/>
      <c r="E39" s="271"/>
      <c r="F39" s="271"/>
      <c r="G39" s="331"/>
      <c r="H39" s="89" t="s">
        <v>108</v>
      </c>
      <c r="I39" s="89" t="s">
        <v>113</v>
      </c>
      <c r="J39" s="369"/>
      <c r="K39" s="369"/>
      <c r="L39" s="89" t="s">
        <v>109</v>
      </c>
      <c r="M39" s="82">
        <v>0</v>
      </c>
      <c r="N39" s="82">
        <v>2021</v>
      </c>
      <c r="O39" s="82" t="s">
        <v>18</v>
      </c>
      <c r="P39" s="75">
        <v>1097</v>
      </c>
      <c r="Q39" s="89" t="s">
        <v>19</v>
      </c>
      <c r="R39" s="77" t="s">
        <v>132</v>
      </c>
      <c r="S39" s="77"/>
      <c r="T39" s="52"/>
      <c r="U39" s="129"/>
      <c r="V39" s="81"/>
    </row>
    <row r="40" spans="1:22" s="24" customFormat="1" ht="135.75" thickBot="1" x14ac:dyDescent="0.3">
      <c r="A40" s="292"/>
      <c r="B40" s="330"/>
      <c r="C40" s="332"/>
      <c r="D40" s="335"/>
      <c r="E40" s="299"/>
      <c r="F40" s="299"/>
      <c r="G40" s="332"/>
      <c r="H40" s="80" t="s">
        <v>108</v>
      </c>
      <c r="I40" s="80" t="s">
        <v>112</v>
      </c>
      <c r="J40" s="370"/>
      <c r="K40" s="370"/>
      <c r="L40" s="80" t="s">
        <v>109</v>
      </c>
      <c r="M40" s="85">
        <v>0</v>
      </c>
      <c r="N40" s="85">
        <v>2021</v>
      </c>
      <c r="O40" s="85" t="s">
        <v>18</v>
      </c>
      <c r="P40" s="86">
        <v>905</v>
      </c>
      <c r="Q40" s="80" t="s">
        <v>19</v>
      </c>
      <c r="R40" s="188" t="s">
        <v>141</v>
      </c>
      <c r="S40" s="188"/>
      <c r="T40" s="126"/>
      <c r="U40" s="126"/>
      <c r="V40" s="194"/>
    </row>
    <row r="41" spans="1:22" s="24" customFormat="1" ht="105" x14ac:dyDescent="0.25">
      <c r="A41" s="290" t="s">
        <v>68</v>
      </c>
      <c r="B41" s="293">
        <f>F41</f>
        <v>8421052.6315789483</v>
      </c>
      <c r="C41" s="270">
        <f>8000000</f>
        <v>8000000</v>
      </c>
      <c r="D41" s="296" t="s">
        <v>198</v>
      </c>
      <c r="E41" s="270">
        <f>C41/0.95*0.05</f>
        <v>421052.63157894742</v>
      </c>
      <c r="F41" s="270">
        <f>C41+E41</f>
        <v>8421052.6315789483</v>
      </c>
      <c r="G41" s="270">
        <f>C41+E41</f>
        <v>8421052.6315789483</v>
      </c>
      <c r="H41" s="66" t="s">
        <v>32</v>
      </c>
      <c r="I41" s="65" t="s">
        <v>49</v>
      </c>
      <c r="J41" s="229" t="s">
        <v>33</v>
      </c>
      <c r="K41" s="233" t="s">
        <v>31</v>
      </c>
      <c r="L41" s="66" t="s">
        <v>34</v>
      </c>
      <c r="M41" s="67">
        <v>0</v>
      </c>
      <c r="N41" s="67" t="s">
        <v>18</v>
      </c>
      <c r="O41" s="68">
        <v>135</v>
      </c>
      <c r="P41" s="69">
        <f>P42</f>
        <v>330</v>
      </c>
      <c r="Q41" s="87" t="s">
        <v>35</v>
      </c>
      <c r="R41" s="78" t="s">
        <v>133</v>
      </c>
      <c r="S41" s="78"/>
      <c r="T41" s="108"/>
      <c r="U41" s="187"/>
      <c r="V41" s="196"/>
    </row>
    <row r="42" spans="1:22" s="24" customFormat="1" ht="210" x14ac:dyDescent="0.25">
      <c r="A42" s="321"/>
      <c r="B42" s="294"/>
      <c r="C42" s="271"/>
      <c r="D42" s="297"/>
      <c r="E42" s="271"/>
      <c r="F42" s="271"/>
      <c r="G42" s="271"/>
      <c r="H42" s="73" t="s">
        <v>42</v>
      </c>
      <c r="I42" s="71" t="s">
        <v>50</v>
      </c>
      <c r="J42" s="230"/>
      <c r="K42" s="232"/>
      <c r="L42" s="72" t="s">
        <v>34</v>
      </c>
      <c r="M42" s="73">
        <v>0</v>
      </c>
      <c r="N42" s="73" t="s">
        <v>18</v>
      </c>
      <c r="O42" s="74">
        <v>135</v>
      </c>
      <c r="P42" s="75">
        <v>330</v>
      </c>
      <c r="Q42" s="80" t="s">
        <v>19</v>
      </c>
      <c r="R42" s="136" t="s">
        <v>134</v>
      </c>
      <c r="S42" s="77"/>
      <c r="T42" s="52"/>
      <c r="U42" s="135"/>
      <c r="V42" s="140"/>
    </row>
    <row r="43" spans="1:22" s="24" customFormat="1" ht="150" x14ac:dyDescent="0.25">
      <c r="A43" s="321"/>
      <c r="B43" s="294"/>
      <c r="C43" s="271"/>
      <c r="D43" s="297"/>
      <c r="E43" s="271"/>
      <c r="F43" s="271"/>
      <c r="G43" s="271"/>
      <c r="H43" s="72" t="s">
        <v>39</v>
      </c>
      <c r="I43" s="71" t="s">
        <v>56</v>
      </c>
      <c r="J43" s="230"/>
      <c r="K43" s="232"/>
      <c r="L43" s="72" t="s">
        <v>40</v>
      </c>
      <c r="M43" s="82">
        <v>0</v>
      </c>
      <c r="N43" s="82">
        <v>2021</v>
      </c>
      <c r="O43" s="25" t="s">
        <v>18</v>
      </c>
      <c r="P43" s="75">
        <f>8000000</f>
        <v>8000000</v>
      </c>
      <c r="Q43" s="100" t="s">
        <v>19</v>
      </c>
      <c r="R43" s="97" t="s">
        <v>107</v>
      </c>
      <c r="S43" s="97"/>
      <c r="T43" s="52"/>
      <c r="U43" s="131"/>
      <c r="V43" s="81"/>
    </row>
    <row r="44" spans="1:22" s="24" customFormat="1" ht="150.75" thickBot="1" x14ac:dyDescent="0.3">
      <c r="A44" s="322"/>
      <c r="B44" s="295"/>
      <c r="C44" s="273"/>
      <c r="D44" s="298"/>
      <c r="E44" s="299"/>
      <c r="F44" s="299"/>
      <c r="G44" s="273"/>
      <c r="H44" s="80" t="s">
        <v>108</v>
      </c>
      <c r="I44" s="80" t="s">
        <v>114</v>
      </c>
      <c r="J44" s="373"/>
      <c r="K44" s="234"/>
      <c r="L44" s="80" t="s">
        <v>109</v>
      </c>
      <c r="M44" s="85">
        <v>0</v>
      </c>
      <c r="N44" s="85">
        <v>2021</v>
      </c>
      <c r="O44" s="85" t="s">
        <v>18</v>
      </c>
      <c r="P44" s="86">
        <v>33</v>
      </c>
      <c r="Q44" s="90" t="s">
        <v>19</v>
      </c>
      <c r="R44" s="128" t="s">
        <v>135</v>
      </c>
      <c r="S44" s="128"/>
      <c r="T44" s="126"/>
      <c r="U44" s="186"/>
      <c r="V44" s="197"/>
    </row>
    <row r="45" spans="1:22" s="24" customFormat="1" ht="255" customHeight="1" x14ac:dyDescent="0.25">
      <c r="A45" s="340" t="s">
        <v>137</v>
      </c>
      <c r="B45" s="344">
        <f>F45+F50</f>
        <v>47368421.052631579</v>
      </c>
      <c r="C45" s="270">
        <f>45000000-18000000</f>
        <v>27000000</v>
      </c>
      <c r="D45" s="333" t="s">
        <v>62</v>
      </c>
      <c r="E45" s="270">
        <f>C45/0.95*0.05</f>
        <v>1421052.6315789474</v>
      </c>
      <c r="F45" s="270">
        <f>C45+E45</f>
        <v>28421052.631578948</v>
      </c>
      <c r="G45" s="270">
        <f>C45+E45</f>
        <v>28421052.631578948</v>
      </c>
      <c r="H45" s="229" t="s">
        <v>32</v>
      </c>
      <c r="I45" s="361" t="s">
        <v>49</v>
      </c>
      <c r="J45" s="362" t="s">
        <v>33</v>
      </c>
      <c r="K45" s="365" t="s">
        <v>31</v>
      </c>
      <c r="L45" s="229" t="s">
        <v>34</v>
      </c>
      <c r="M45" s="231">
        <v>0</v>
      </c>
      <c r="N45" s="231" t="s">
        <v>18</v>
      </c>
      <c r="O45" s="264">
        <f>O47</f>
        <v>0</v>
      </c>
      <c r="P45" s="245">
        <f>P47</f>
        <v>126</v>
      </c>
      <c r="Q45" s="280" t="s">
        <v>35</v>
      </c>
      <c r="R45" s="255" t="s">
        <v>170</v>
      </c>
      <c r="S45" s="255" t="s">
        <v>177</v>
      </c>
      <c r="T45" s="223" t="s">
        <v>146</v>
      </c>
      <c r="U45" s="225"/>
      <c r="V45" s="227"/>
    </row>
    <row r="46" spans="1:22" s="24" customFormat="1" x14ac:dyDescent="0.25">
      <c r="A46" s="336"/>
      <c r="B46" s="325"/>
      <c r="C46" s="271"/>
      <c r="D46" s="334"/>
      <c r="E46" s="271"/>
      <c r="F46" s="271"/>
      <c r="G46" s="271"/>
      <c r="H46" s="230"/>
      <c r="I46" s="230"/>
      <c r="J46" s="360"/>
      <c r="K46" s="366"/>
      <c r="L46" s="230"/>
      <c r="M46" s="232"/>
      <c r="N46" s="232"/>
      <c r="O46" s="265"/>
      <c r="P46" s="246"/>
      <c r="Q46" s="281"/>
      <c r="R46" s="256"/>
      <c r="S46" s="256"/>
      <c r="T46" s="224"/>
      <c r="U46" s="226"/>
      <c r="V46" s="228"/>
    </row>
    <row r="47" spans="1:22" s="24" customFormat="1" ht="409.5" x14ac:dyDescent="0.25">
      <c r="A47" s="341"/>
      <c r="B47" s="325"/>
      <c r="C47" s="271"/>
      <c r="D47" s="334"/>
      <c r="E47" s="271"/>
      <c r="F47" s="271"/>
      <c r="G47" s="271"/>
      <c r="H47" s="73" t="s">
        <v>36</v>
      </c>
      <c r="I47" s="71" t="s">
        <v>52</v>
      </c>
      <c r="J47" s="360"/>
      <c r="K47" s="366"/>
      <c r="L47" s="72" t="s">
        <v>34</v>
      </c>
      <c r="M47" s="73">
        <v>0</v>
      </c>
      <c r="N47" s="73" t="s">
        <v>18</v>
      </c>
      <c r="O47" s="82">
        <v>0</v>
      </c>
      <c r="P47" s="75">
        <v>126</v>
      </c>
      <c r="Q47" s="80" t="s">
        <v>19</v>
      </c>
      <c r="R47" s="88" t="s">
        <v>171</v>
      </c>
      <c r="S47" s="88" t="s">
        <v>178</v>
      </c>
      <c r="T47" s="52"/>
      <c r="U47" s="129"/>
      <c r="V47" s="81"/>
    </row>
    <row r="48" spans="1:22" s="24" customFormat="1" ht="150" x14ac:dyDescent="0.25">
      <c r="A48" s="341"/>
      <c r="B48" s="325"/>
      <c r="C48" s="271"/>
      <c r="D48" s="334"/>
      <c r="E48" s="271"/>
      <c r="F48" s="271"/>
      <c r="G48" s="271"/>
      <c r="H48" s="72" t="s">
        <v>39</v>
      </c>
      <c r="I48" s="71" t="s">
        <v>56</v>
      </c>
      <c r="J48" s="360"/>
      <c r="K48" s="366"/>
      <c r="L48" s="72" t="s">
        <v>40</v>
      </c>
      <c r="M48" s="82">
        <v>0</v>
      </c>
      <c r="N48" s="82">
        <v>2021</v>
      </c>
      <c r="O48" s="82" t="s">
        <v>18</v>
      </c>
      <c r="P48" s="75">
        <v>7147058.8235294102</v>
      </c>
      <c r="Q48" s="100" t="s">
        <v>19</v>
      </c>
      <c r="R48" s="77" t="s">
        <v>172</v>
      </c>
      <c r="S48" s="77" t="s">
        <v>179</v>
      </c>
      <c r="T48" s="52"/>
      <c r="U48" s="129"/>
      <c r="V48" s="81"/>
    </row>
    <row r="49" spans="1:22" s="24" customFormat="1" ht="120" x14ac:dyDescent="0.25">
      <c r="A49" s="341"/>
      <c r="B49" s="325"/>
      <c r="C49" s="299"/>
      <c r="D49" s="335"/>
      <c r="E49" s="299"/>
      <c r="F49" s="299"/>
      <c r="G49" s="299"/>
      <c r="H49" s="76" t="s">
        <v>29</v>
      </c>
      <c r="I49" s="83" t="s">
        <v>67</v>
      </c>
      <c r="J49" s="360"/>
      <c r="K49" s="366"/>
      <c r="L49" s="76" t="s">
        <v>34</v>
      </c>
      <c r="M49" s="85">
        <v>0</v>
      </c>
      <c r="N49" s="85">
        <v>2021</v>
      </c>
      <c r="O49" s="85" t="s">
        <v>18</v>
      </c>
      <c r="P49" s="86">
        <v>113</v>
      </c>
      <c r="Q49" s="80" t="s">
        <v>45</v>
      </c>
      <c r="R49" s="104" t="s">
        <v>180</v>
      </c>
      <c r="S49" s="104" t="s">
        <v>181</v>
      </c>
      <c r="T49" s="105"/>
      <c r="U49" s="129"/>
      <c r="V49" s="81"/>
    </row>
    <row r="50" spans="1:22" s="24" customFormat="1" ht="105" x14ac:dyDescent="0.25">
      <c r="A50" s="342"/>
      <c r="B50" s="345"/>
      <c r="C50" s="299">
        <v>18000000</v>
      </c>
      <c r="D50" s="298" t="s">
        <v>187</v>
      </c>
      <c r="E50" s="299">
        <f>C50/0.95*0.05</f>
        <v>947368.42105263157</v>
      </c>
      <c r="F50" s="299">
        <f>C50+E50</f>
        <v>18947368.421052631</v>
      </c>
      <c r="G50" s="299">
        <f>C50+E50</f>
        <v>18947368.421052631</v>
      </c>
      <c r="H50" s="89" t="s">
        <v>32</v>
      </c>
      <c r="I50" s="89" t="s">
        <v>49</v>
      </c>
      <c r="J50" s="363"/>
      <c r="K50" s="363"/>
      <c r="L50" s="80" t="s">
        <v>34</v>
      </c>
      <c r="M50" s="82">
        <v>0</v>
      </c>
      <c r="N50" s="82" t="s">
        <v>18</v>
      </c>
      <c r="O50" s="82">
        <v>0</v>
      </c>
      <c r="P50" s="75">
        <f>P51</f>
        <v>84</v>
      </c>
      <c r="Q50" s="89" t="s">
        <v>35</v>
      </c>
      <c r="R50" s="106"/>
      <c r="S50" s="107" t="s">
        <v>149</v>
      </c>
      <c r="T50" s="52"/>
      <c r="U50" s="129"/>
      <c r="V50" s="81"/>
    </row>
    <row r="51" spans="1:22" s="24" customFormat="1" ht="270" x14ac:dyDescent="0.25">
      <c r="A51" s="342"/>
      <c r="B51" s="345"/>
      <c r="C51" s="350"/>
      <c r="D51" s="350"/>
      <c r="E51" s="350"/>
      <c r="F51" s="350"/>
      <c r="G51" s="350"/>
      <c r="H51" s="89" t="s">
        <v>36</v>
      </c>
      <c r="I51" s="89" t="s">
        <v>52</v>
      </c>
      <c r="J51" s="363"/>
      <c r="K51" s="363"/>
      <c r="L51" s="80" t="s">
        <v>34</v>
      </c>
      <c r="M51" s="82">
        <v>0</v>
      </c>
      <c r="N51" s="82" t="s">
        <v>18</v>
      </c>
      <c r="O51" s="82">
        <v>0</v>
      </c>
      <c r="P51" s="75">
        <v>84</v>
      </c>
      <c r="Q51" s="103" t="s">
        <v>19</v>
      </c>
      <c r="R51" s="106"/>
      <c r="S51" s="107" t="s">
        <v>148</v>
      </c>
      <c r="T51" s="52"/>
      <c r="U51" s="129"/>
      <c r="V51" s="81"/>
    </row>
    <row r="52" spans="1:22" s="24" customFormat="1" ht="150" x14ac:dyDescent="0.25">
      <c r="A52" s="342"/>
      <c r="B52" s="345"/>
      <c r="C52" s="350"/>
      <c r="D52" s="350"/>
      <c r="E52" s="350"/>
      <c r="F52" s="350"/>
      <c r="G52" s="350"/>
      <c r="H52" s="89" t="s">
        <v>39</v>
      </c>
      <c r="I52" s="89" t="s">
        <v>56</v>
      </c>
      <c r="J52" s="363"/>
      <c r="K52" s="363"/>
      <c r="L52" s="89" t="s">
        <v>40</v>
      </c>
      <c r="M52" s="82">
        <v>0</v>
      </c>
      <c r="N52" s="82">
        <v>2021</v>
      </c>
      <c r="O52" s="82" t="s">
        <v>18</v>
      </c>
      <c r="P52" s="75">
        <v>4764705.8823529417</v>
      </c>
      <c r="Q52" s="103" t="s">
        <v>19</v>
      </c>
      <c r="R52" s="106"/>
      <c r="S52" s="107" t="s">
        <v>150</v>
      </c>
      <c r="T52" s="108"/>
      <c r="U52" s="129"/>
      <c r="V52" s="81"/>
    </row>
    <row r="53" spans="1:22" s="24" customFormat="1" ht="90.75" thickBot="1" x14ac:dyDescent="0.3">
      <c r="A53" s="343"/>
      <c r="B53" s="346"/>
      <c r="C53" s="352"/>
      <c r="D53" s="352"/>
      <c r="E53" s="352"/>
      <c r="F53" s="352"/>
      <c r="G53" s="352"/>
      <c r="H53" s="179" t="s">
        <v>108</v>
      </c>
      <c r="I53" s="179" t="s">
        <v>164</v>
      </c>
      <c r="J53" s="364"/>
      <c r="K53" s="364"/>
      <c r="L53" s="180" t="s">
        <v>34</v>
      </c>
      <c r="M53" s="180">
        <v>0</v>
      </c>
      <c r="N53" s="180">
        <v>2021</v>
      </c>
      <c r="O53" s="180" t="s">
        <v>18</v>
      </c>
      <c r="P53" s="181">
        <f>P50*0.9</f>
        <v>75.600000000000009</v>
      </c>
      <c r="Q53" s="180" t="s">
        <v>45</v>
      </c>
      <c r="R53" s="183"/>
      <c r="S53" s="184" t="s">
        <v>189</v>
      </c>
      <c r="T53" s="184" t="s">
        <v>165</v>
      </c>
      <c r="U53" s="126"/>
      <c r="V53" s="194"/>
    </row>
    <row r="54" spans="1:22" s="24" customFormat="1" ht="240" x14ac:dyDescent="0.25">
      <c r="A54" s="336" t="s">
        <v>144</v>
      </c>
      <c r="B54" s="353">
        <f>F54+F59</f>
        <v>57500000</v>
      </c>
      <c r="C54" s="356">
        <f>31800000-8500000</f>
        <v>23300000</v>
      </c>
      <c r="D54" s="358" t="s">
        <v>188</v>
      </c>
      <c r="E54" s="356">
        <f>C54/0.6*0.4</f>
        <v>15533333.333333336</v>
      </c>
      <c r="F54" s="356">
        <f>C54+E54</f>
        <v>38833333.333333336</v>
      </c>
      <c r="G54" s="356">
        <f>C54+E54</f>
        <v>38833333.333333336</v>
      </c>
      <c r="H54" s="91" t="s">
        <v>32</v>
      </c>
      <c r="I54" s="92" t="s">
        <v>49</v>
      </c>
      <c r="J54" s="375" t="s">
        <v>28</v>
      </c>
      <c r="K54" s="378" t="s">
        <v>31</v>
      </c>
      <c r="L54" s="91" t="s">
        <v>34</v>
      </c>
      <c r="M54" s="93">
        <v>0</v>
      </c>
      <c r="N54" s="93" t="s">
        <v>18</v>
      </c>
      <c r="O54" s="109">
        <f>O55</f>
        <v>0</v>
      </c>
      <c r="P54" s="171">
        <f>P55</f>
        <v>24</v>
      </c>
      <c r="Q54" s="110" t="s">
        <v>35</v>
      </c>
      <c r="R54" s="78" t="s">
        <v>136</v>
      </c>
      <c r="S54" s="78"/>
      <c r="T54" s="78" t="s">
        <v>147</v>
      </c>
      <c r="U54" s="182" t="s">
        <v>231</v>
      </c>
      <c r="V54" s="125"/>
    </row>
    <row r="55" spans="1:22" s="24" customFormat="1" ht="409.5" x14ac:dyDescent="0.25">
      <c r="A55" s="337"/>
      <c r="B55" s="353"/>
      <c r="C55" s="357"/>
      <c r="D55" s="297"/>
      <c r="E55" s="357"/>
      <c r="F55" s="357"/>
      <c r="G55" s="357"/>
      <c r="H55" s="73" t="s">
        <v>36</v>
      </c>
      <c r="I55" s="71" t="s">
        <v>52</v>
      </c>
      <c r="J55" s="376"/>
      <c r="K55" s="379"/>
      <c r="L55" s="72" t="s">
        <v>34</v>
      </c>
      <c r="M55" s="73">
        <v>0</v>
      </c>
      <c r="N55" s="73" t="s">
        <v>18</v>
      </c>
      <c r="O55" s="74">
        <v>0</v>
      </c>
      <c r="P55" s="156">
        <v>24</v>
      </c>
      <c r="Q55" s="80" t="s">
        <v>19</v>
      </c>
      <c r="R55" s="88" t="s">
        <v>173</v>
      </c>
      <c r="S55" s="77" t="s">
        <v>182</v>
      </c>
      <c r="T55" s="52"/>
      <c r="U55" s="167" t="s">
        <v>222</v>
      </c>
      <c r="V55" s="144" t="s">
        <v>197</v>
      </c>
    </row>
    <row r="56" spans="1:22" s="24" customFormat="1" ht="150" x14ac:dyDescent="0.25">
      <c r="A56" s="337"/>
      <c r="B56" s="353"/>
      <c r="C56" s="357"/>
      <c r="D56" s="297"/>
      <c r="E56" s="357"/>
      <c r="F56" s="357"/>
      <c r="G56" s="357"/>
      <c r="H56" s="72" t="s">
        <v>39</v>
      </c>
      <c r="I56" s="71" t="s">
        <v>56</v>
      </c>
      <c r="J56" s="376"/>
      <c r="K56" s="379"/>
      <c r="L56" s="72" t="s">
        <v>40</v>
      </c>
      <c r="M56" s="82">
        <v>0</v>
      </c>
      <c r="N56" s="82">
        <v>2021</v>
      </c>
      <c r="O56" s="82" t="s">
        <v>18</v>
      </c>
      <c r="P56" s="172">
        <v>12834000</v>
      </c>
      <c r="Q56" s="100" t="s">
        <v>19</v>
      </c>
      <c r="R56" s="77" t="s">
        <v>174</v>
      </c>
      <c r="S56" s="77" t="s">
        <v>183</v>
      </c>
      <c r="T56" s="52"/>
      <c r="U56" s="168" t="s">
        <v>223</v>
      </c>
      <c r="V56" s="144" t="s">
        <v>197</v>
      </c>
    </row>
    <row r="57" spans="1:22" s="24" customFormat="1" ht="120" x14ac:dyDescent="0.25">
      <c r="A57" s="337"/>
      <c r="B57" s="353"/>
      <c r="C57" s="357"/>
      <c r="D57" s="297"/>
      <c r="E57" s="357"/>
      <c r="F57" s="357"/>
      <c r="G57" s="357"/>
      <c r="H57" s="72" t="s">
        <v>29</v>
      </c>
      <c r="I57" s="71" t="s">
        <v>67</v>
      </c>
      <c r="J57" s="376"/>
      <c r="K57" s="379"/>
      <c r="L57" s="72" t="s">
        <v>34</v>
      </c>
      <c r="M57" s="82">
        <v>0</v>
      </c>
      <c r="N57" s="82">
        <v>2021</v>
      </c>
      <c r="O57" s="82" t="s">
        <v>18</v>
      </c>
      <c r="P57" s="156">
        <v>21</v>
      </c>
      <c r="Q57" s="72" t="s">
        <v>45</v>
      </c>
      <c r="R57" s="70" t="s">
        <v>185</v>
      </c>
      <c r="S57" s="70" t="s">
        <v>184</v>
      </c>
      <c r="T57" s="52"/>
      <c r="U57" s="169" t="s">
        <v>224</v>
      </c>
      <c r="V57" s="81"/>
    </row>
    <row r="58" spans="1:22" s="24" customFormat="1" ht="120" x14ac:dyDescent="0.25">
      <c r="A58" s="337"/>
      <c r="B58" s="353"/>
      <c r="C58" s="347"/>
      <c r="D58" s="298"/>
      <c r="E58" s="347"/>
      <c r="F58" s="347"/>
      <c r="G58" s="347"/>
      <c r="H58" s="89" t="s">
        <v>115</v>
      </c>
      <c r="I58" s="102" t="s">
        <v>118</v>
      </c>
      <c r="J58" s="376"/>
      <c r="K58" s="379"/>
      <c r="L58" s="89" t="s">
        <v>34</v>
      </c>
      <c r="M58" s="82">
        <v>0</v>
      </c>
      <c r="N58" s="82">
        <v>2021</v>
      </c>
      <c r="O58" s="82" t="s">
        <v>18</v>
      </c>
      <c r="P58" s="156">
        <f>P55</f>
        <v>24</v>
      </c>
      <c r="Q58" s="103" t="s">
        <v>116</v>
      </c>
      <c r="R58" s="104" t="s">
        <v>175</v>
      </c>
      <c r="S58" s="104" t="s">
        <v>186</v>
      </c>
      <c r="T58" s="52"/>
      <c r="U58" s="170" t="s">
        <v>225</v>
      </c>
      <c r="V58" s="81"/>
    </row>
    <row r="59" spans="1:22" s="24" customFormat="1" ht="165" x14ac:dyDescent="0.25">
      <c r="A59" s="338"/>
      <c r="B59" s="354"/>
      <c r="C59" s="347">
        <f>21200000-10000000</f>
        <v>11200000</v>
      </c>
      <c r="D59" s="298" t="s">
        <v>187</v>
      </c>
      <c r="E59" s="347">
        <f>C59/0.6*0.4</f>
        <v>7466666.6666666679</v>
      </c>
      <c r="F59" s="347">
        <f>C59+E59</f>
        <v>18666666.666666668</v>
      </c>
      <c r="G59" s="347">
        <f>C59+E59</f>
        <v>18666666.666666668</v>
      </c>
      <c r="H59" s="111" t="s">
        <v>32</v>
      </c>
      <c r="I59" s="111" t="s">
        <v>49</v>
      </c>
      <c r="J59" s="376"/>
      <c r="K59" s="379"/>
      <c r="L59" s="111" t="s">
        <v>34</v>
      </c>
      <c r="M59" s="112">
        <v>0</v>
      </c>
      <c r="N59" s="112" t="s">
        <v>18</v>
      </c>
      <c r="O59" s="173">
        <f>O60</f>
        <v>0</v>
      </c>
      <c r="P59" s="171">
        <f>P60</f>
        <v>11</v>
      </c>
      <c r="Q59" s="110" t="s">
        <v>35</v>
      </c>
      <c r="R59" s="106"/>
      <c r="S59" s="107" t="s">
        <v>169</v>
      </c>
      <c r="T59" s="52"/>
      <c r="U59" s="177" t="s">
        <v>226</v>
      </c>
      <c r="V59" s="81"/>
    </row>
    <row r="60" spans="1:22" s="24" customFormat="1" ht="409.5" x14ac:dyDescent="0.25">
      <c r="A60" s="338"/>
      <c r="B60" s="354"/>
      <c r="C60" s="348"/>
      <c r="D60" s="350"/>
      <c r="E60" s="348"/>
      <c r="F60" s="348"/>
      <c r="G60" s="348"/>
      <c r="H60" s="82" t="s">
        <v>36</v>
      </c>
      <c r="I60" s="89" t="s">
        <v>52</v>
      </c>
      <c r="J60" s="376"/>
      <c r="K60" s="379"/>
      <c r="L60" s="89" t="s">
        <v>34</v>
      </c>
      <c r="M60" s="82">
        <v>0</v>
      </c>
      <c r="N60" s="82" t="s">
        <v>18</v>
      </c>
      <c r="O60" s="159">
        <v>0</v>
      </c>
      <c r="P60" s="156">
        <v>11</v>
      </c>
      <c r="Q60" s="80" t="s">
        <v>19</v>
      </c>
      <c r="R60" s="106"/>
      <c r="S60" s="107" t="s">
        <v>152</v>
      </c>
      <c r="T60" s="52"/>
      <c r="U60" s="165" t="s">
        <v>227</v>
      </c>
      <c r="V60" s="81"/>
    </row>
    <row r="61" spans="1:22" s="24" customFormat="1" ht="150" x14ac:dyDescent="0.25">
      <c r="A61" s="338"/>
      <c r="B61" s="354"/>
      <c r="C61" s="348"/>
      <c r="D61" s="350"/>
      <c r="E61" s="348"/>
      <c r="F61" s="348"/>
      <c r="G61" s="348"/>
      <c r="H61" s="80" t="s">
        <v>39</v>
      </c>
      <c r="I61" s="80" t="s">
        <v>56</v>
      </c>
      <c r="J61" s="376"/>
      <c r="K61" s="379"/>
      <c r="L61" s="80" t="s">
        <v>40</v>
      </c>
      <c r="M61" s="85">
        <v>0</v>
      </c>
      <c r="N61" s="85">
        <v>2021</v>
      </c>
      <c r="O61" s="85" t="s">
        <v>18</v>
      </c>
      <c r="P61" s="174">
        <v>4166400</v>
      </c>
      <c r="Q61" s="90" t="s">
        <v>19</v>
      </c>
      <c r="R61" s="106"/>
      <c r="S61" s="107" t="s">
        <v>151</v>
      </c>
      <c r="T61" s="52"/>
      <c r="U61" s="165" t="s">
        <v>228</v>
      </c>
      <c r="V61" s="81"/>
    </row>
    <row r="62" spans="1:22" s="24" customFormat="1" ht="90" x14ac:dyDescent="0.25">
      <c r="A62" s="338"/>
      <c r="B62" s="354"/>
      <c r="C62" s="348"/>
      <c r="D62" s="350"/>
      <c r="E62" s="348"/>
      <c r="F62" s="348"/>
      <c r="G62" s="348"/>
      <c r="H62" s="89" t="s">
        <v>108</v>
      </c>
      <c r="I62" s="89" t="s">
        <v>164</v>
      </c>
      <c r="J62" s="376"/>
      <c r="K62" s="379"/>
      <c r="L62" s="89" t="s">
        <v>34</v>
      </c>
      <c r="M62" s="89">
        <v>0</v>
      </c>
      <c r="N62" s="89">
        <v>2021</v>
      </c>
      <c r="O62" s="89" t="s">
        <v>18</v>
      </c>
      <c r="P62" s="175">
        <f>P59*0.9</f>
        <v>9.9</v>
      </c>
      <c r="Q62" s="89" t="s">
        <v>45</v>
      </c>
      <c r="R62" s="106"/>
      <c r="S62" s="107" t="s">
        <v>166</v>
      </c>
      <c r="T62" s="52"/>
      <c r="U62" s="178" t="s">
        <v>229</v>
      </c>
      <c r="V62" s="81"/>
    </row>
    <row r="63" spans="1:22" s="24" customFormat="1" ht="120" x14ac:dyDescent="0.25">
      <c r="A63" s="339"/>
      <c r="B63" s="355"/>
      <c r="C63" s="349"/>
      <c r="D63" s="351"/>
      <c r="E63" s="349"/>
      <c r="F63" s="349"/>
      <c r="G63" s="349"/>
      <c r="H63" s="89" t="s">
        <v>108</v>
      </c>
      <c r="I63" s="89" t="s">
        <v>167</v>
      </c>
      <c r="J63" s="377"/>
      <c r="K63" s="380"/>
      <c r="L63" s="89" t="s">
        <v>34</v>
      </c>
      <c r="M63" s="82">
        <v>0</v>
      </c>
      <c r="N63" s="82">
        <v>2021</v>
      </c>
      <c r="O63" s="82" t="s">
        <v>18</v>
      </c>
      <c r="P63" s="176">
        <f>P60</f>
        <v>11</v>
      </c>
      <c r="Q63" s="103" t="s">
        <v>116</v>
      </c>
      <c r="R63" s="106"/>
      <c r="S63" s="107" t="s">
        <v>168</v>
      </c>
      <c r="T63" s="52"/>
      <c r="U63" s="178" t="s">
        <v>230</v>
      </c>
      <c r="V63" s="81"/>
    </row>
    <row r="64" spans="1:22" s="24" customFormat="1" x14ac:dyDescent="0.25">
      <c r="A64" s="113"/>
      <c r="B64" s="114" t="s">
        <v>27</v>
      </c>
      <c r="C64" s="115">
        <f>C54+C35+C59</f>
        <v>44500000</v>
      </c>
      <c r="D64" s="116"/>
      <c r="E64" s="115">
        <f>E54+E35+E59</f>
        <v>29666666.666666672</v>
      </c>
      <c r="F64" s="115">
        <f>F54+F35+F59</f>
        <v>74166666.666666672</v>
      </c>
      <c r="G64" s="115">
        <f>G54+G35+G59</f>
        <v>74166666.666666672</v>
      </c>
      <c r="H64" s="117"/>
      <c r="I64" s="118"/>
      <c r="J64" s="117"/>
      <c r="K64" s="119"/>
      <c r="L64" s="120"/>
      <c r="M64" s="121"/>
      <c r="N64" s="121"/>
      <c r="O64" s="121"/>
      <c r="P64" s="122"/>
      <c r="Q64" s="117"/>
      <c r="R64" s="120"/>
      <c r="S64" s="120"/>
      <c r="V64" s="147"/>
    </row>
    <row r="65" spans="1:16" x14ac:dyDescent="0.25">
      <c r="A65" s="7"/>
      <c r="B65" s="8" t="s">
        <v>26</v>
      </c>
      <c r="C65" s="123">
        <f>C6+C17+C27+C30+C41+C45+C50</f>
        <v>145234098</v>
      </c>
      <c r="D65" s="3"/>
      <c r="E65" s="3">
        <f>E6+E17+E27+E30+E41+E45+E50</f>
        <v>7643899.8947368432</v>
      </c>
      <c r="F65" s="3">
        <f>F6+F17+F27+F30+F41+F45+F50</f>
        <v>152877997.89473686</v>
      </c>
      <c r="G65" s="51">
        <f>G6+G17+G27+G30+G41+G45+G50</f>
        <v>152877997.89473686</v>
      </c>
      <c r="H65" s="9"/>
      <c r="I65" s="10"/>
      <c r="J65" s="11"/>
      <c r="K65" s="12"/>
      <c r="M65">
        <f>SUM(M6:M63)</f>
        <v>0</v>
      </c>
      <c r="O65">
        <f t="shared" ref="O65:P65" si="0">SUM(O6:O63)</f>
        <v>1798</v>
      </c>
      <c r="P65" s="220">
        <f t="shared" si="0"/>
        <v>85141600.68588236</v>
      </c>
    </row>
    <row r="66" spans="1:16" x14ac:dyDescent="0.25">
      <c r="A66" s="7"/>
      <c r="B66" s="3">
        <f>B6+B17+B27+B30+B35+B41+B45+B54</f>
        <v>227044664.56140351</v>
      </c>
      <c r="C66" s="123">
        <f>C6+C17+C27+C30+C35+C41+C45+C54+C50+C59</f>
        <v>189734098</v>
      </c>
      <c r="D66" s="3"/>
      <c r="E66" s="3"/>
      <c r="F66" s="3"/>
      <c r="G66" s="51">
        <f>G64+G65</f>
        <v>227044664.56140351</v>
      </c>
      <c r="H66" s="9"/>
      <c r="I66" s="10"/>
      <c r="J66" s="11"/>
      <c r="K66" s="12"/>
      <c r="O66" s="16"/>
      <c r="P66" s="221">
        <f>ROUND(P65,3)</f>
        <v>85141600.686000004</v>
      </c>
    </row>
    <row r="67" spans="1:16" x14ac:dyDescent="0.25">
      <c r="A67" s="7"/>
      <c r="B67" s="3"/>
      <c r="C67" s="58"/>
      <c r="E67" s="3"/>
      <c r="F67" s="3"/>
      <c r="G67" s="51"/>
      <c r="H67" s="9"/>
      <c r="I67" s="10"/>
      <c r="J67" s="11"/>
      <c r="K67" s="12"/>
      <c r="O67" s="16"/>
      <c r="P67" s="15"/>
    </row>
    <row r="68" spans="1:16" x14ac:dyDescent="0.25">
      <c r="H68" s="9"/>
      <c r="I68" s="10"/>
      <c r="P68" s="8"/>
    </row>
    <row r="69" spans="1:16" ht="75" x14ac:dyDescent="0.25">
      <c r="A69" s="18" t="s">
        <v>20</v>
      </c>
      <c r="B69" s="18" t="s">
        <v>21</v>
      </c>
      <c r="C69" s="18" t="s">
        <v>22</v>
      </c>
      <c r="D69" s="18" t="s">
        <v>23</v>
      </c>
      <c r="E69" s="18" t="s">
        <v>3</v>
      </c>
      <c r="F69" s="18" t="s">
        <v>4</v>
      </c>
      <c r="G69" s="18" t="s">
        <v>24</v>
      </c>
      <c r="H69" s="18" t="s">
        <v>7</v>
      </c>
      <c r="I69" s="32" t="s">
        <v>46</v>
      </c>
      <c r="J69" s="2" t="s">
        <v>8</v>
      </c>
      <c r="K69" s="32" t="s">
        <v>46</v>
      </c>
      <c r="L69" s="31" t="s">
        <v>63</v>
      </c>
      <c r="M69" s="217"/>
      <c r="N69" s="206"/>
      <c r="P69" s="3"/>
    </row>
    <row r="70" spans="1:16" ht="150" x14ac:dyDescent="0.25">
      <c r="A70" s="26" t="s">
        <v>32</v>
      </c>
      <c r="B70" s="6" t="s">
        <v>49</v>
      </c>
      <c r="C70" s="4" t="s">
        <v>34</v>
      </c>
      <c r="D70" s="6">
        <v>0</v>
      </c>
      <c r="E70" s="20" t="s">
        <v>28</v>
      </c>
      <c r="F70" s="6" t="s">
        <v>31</v>
      </c>
      <c r="G70" s="6" t="s">
        <v>18</v>
      </c>
      <c r="H70" s="17">
        <f>O35+O54+O59</f>
        <v>80</v>
      </c>
      <c r="I70" s="54">
        <f>H70*0.6</f>
        <v>48</v>
      </c>
      <c r="J70" s="199">
        <f>P12+P22+P35+P54+P59</f>
        <v>394</v>
      </c>
      <c r="K70" s="199">
        <f>J70*0.9</f>
        <v>354.6</v>
      </c>
      <c r="L70" s="216" t="s">
        <v>239</v>
      </c>
      <c r="M70" s="9"/>
      <c r="N70" s="207"/>
      <c r="P70" s="3"/>
    </row>
    <row r="71" spans="1:16" ht="135" x14ac:dyDescent="0.25">
      <c r="A71" s="13" t="s">
        <v>32</v>
      </c>
      <c r="B71" s="6" t="s">
        <v>49</v>
      </c>
      <c r="C71" s="4" t="s">
        <v>34</v>
      </c>
      <c r="D71" s="6">
        <v>0</v>
      </c>
      <c r="E71" s="20" t="s">
        <v>33</v>
      </c>
      <c r="F71" s="6" t="s">
        <v>31</v>
      </c>
      <c r="G71" s="6" t="s">
        <v>18</v>
      </c>
      <c r="H71" s="17">
        <f>O6+O17+O27+O30+O41+O45+O50</f>
        <v>676</v>
      </c>
      <c r="I71" s="54">
        <f>H71*0.6</f>
        <v>405.59999999999997</v>
      </c>
      <c r="J71" s="199">
        <f>P6+P17+P27+P30+P41+P45+P50</f>
        <v>2280</v>
      </c>
      <c r="K71" s="199">
        <f>J71*0.8</f>
        <v>1824</v>
      </c>
      <c r="L71" s="205" t="s">
        <v>234</v>
      </c>
      <c r="M71" s="9"/>
      <c r="N71" s="208"/>
      <c r="P71" s="3"/>
    </row>
    <row r="72" spans="1:16" ht="60" x14ac:dyDescent="0.25">
      <c r="A72" s="4" t="s">
        <v>42</v>
      </c>
      <c r="B72" s="6" t="s">
        <v>59</v>
      </c>
      <c r="C72" s="4" t="s">
        <v>34</v>
      </c>
      <c r="D72" s="6">
        <v>0</v>
      </c>
      <c r="E72" s="20" t="s">
        <v>28</v>
      </c>
      <c r="F72" s="6" t="s">
        <v>31</v>
      </c>
      <c r="G72" s="6" t="s">
        <v>18</v>
      </c>
      <c r="H72" s="17">
        <f>O36</f>
        <v>80</v>
      </c>
      <c r="I72" s="30">
        <f>H72</f>
        <v>80</v>
      </c>
      <c r="J72" s="22">
        <f>P36</f>
        <v>250</v>
      </c>
      <c r="K72" s="29">
        <f t="shared" ref="K72:K78" si="1">J72</f>
        <v>250</v>
      </c>
      <c r="L72" s="140" t="s">
        <v>64</v>
      </c>
      <c r="M72" s="207"/>
      <c r="N72" s="207"/>
      <c r="P72" s="3"/>
    </row>
    <row r="73" spans="1:16" ht="120" x14ac:dyDescent="0.25">
      <c r="A73" s="4" t="s">
        <v>42</v>
      </c>
      <c r="B73" s="6" t="s">
        <v>59</v>
      </c>
      <c r="C73" s="4" t="s">
        <v>34</v>
      </c>
      <c r="D73" s="6">
        <v>0</v>
      </c>
      <c r="E73" s="20" t="s">
        <v>33</v>
      </c>
      <c r="F73" s="6" t="s">
        <v>31</v>
      </c>
      <c r="G73" s="6" t="s">
        <v>18</v>
      </c>
      <c r="H73" s="17">
        <f>O28+O31+O42</f>
        <v>340</v>
      </c>
      <c r="I73" s="54">
        <f>H73*0.7</f>
        <v>237.99999999999997</v>
      </c>
      <c r="J73" s="5">
        <f>P28+P31+P42</f>
        <v>754</v>
      </c>
      <c r="K73" s="199">
        <f t="shared" si="1"/>
        <v>754</v>
      </c>
      <c r="L73" s="203" t="s">
        <v>233</v>
      </c>
      <c r="M73" s="207"/>
      <c r="N73" s="208"/>
      <c r="P73" s="3"/>
    </row>
    <row r="74" spans="1:16" ht="75" x14ac:dyDescent="0.25">
      <c r="A74" s="4" t="s">
        <v>36</v>
      </c>
      <c r="B74" s="6" t="s">
        <v>52</v>
      </c>
      <c r="C74" s="4" t="s">
        <v>34</v>
      </c>
      <c r="D74" s="6">
        <v>0</v>
      </c>
      <c r="E74" s="20" t="s">
        <v>28</v>
      </c>
      <c r="F74" s="6" t="s">
        <v>31</v>
      </c>
      <c r="G74" s="6" t="s">
        <v>18</v>
      </c>
      <c r="H74" s="17">
        <f>O55+O60</f>
        <v>0</v>
      </c>
      <c r="I74" s="30">
        <f>H74</f>
        <v>0</v>
      </c>
      <c r="J74" s="199">
        <f>P13+P23+P55+P59</f>
        <v>144</v>
      </c>
      <c r="K74" s="199">
        <f t="shared" si="1"/>
        <v>144</v>
      </c>
      <c r="L74" s="140" t="s">
        <v>64</v>
      </c>
      <c r="M74" s="9"/>
      <c r="N74" s="207"/>
    </row>
    <row r="75" spans="1:16" ht="75" x14ac:dyDescent="0.25">
      <c r="A75" s="4" t="s">
        <v>36</v>
      </c>
      <c r="B75" s="6" t="s">
        <v>52</v>
      </c>
      <c r="C75" s="4" t="s">
        <v>34</v>
      </c>
      <c r="D75" s="6">
        <v>0</v>
      </c>
      <c r="E75" s="20" t="s">
        <v>33</v>
      </c>
      <c r="F75" s="6" t="s">
        <v>31</v>
      </c>
      <c r="G75" s="1" t="s">
        <v>18</v>
      </c>
      <c r="H75" s="17">
        <f>O7+O18+O47+O51</f>
        <v>0</v>
      </c>
      <c r="I75" s="30">
        <f>H75</f>
        <v>0</v>
      </c>
      <c r="J75" s="199">
        <f>P7+P18+P47+P51</f>
        <v>403</v>
      </c>
      <c r="K75" s="199">
        <f t="shared" si="1"/>
        <v>403</v>
      </c>
      <c r="L75" s="140" t="s">
        <v>65</v>
      </c>
      <c r="M75" s="9"/>
      <c r="N75" s="207"/>
    </row>
    <row r="76" spans="1:16" ht="60" x14ac:dyDescent="0.25">
      <c r="A76" s="23" t="s">
        <v>37</v>
      </c>
      <c r="B76" s="6" t="s">
        <v>53</v>
      </c>
      <c r="C76" s="4" t="s">
        <v>34</v>
      </c>
      <c r="D76" s="6">
        <v>0</v>
      </c>
      <c r="E76" s="20" t="s">
        <v>33</v>
      </c>
      <c r="F76" s="6" t="s">
        <v>31</v>
      </c>
      <c r="G76" s="1" t="s">
        <v>18</v>
      </c>
      <c r="H76" s="17">
        <f>O8</f>
        <v>336</v>
      </c>
      <c r="I76" s="54">
        <f>H76</f>
        <v>336</v>
      </c>
      <c r="J76" s="199">
        <f>P8</f>
        <v>1123</v>
      </c>
      <c r="K76" s="199">
        <f t="shared" si="1"/>
        <v>1123</v>
      </c>
      <c r="L76" s="210" t="s">
        <v>235</v>
      </c>
      <c r="M76" s="207"/>
      <c r="N76" s="207"/>
    </row>
    <row r="77" spans="1:16" ht="45" x14ac:dyDescent="0.25">
      <c r="A77" s="200" t="s">
        <v>38</v>
      </c>
      <c r="B77" s="201" t="s">
        <v>54</v>
      </c>
      <c r="C77" s="200" t="s">
        <v>34</v>
      </c>
      <c r="D77" s="201">
        <v>0</v>
      </c>
      <c r="E77" s="201" t="s">
        <v>28</v>
      </c>
      <c r="F77" s="201" t="s">
        <v>31</v>
      </c>
      <c r="G77" s="201" t="s">
        <v>18</v>
      </c>
      <c r="H77" s="202">
        <v>0</v>
      </c>
      <c r="I77" s="199">
        <v>0</v>
      </c>
      <c r="J77" s="199">
        <f>P14</f>
        <v>85</v>
      </c>
      <c r="K77" s="199">
        <f t="shared" si="1"/>
        <v>85</v>
      </c>
      <c r="L77" s="140" t="s">
        <v>200</v>
      </c>
      <c r="M77" s="218"/>
      <c r="N77" s="218"/>
    </row>
    <row r="78" spans="1:16" ht="180" x14ac:dyDescent="0.25">
      <c r="A78" s="4" t="s">
        <v>38</v>
      </c>
      <c r="B78" s="6" t="s">
        <v>54</v>
      </c>
      <c r="C78" s="4" t="s">
        <v>34</v>
      </c>
      <c r="D78" s="6">
        <v>0</v>
      </c>
      <c r="E78" s="20" t="s">
        <v>33</v>
      </c>
      <c r="F78" s="6" t="s">
        <v>31</v>
      </c>
      <c r="G78" s="6" t="s">
        <v>18</v>
      </c>
      <c r="H78" s="14">
        <f>O9</f>
        <v>286</v>
      </c>
      <c r="I78" s="5">
        <f>H78*0.4</f>
        <v>114.4</v>
      </c>
      <c r="J78" s="199">
        <f>P9</f>
        <v>1264</v>
      </c>
      <c r="K78" s="199">
        <f t="shared" si="1"/>
        <v>1264</v>
      </c>
      <c r="L78" s="204" t="s">
        <v>232</v>
      </c>
      <c r="M78" s="207"/>
      <c r="N78" s="207"/>
    </row>
    <row r="79" spans="1:16" ht="60" x14ac:dyDescent="0.25">
      <c r="A79" s="200" t="s">
        <v>43</v>
      </c>
      <c r="B79" s="201" t="s">
        <v>55</v>
      </c>
      <c r="C79" s="200" t="s">
        <v>44</v>
      </c>
      <c r="D79" s="201">
        <v>0</v>
      </c>
      <c r="E79" s="201" t="s">
        <v>28</v>
      </c>
      <c r="F79" s="201" t="s">
        <v>31</v>
      </c>
      <c r="G79" s="201">
        <v>2021</v>
      </c>
      <c r="H79" s="202" t="s">
        <v>18</v>
      </c>
      <c r="I79" s="142"/>
      <c r="J79" s="199">
        <f>P24</f>
        <v>28</v>
      </c>
      <c r="K79" s="142"/>
      <c r="L79" s="141"/>
      <c r="M79" s="218"/>
      <c r="N79" s="218"/>
    </row>
    <row r="80" spans="1:16" ht="60" x14ac:dyDescent="0.25">
      <c r="A80" s="4" t="s">
        <v>43</v>
      </c>
      <c r="B80" s="6" t="s">
        <v>55</v>
      </c>
      <c r="C80" s="4" t="s">
        <v>44</v>
      </c>
      <c r="D80" s="6">
        <v>0</v>
      </c>
      <c r="E80" s="20" t="s">
        <v>33</v>
      </c>
      <c r="F80" s="6" t="s">
        <v>31</v>
      </c>
      <c r="G80" s="6">
        <v>2021</v>
      </c>
      <c r="H80" s="14" t="s">
        <v>18</v>
      </c>
      <c r="I80" s="27"/>
      <c r="J80" s="199">
        <f>P19</f>
        <v>72</v>
      </c>
      <c r="K80" s="27"/>
      <c r="L80" s="138"/>
      <c r="M80" s="207"/>
      <c r="N80" s="207"/>
    </row>
    <row r="81" spans="1:14" ht="120" x14ac:dyDescent="0.25">
      <c r="A81" s="4" t="s">
        <v>39</v>
      </c>
      <c r="B81" s="6" t="s">
        <v>56</v>
      </c>
      <c r="C81" s="4" t="s">
        <v>40</v>
      </c>
      <c r="D81" s="4">
        <v>0</v>
      </c>
      <c r="E81" s="4" t="s">
        <v>28</v>
      </c>
      <c r="F81" s="6" t="s">
        <v>31</v>
      </c>
      <c r="G81" s="4">
        <v>2021</v>
      </c>
      <c r="H81" s="5" t="s">
        <v>18</v>
      </c>
      <c r="I81" s="21"/>
      <c r="J81" s="199">
        <f>P15+P25+P37+P56+P61</f>
        <v>34217200</v>
      </c>
      <c r="K81" s="21"/>
      <c r="L81" s="138"/>
      <c r="M81" s="9"/>
      <c r="N81" s="207"/>
    </row>
    <row r="82" spans="1:14" ht="120" x14ac:dyDescent="0.25">
      <c r="A82" s="4" t="s">
        <v>39</v>
      </c>
      <c r="B82" s="6" t="s">
        <v>56</v>
      </c>
      <c r="C82" s="4" t="s">
        <v>40</v>
      </c>
      <c r="D82" s="4">
        <v>0</v>
      </c>
      <c r="E82" s="6" t="s">
        <v>33</v>
      </c>
      <c r="F82" s="6" t="s">
        <v>31</v>
      </c>
      <c r="G82" s="4">
        <v>2021</v>
      </c>
      <c r="H82" s="4" t="s">
        <v>18</v>
      </c>
      <c r="I82" s="21"/>
      <c r="J82" s="199">
        <f>P10+P20+P29+P32+P43+P48+P52</f>
        <v>50912356.145882346</v>
      </c>
      <c r="K82" s="21"/>
      <c r="L82" s="138"/>
      <c r="M82" s="9"/>
      <c r="N82" s="207"/>
    </row>
    <row r="83" spans="1:14" ht="120" x14ac:dyDescent="0.25">
      <c r="A83" s="4" t="s">
        <v>29</v>
      </c>
      <c r="B83" s="6" t="s">
        <v>57</v>
      </c>
      <c r="C83" s="4" t="s">
        <v>34</v>
      </c>
      <c r="D83" s="4">
        <v>0</v>
      </c>
      <c r="E83" s="4" t="s">
        <v>28</v>
      </c>
      <c r="F83" s="6" t="s">
        <v>31</v>
      </c>
      <c r="G83" s="4">
        <v>2021</v>
      </c>
      <c r="H83" s="4" t="s">
        <v>18</v>
      </c>
      <c r="I83" s="21"/>
      <c r="J83" s="199">
        <f>P57</f>
        <v>21</v>
      </c>
      <c r="K83" s="199">
        <f>J83</f>
        <v>21</v>
      </c>
      <c r="L83" s="138"/>
      <c r="M83" s="207"/>
      <c r="N83" s="207"/>
    </row>
    <row r="84" spans="1:14" ht="120" x14ac:dyDescent="0.25">
      <c r="A84" s="4" t="s">
        <v>29</v>
      </c>
      <c r="B84" s="6" t="s">
        <v>67</v>
      </c>
      <c r="C84" s="4" t="s">
        <v>34</v>
      </c>
      <c r="D84" s="4">
        <v>0</v>
      </c>
      <c r="E84" s="6" t="s">
        <v>33</v>
      </c>
      <c r="F84" s="6" t="s">
        <v>31</v>
      </c>
      <c r="G84" s="4">
        <v>2021</v>
      </c>
      <c r="H84" s="4" t="s">
        <v>18</v>
      </c>
      <c r="I84" s="21"/>
      <c r="J84" s="22">
        <f>P49</f>
        <v>113</v>
      </c>
      <c r="K84" s="28">
        <f>J84</f>
        <v>113</v>
      </c>
      <c r="L84" s="138"/>
      <c r="M84" s="207"/>
      <c r="N84" s="207"/>
    </row>
    <row r="85" spans="1:14" ht="60" x14ac:dyDescent="0.25">
      <c r="A85" s="200" t="s">
        <v>41</v>
      </c>
      <c r="B85" s="201" t="s">
        <v>60</v>
      </c>
      <c r="C85" s="200" t="s">
        <v>34</v>
      </c>
      <c r="D85" s="200">
        <v>0</v>
      </c>
      <c r="E85" s="200" t="s">
        <v>28</v>
      </c>
      <c r="F85" s="201" t="s">
        <v>31</v>
      </c>
      <c r="G85" s="200">
        <v>2021</v>
      </c>
      <c r="H85" s="200" t="s">
        <v>18</v>
      </c>
      <c r="I85" s="143"/>
      <c r="J85" s="199">
        <f>P16</f>
        <v>63</v>
      </c>
      <c r="K85" s="199">
        <f>J85</f>
        <v>63</v>
      </c>
      <c r="L85" s="140" t="s">
        <v>201</v>
      </c>
      <c r="M85" s="218"/>
      <c r="N85" s="219"/>
    </row>
    <row r="86" spans="1:14" ht="75" x14ac:dyDescent="0.25">
      <c r="A86" s="4" t="s">
        <v>41</v>
      </c>
      <c r="B86" s="6" t="s">
        <v>60</v>
      </c>
      <c r="C86" s="4" t="s">
        <v>34</v>
      </c>
      <c r="D86" s="4">
        <v>0</v>
      </c>
      <c r="E86" s="6" t="s">
        <v>33</v>
      </c>
      <c r="F86" s="6" t="s">
        <v>31</v>
      </c>
      <c r="G86" s="4">
        <v>2021</v>
      </c>
      <c r="H86" s="4" t="s">
        <v>18</v>
      </c>
      <c r="I86" s="21"/>
      <c r="J86" s="199">
        <f>P11</f>
        <v>771.04</v>
      </c>
      <c r="K86" s="199">
        <f>J86</f>
        <v>771.04</v>
      </c>
      <c r="L86" s="211" t="s">
        <v>236</v>
      </c>
      <c r="M86" s="207"/>
      <c r="N86" s="219"/>
    </row>
    <row r="87" spans="1:14" ht="90" x14ac:dyDescent="0.25">
      <c r="A87" s="28" t="s">
        <v>115</v>
      </c>
      <c r="B87" s="1" t="s">
        <v>118</v>
      </c>
      <c r="C87" s="28" t="s">
        <v>34</v>
      </c>
      <c r="D87" s="28">
        <v>0</v>
      </c>
      <c r="E87" s="1" t="s">
        <v>28</v>
      </c>
      <c r="F87" s="1" t="s">
        <v>31</v>
      </c>
      <c r="G87" s="28">
        <v>2021</v>
      </c>
      <c r="H87" s="28" t="s">
        <v>18</v>
      </c>
      <c r="I87" s="21"/>
      <c r="J87" s="199">
        <f>P38+P58</f>
        <v>274</v>
      </c>
      <c r="K87" s="199">
        <f t="shared" ref="K87:K92" si="2">J87</f>
        <v>274</v>
      </c>
      <c r="L87" s="138" t="s">
        <v>201</v>
      </c>
      <c r="M87" s="207"/>
      <c r="N87" s="207"/>
    </row>
    <row r="88" spans="1:14" ht="75" x14ac:dyDescent="0.25">
      <c r="A88" s="28" t="str">
        <f>H33</f>
        <v>Specific result</v>
      </c>
      <c r="B88" s="1" t="str">
        <f>I33</f>
        <v>Presentations of SMEs products at international exhibitions (MVĮ produkcijos pristatymai tarptautinėse parodose)</v>
      </c>
      <c r="C88" s="28" t="str">
        <f>L33</f>
        <v>number</v>
      </c>
      <c r="D88" s="28">
        <v>0</v>
      </c>
      <c r="E88" s="1" t="s">
        <v>33</v>
      </c>
      <c r="F88" s="1" t="s">
        <v>31</v>
      </c>
      <c r="G88" s="28">
        <v>2021</v>
      </c>
      <c r="H88" s="28" t="s">
        <v>18</v>
      </c>
      <c r="I88" s="21"/>
      <c r="J88" s="22">
        <f>P33</f>
        <v>1097</v>
      </c>
      <c r="K88" s="22">
        <f t="shared" si="2"/>
        <v>1097</v>
      </c>
      <c r="L88" s="138"/>
      <c r="M88" s="207"/>
      <c r="N88" s="207"/>
    </row>
    <row r="89" spans="1:14" ht="75" x14ac:dyDescent="0.25">
      <c r="A89" s="28" t="str">
        <f>H39</f>
        <v>Specific result</v>
      </c>
      <c r="B89" s="1" t="str">
        <f>I39</f>
        <v>Presentations of SMEs products at international exhibitions (MVĮ produktų pristatymas tarptautinėse parodose)</v>
      </c>
      <c r="C89" s="28" t="str">
        <f>L39</f>
        <v>number</v>
      </c>
      <c r="D89" s="28">
        <v>0</v>
      </c>
      <c r="E89" s="1" t="s">
        <v>28</v>
      </c>
      <c r="F89" s="1" t="s">
        <v>31</v>
      </c>
      <c r="G89" s="28">
        <v>2021</v>
      </c>
      <c r="H89" s="28" t="s">
        <v>18</v>
      </c>
      <c r="I89" s="21"/>
      <c r="J89" s="22">
        <f>P39</f>
        <v>1097</v>
      </c>
      <c r="K89" s="22">
        <f t="shared" si="2"/>
        <v>1097</v>
      </c>
      <c r="L89" s="138"/>
      <c r="M89" s="207"/>
      <c r="N89" s="207"/>
    </row>
    <row r="90" spans="1:14" ht="45" x14ac:dyDescent="0.25">
      <c r="A90" s="28" t="str">
        <f>H34</f>
        <v>Specific result</v>
      </c>
      <c r="B90" s="1" t="str">
        <f>I34</f>
        <v>Certified products of SMEs (MVĮ sertifikuoti produktai)</v>
      </c>
      <c r="C90" s="28" t="str">
        <f>L34</f>
        <v>number</v>
      </c>
      <c r="D90" s="28">
        <v>0</v>
      </c>
      <c r="E90" s="1" t="s">
        <v>33</v>
      </c>
      <c r="F90" s="1" t="s">
        <v>31</v>
      </c>
      <c r="G90" s="28">
        <v>2021</v>
      </c>
      <c r="H90" s="28" t="s">
        <v>18</v>
      </c>
      <c r="I90" s="21"/>
      <c r="J90" s="22">
        <f>P34</f>
        <v>777</v>
      </c>
      <c r="K90" s="22">
        <f t="shared" si="2"/>
        <v>777</v>
      </c>
      <c r="L90" s="138"/>
      <c r="M90" s="207"/>
      <c r="N90" s="207"/>
    </row>
    <row r="91" spans="1:14" ht="45" x14ac:dyDescent="0.25">
      <c r="A91" s="28" t="str">
        <f>H40</f>
        <v>Specific result</v>
      </c>
      <c r="B91" s="1" t="str">
        <f>I40</f>
        <v>Certified products of SMEs (MVĮ sertifikuoti produktai)</v>
      </c>
      <c r="C91" s="28" t="str">
        <f>L40</f>
        <v>number</v>
      </c>
      <c r="D91" s="28">
        <v>0</v>
      </c>
      <c r="E91" s="1" t="s">
        <v>28</v>
      </c>
      <c r="F91" s="1" t="s">
        <v>31</v>
      </c>
      <c r="G91" s="28">
        <v>2021</v>
      </c>
      <c r="H91" s="28" t="s">
        <v>18</v>
      </c>
      <c r="I91" s="21"/>
      <c r="J91" s="22">
        <f>P40</f>
        <v>905</v>
      </c>
      <c r="K91" s="22">
        <f t="shared" si="2"/>
        <v>905</v>
      </c>
      <c r="L91" s="138"/>
      <c r="M91" s="207"/>
      <c r="N91" s="207"/>
    </row>
    <row r="92" spans="1:14" ht="60" x14ac:dyDescent="0.25">
      <c r="A92" s="28" t="str">
        <f>H44</f>
        <v>Specific result</v>
      </c>
      <c r="B92" s="6" t="str">
        <f>I44</f>
        <v>Cluster membership in international networks (Klasterio narystė tarptautiniuose tinkluose)</v>
      </c>
      <c r="C92" s="4" t="str">
        <f>L44</f>
        <v>number</v>
      </c>
      <c r="D92" s="28">
        <v>0</v>
      </c>
      <c r="E92" s="1" t="s">
        <v>33</v>
      </c>
      <c r="F92" s="1" t="s">
        <v>31</v>
      </c>
      <c r="G92" s="28">
        <v>2021</v>
      </c>
      <c r="H92" s="28" t="s">
        <v>18</v>
      </c>
      <c r="I92" s="21"/>
      <c r="J92" s="22">
        <f>P44</f>
        <v>33</v>
      </c>
      <c r="K92" s="22">
        <f t="shared" si="2"/>
        <v>33</v>
      </c>
      <c r="L92" s="138"/>
      <c r="M92" s="207"/>
      <c r="N92" s="207"/>
    </row>
    <row r="93" spans="1:14" ht="90" x14ac:dyDescent="0.25">
      <c r="A93" s="28" t="s">
        <v>108</v>
      </c>
      <c r="B93" s="89" t="s">
        <v>164</v>
      </c>
      <c r="C93" s="28" t="s">
        <v>34</v>
      </c>
      <c r="D93" s="28">
        <v>0</v>
      </c>
      <c r="E93" s="28" t="s">
        <v>28</v>
      </c>
      <c r="F93" s="1" t="s">
        <v>31</v>
      </c>
      <c r="G93" s="28">
        <v>2021</v>
      </c>
      <c r="H93" s="28" t="s">
        <v>18</v>
      </c>
      <c r="I93" s="4"/>
      <c r="J93" s="199">
        <f>P62</f>
        <v>9.9</v>
      </c>
      <c r="K93" s="199">
        <f>J93</f>
        <v>9.9</v>
      </c>
      <c r="L93" s="138"/>
      <c r="M93" s="207"/>
      <c r="N93" s="207"/>
    </row>
    <row r="94" spans="1:14" ht="90" x14ac:dyDescent="0.25">
      <c r="A94" s="28" t="s">
        <v>108</v>
      </c>
      <c r="B94" s="89" t="s">
        <v>164</v>
      </c>
      <c r="C94" s="28" t="s">
        <v>34</v>
      </c>
      <c r="D94" s="28">
        <v>0</v>
      </c>
      <c r="E94" s="1" t="s">
        <v>33</v>
      </c>
      <c r="F94" s="1" t="s">
        <v>31</v>
      </c>
      <c r="G94" s="28">
        <v>2021</v>
      </c>
      <c r="H94" s="28" t="s">
        <v>18</v>
      </c>
      <c r="I94" s="4"/>
      <c r="J94" s="22">
        <f>P53</f>
        <v>75.600000000000009</v>
      </c>
      <c r="K94" s="22">
        <f>J94</f>
        <v>75.600000000000009</v>
      </c>
      <c r="L94" s="138"/>
      <c r="M94" s="207"/>
      <c r="N94" s="207"/>
    </row>
    <row r="95" spans="1:14" ht="105" x14ac:dyDescent="0.25">
      <c r="A95" s="28" t="s">
        <v>108</v>
      </c>
      <c r="B95" s="89" t="s">
        <v>167</v>
      </c>
      <c r="C95" s="28" t="s">
        <v>34</v>
      </c>
      <c r="D95" s="28">
        <v>0</v>
      </c>
      <c r="E95" s="28" t="s">
        <v>28</v>
      </c>
      <c r="F95" s="1" t="s">
        <v>31</v>
      </c>
      <c r="G95" s="28">
        <v>2021</v>
      </c>
      <c r="H95" s="28" t="s">
        <v>18</v>
      </c>
      <c r="I95" s="4"/>
      <c r="J95" s="199">
        <f>P63</f>
        <v>11</v>
      </c>
      <c r="K95" s="199">
        <f>J95</f>
        <v>11</v>
      </c>
      <c r="L95" s="138"/>
      <c r="M95" s="207"/>
      <c r="N95" s="207"/>
    </row>
    <row r="96" spans="1:14" x14ac:dyDescent="0.25">
      <c r="H96" s="3">
        <f>SUM(H70:H86)</f>
        <v>1798</v>
      </c>
      <c r="I96" s="3">
        <f>SUM(I70:I92)</f>
        <v>1222</v>
      </c>
      <c r="J96" s="3">
        <f>SUM(J70:J95)</f>
        <v>85141600.685882345</v>
      </c>
      <c r="K96" s="3">
        <f>SUM(K70:K95)</f>
        <v>11449.14</v>
      </c>
    </row>
    <row r="97" spans="8:10" x14ac:dyDescent="0.25">
      <c r="H97" t="b">
        <f>H96=O65</f>
        <v>1</v>
      </c>
      <c r="J97" s="3">
        <f>ROUND(J96,3)</f>
        <v>85141600.686000004</v>
      </c>
    </row>
    <row r="98" spans="8:10" x14ac:dyDescent="0.25">
      <c r="J98" t="b">
        <f>J97=P66</f>
        <v>1</v>
      </c>
    </row>
  </sheetData>
  <autoFilter ref="A5:W66" xr:uid="{00000000-0001-0000-0000-000000000000}"/>
  <mergeCells count="156">
    <mergeCell ref="B12:B16"/>
    <mergeCell ref="C12:C16"/>
    <mergeCell ref="D12:D16"/>
    <mergeCell ref="E12:E16"/>
    <mergeCell ref="F12:F16"/>
    <mergeCell ref="G12:G16"/>
    <mergeCell ref="J12:J16"/>
    <mergeCell ref="F6:F11"/>
    <mergeCell ref="C17:C21"/>
    <mergeCell ref="D17:D21"/>
    <mergeCell ref="F17:F21"/>
    <mergeCell ref="P25:P26"/>
    <mergeCell ref="H4:I4"/>
    <mergeCell ref="J4:J5"/>
    <mergeCell ref="V25:V26"/>
    <mergeCell ref="S25:S26"/>
    <mergeCell ref="S20:S21"/>
    <mergeCell ref="J6:J11"/>
    <mergeCell ref="K6:K11"/>
    <mergeCell ref="R4:R5"/>
    <mergeCell ref="J17:J21"/>
    <mergeCell ref="P4:P5"/>
    <mergeCell ref="S4:S5"/>
    <mergeCell ref="Q4:Q5"/>
    <mergeCell ref="K12:K16"/>
    <mergeCell ref="Q25:Q26"/>
    <mergeCell ref="L20:L21"/>
    <mergeCell ref="M20:M21"/>
    <mergeCell ref="N20:N21"/>
    <mergeCell ref="O20:O21"/>
    <mergeCell ref="G54:G58"/>
    <mergeCell ref="G59:G63"/>
    <mergeCell ref="J27:J29"/>
    <mergeCell ref="I25:I26"/>
    <mergeCell ref="I45:I46"/>
    <mergeCell ref="G50:G53"/>
    <mergeCell ref="J45:J53"/>
    <mergeCell ref="K45:K53"/>
    <mergeCell ref="J35:J40"/>
    <mergeCell ref="G22:G26"/>
    <mergeCell ref="K35:K40"/>
    <mergeCell ref="J30:J34"/>
    <mergeCell ref="K30:K34"/>
    <mergeCell ref="J41:J44"/>
    <mergeCell ref="J54:J63"/>
    <mergeCell ref="K54:K63"/>
    <mergeCell ref="K27:K29"/>
    <mergeCell ref="E27:E29"/>
    <mergeCell ref="F27:F29"/>
    <mergeCell ref="G17:G21"/>
    <mergeCell ref="G27:G29"/>
    <mergeCell ref="E41:E44"/>
    <mergeCell ref="F41:F44"/>
    <mergeCell ref="G41:G44"/>
    <mergeCell ref="G45:G49"/>
    <mergeCell ref="H45:H46"/>
    <mergeCell ref="E35:E40"/>
    <mergeCell ref="G35:G40"/>
    <mergeCell ref="F35:F40"/>
    <mergeCell ref="H25:H26"/>
    <mergeCell ref="E22:E26"/>
    <mergeCell ref="F22:F26"/>
    <mergeCell ref="A54:A63"/>
    <mergeCell ref="A45:A53"/>
    <mergeCell ref="B45:B53"/>
    <mergeCell ref="F45:F49"/>
    <mergeCell ref="C59:C63"/>
    <mergeCell ref="D59:D63"/>
    <mergeCell ref="E59:E63"/>
    <mergeCell ref="C45:C49"/>
    <mergeCell ref="D45:D49"/>
    <mergeCell ref="E45:E49"/>
    <mergeCell ref="F59:F63"/>
    <mergeCell ref="C50:C53"/>
    <mergeCell ref="D50:D53"/>
    <mergeCell ref="E50:E53"/>
    <mergeCell ref="F50:F53"/>
    <mergeCell ref="B54:B63"/>
    <mergeCell ref="C54:C58"/>
    <mergeCell ref="D54:D58"/>
    <mergeCell ref="E54:E58"/>
    <mergeCell ref="F54:F58"/>
    <mergeCell ref="A22:A26"/>
    <mergeCell ref="B22:B26"/>
    <mergeCell ref="C22:C26"/>
    <mergeCell ref="D22:D26"/>
    <mergeCell ref="A41:A44"/>
    <mergeCell ref="B41:B44"/>
    <mergeCell ref="A27:A29"/>
    <mergeCell ref="B27:B29"/>
    <mergeCell ref="C27:C29"/>
    <mergeCell ref="C41:C44"/>
    <mergeCell ref="D41:D44"/>
    <mergeCell ref="A35:A40"/>
    <mergeCell ref="B35:B40"/>
    <mergeCell ref="C35:C40"/>
    <mergeCell ref="D35:D40"/>
    <mergeCell ref="Q45:Q46"/>
    <mergeCell ref="R25:R26"/>
    <mergeCell ref="T25:T26"/>
    <mergeCell ref="A4:A5"/>
    <mergeCell ref="B4:B5"/>
    <mergeCell ref="C4:C5"/>
    <mergeCell ref="D4:F4"/>
    <mergeCell ref="G4:G5"/>
    <mergeCell ref="A30:A34"/>
    <mergeCell ref="B30:B34"/>
    <mergeCell ref="C30:C34"/>
    <mergeCell ref="D30:D34"/>
    <mergeCell ref="E30:E34"/>
    <mergeCell ref="B6:B11"/>
    <mergeCell ref="C6:C11"/>
    <mergeCell ref="D6:D11"/>
    <mergeCell ref="E6:E11"/>
    <mergeCell ref="E17:E21"/>
    <mergeCell ref="A17:A21"/>
    <mergeCell ref="B17:B21"/>
    <mergeCell ref="D27:D29"/>
    <mergeCell ref="F30:F34"/>
    <mergeCell ref="A6:A16"/>
    <mergeCell ref="G6:G11"/>
    <mergeCell ref="O45:O46"/>
    <mergeCell ref="L25:L26"/>
    <mergeCell ref="M25:M26"/>
    <mergeCell ref="N25:N26"/>
    <mergeCell ref="O25:O26"/>
    <mergeCell ref="G30:G34"/>
    <mergeCell ref="H20:H21"/>
    <mergeCell ref="J22:J26"/>
    <mergeCell ref="K22:K26"/>
    <mergeCell ref="K17:K21"/>
    <mergeCell ref="I20:I21"/>
    <mergeCell ref="T45:T46"/>
    <mergeCell ref="U45:U46"/>
    <mergeCell ref="V45:V46"/>
    <mergeCell ref="L45:L46"/>
    <mergeCell ref="M45:M46"/>
    <mergeCell ref="N45:N46"/>
    <mergeCell ref="K41:K44"/>
    <mergeCell ref="L4:L5"/>
    <mergeCell ref="M4:N4"/>
    <mergeCell ref="O4:O5"/>
    <mergeCell ref="K4:K5"/>
    <mergeCell ref="U20:U21"/>
    <mergeCell ref="U25:U26"/>
    <mergeCell ref="P45:P46"/>
    <mergeCell ref="U4:U5"/>
    <mergeCell ref="V4:V5"/>
    <mergeCell ref="T20:T21"/>
    <mergeCell ref="V20:V21"/>
    <mergeCell ref="S45:S46"/>
    <mergeCell ref="T4:T5"/>
    <mergeCell ref="R45:R46"/>
    <mergeCell ref="Q20:Q21"/>
    <mergeCell ref="R20:R21"/>
    <mergeCell ref="P20:P21"/>
  </mergeCells>
  <pageMargins left="0.25" right="0.25" top="0.75" bottom="0.75" header="0.3" footer="0.3"/>
  <pageSetup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D19"/>
  <sheetViews>
    <sheetView zoomScale="84" zoomScaleNormal="84" workbookViewId="0">
      <selection activeCell="E15" sqref="E15"/>
    </sheetView>
  </sheetViews>
  <sheetFormatPr defaultColWidth="9.140625" defaultRowHeight="15.75" x14ac:dyDescent="0.25"/>
  <cols>
    <col min="1" max="1" width="9.140625" style="41"/>
    <col min="2" max="2" width="37" style="42" bestFit="1" customWidth="1"/>
    <col min="3" max="3" width="67.85546875" style="43" customWidth="1"/>
    <col min="4" max="4" width="36.85546875" style="34" customWidth="1"/>
    <col min="5" max="16384" width="9.140625" style="33"/>
  </cols>
  <sheetData>
    <row r="1" spans="1:3" x14ac:dyDescent="0.25">
      <c r="A1" s="37" t="s">
        <v>85</v>
      </c>
      <c r="B1" s="36" t="s">
        <v>84</v>
      </c>
      <c r="C1" s="38" t="s">
        <v>83</v>
      </c>
    </row>
    <row r="2" spans="1:3" x14ac:dyDescent="0.25">
      <c r="A2" s="37">
        <v>1</v>
      </c>
      <c r="B2" s="36" t="s">
        <v>20</v>
      </c>
      <c r="C2" s="38" t="s">
        <v>108</v>
      </c>
    </row>
    <row r="3" spans="1:3" x14ac:dyDescent="0.25">
      <c r="A3" s="37">
        <f>A2+1</f>
        <v>2</v>
      </c>
      <c r="B3" s="36" t="s">
        <v>21</v>
      </c>
      <c r="C3" s="44" t="s">
        <v>91</v>
      </c>
    </row>
    <row r="4" spans="1:3" x14ac:dyDescent="0.25">
      <c r="A4" s="37">
        <f t="shared" ref="A4:A19" si="0">A3+1</f>
        <v>3</v>
      </c>
      <c r="B4" s="36" t="s">
        <v>82</v>
      </c>
      <c r="C4" s="38" t="s">
        <v>104</v>
      </c>
    </row>
    <row r="5" spans="1:3" x14ac:dyDescent="0.25">
      <c r="A5" s="37">
        <f t="shared" si="0"/>
        <v>4</v>
      </c>
      <c r="B5" s="36" t="s">
        <v>81</v>
      </c>
      <c r="C5" s="38" t="s">
        <v>87</v>
      </c>
    </row>
    <row r="6" spans="1:3" x14ac:dyDescent="0.25">
      <c r="A6" s="37">
        <f t="shared" si="0"/>
        <v>5</v>
      </c>
      <c r="B6" s="36" t="s">
        <v>6</v>
      </c>
      <c r="C6" s="39">
        <v>0</v>
      </c>
    </row>
    <row r="7" spans="1:3" x14ac:dyDescent="0.25">
      <c r="A7" s="37">
        <f t="shared" si="0"/>
        <v>6</v>
      </c>
      <c r="B7" s="36" t="s">
        <v>30</v>
      </c>
      <c r="C7" s="38" t="s">
        <v>88</v>
      </c>
    </row>
    <row r="8" spans="1:3" x14ac:dyDescent="0.25">
      <c r="A8" s="37">
        <f t="shared" si="0"/>
        <v>7</v>
      </c>
      <c r="B8" s="36" t="s">
        <v>8</v>
      </c>
      <c r="C8" s="35" t="s">
        <v>86</v>
      </c>
    </row>
    <row r="9" spans="1:3" x14ac:dyDescent="0.25">
      <c r="A9" s="37">
        <f t="shared" si="0"/>
        <v>8</v>
      </c>
      <c r="B9" s="36" t="s">
        <v>80</v>
      </c>
      <c r="C9" s="35" t="s">
        <v>89</v>
      </c>
    </row>
    <row r="10" spans="1:3" x14ac:dyDescent="0.25">
      <c r="A10" s="37">
        <f t="shared" si="0"/>
        <v>9</v>
      </c>
      <c r="B10" s="36" t="s">
        <v>79</v>
      </c>
      <c r="C10" s="35" t="s">
        <v>90</v>
      </c>
    </row>
    <row r="11" spans="1:3" ht="173.25" x14ac:dyDescent="0.25">
      <c r="A11" s="37">
        <f t="shared" si="0"/>
        <v>10</v>
      </c>
      <c r="B11" s="36" t="s">
        <v>78</v>
      </c>
      <c r="C11" s="38" t="s">
        <v>96</v>
      </c>
    </row>
    <row r="12" spans="1:3" x14ac:dyDescent="0.25">
      <c r="A12" s="37">
        <f t="shared" si="0"/>
        <v>11</v>
      </c>
      <c r="B12" s="36" t="s">
        <v>77</v>
      </c>
      <c r="C12" s="38" t="s">
        <v>19</v>
      </c>
    </row>
    <row r="13" spans="1:3" x14ac:dyDescent="0.25">
      <c r="A13" s="37">
        <f t="shared" si="0"/>
        <v>12</v>
      </c>
      <c r="B13" s="36" t="s">
        <v>76</v>
      </c>
      <c r="C13" s="46" t="s">
        <v>92</v>
      </c>
    </row>
    <row r="14" spans="1:3" ht="63" x14ac:dyDescent="0.25">
      <c r="A14" s="37">
        <f t="shared" si="0"/>
        <v>13</v>
      </c>
      <c r="B14" s="36" t="s">
        <v>75</v>
      </c>
      <c r="C14" s="47" t="s">
        <v>94</v>
      </c>
    </row>
    <row r="15" spans="1:3" ht="63" x14ac:dyDescent="0.25">
      <c r="A15" s="37">
        <f t="shared" si="0"/>
        <v>14</v>
      </c>
      <c r="B15" s="36" t="s">
        <v>74</v>
      </c>
      <c r="C15" s="45" t="s">
        <v>93</v>
      </c>
    </row>
    <row r="16" spans="1:3" x14ac:dyDescent="0.25">
      <c r="A16" s="37">
        <f t="shared" si="0"/>
        <v>15</v>
      </c>
      <c r="B16" s="36" t="s">
        <v>73</v>
      </c>
      <c r="C16" s="40"/>
    </row>
    <row r="17" spans="1:3" x14ac:dyDescent="0.25">
      <c r="A17" s="37">
        <f t="shared" si="0"/>
        <v>16</v>
      </c>
      <c r="B17" s="36" t="s">
        <v>72</v>
      </c>
      <c r="C17" s="38"/>
    </row>
    <row r="18" spans="1:3" x14ac:dyDescent="0.25">
      <c r="A18" s="37">
        <f>A17+1</f>
        <v>17</v>
      </c>
      <c r="B18" s="36" t="s">
        <v>71</v>
      </c>
      <c r="C18" s="38"/>
    </row>
    <row r="19" spans="1:3" x14ac:dyDescent="0.25">
      <c r="A19" s="37">
        <f t="shared" si="0"/>
        <v>18</v>
      </c>
      <c r="B19" s="36" t="s">
        <v>70</v>
      </c>
      <c r="C19"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D19"/>
  <sheetViews>
    <sheetView zoomScale="84" zoomScaleNormal="84" workbookViewId="0">
      <selection activeCell="F11" sqref="F11"/>
    </sheetView>
  </sheetViews>
  <sheetFormatPr defaultColWidth="9.140625" defaultRowHeight="15.75" x14ac:dyDescent="0.25"/>
  <cols>
    <col min="1" max="1" width="9.140625" style="41"/>
    <col min="2" max="2" width="37" style="42" bestFit="1" customWidth="1"/>
    <col min="3" max="3" width="67.85546875" style="43" customWidth="1"/>
    <col min="4" max="4" width="36.85546875" style="34" customWidth="1"/>
    <col min="5" max="16384" width="9.140625" style="33"/>
  </cols>
  <sheetData>
    <row r="1" spans="1:3" x14ac:dyDescent="0.25">
      <c r="A1" s="37" t="s">
        <v>85</v>
      </c>
      <c r="B1" s="36" t="s">
        <v>84</v>
      </c>
      <c r="C1" s="38" t="s">
        <v>83</v>
      </c>
    </row>
    <row r="2" spans="1:3" x14ac:dyDescent="0.25">
      <c r="A2" s="37">
        <v>1</v>
      </c>
      <c r="B2" s="36" t="s">
        <v>20</v>
      </c>
      <c r="C2" s="38" t="s">
        <v>108</v>
      </c>
    </row>
    <row r="3" spans="1:3" x14ac:dyDescent="0.25">
      <c r="A3" s="37">
        <f>A2+1</f>
        <v>2</v>
      </c>
      <c r="B3" s="36" t="s">
        <v>21</v>
      </c>
      <c r="C3" s="48" t="s">
        <v>95</v>
      </c>
    </row>
    <row r="4" spans="1:3" x14ac:dyDescent="0.25">
      <c r="A4" s="37">
        <f t="shared" ref="A4:A19" si="0">A3+1</f>
        <v>3</v>
      </c>
      <c r="B4" s="36" t="s">
        <v>82</v>
      </c>
      <c r="C4" s="38" t="s">
        <v>103</v>
      </c>
    </row>
    <row r="5" spans="1:3" x14ac:dyDescent="0.25">
      <c r="A5" s="37">
        <f t="shared" si="0"/>
        <v>4</v>
      </c>
      <c r="B5" s="36" t="s">
        <v>81</v>
      </c>
      <c r="C5" s="38" t="s">
        <v>87</v>
      </c>
    </row>
    <row r="6" spans="1:3" x14ac:dyDescent="0.25">
      <c r="A6" s="37">
        <f t="shared" si="0"/>
        <v>5</v>
      </c>
      <c r="B6" s="36" t="s">
        <v>6</v>
      </c>
      <c r="C6" s="39">
        <v>0</v>
      </c>
    </row>
    <row r="7" spans="1:3" x14ac:dyDescent="0.25">
      <c r="A7" s="37">
        <f t="shared" si="0"/>
        <v>6</v>
      </c>
      <c r="B7" s="36" t="s">
        <v>30</v>
      </c>
      <c r="C7" s="38" t="s">
        <v>88</v>
      </c>
    </row>
    <row r="8" spans="1:3" x14ac:dyDescent="0.25">
      <c r="A8" s="37">
        <f t="shared" si="0"/>
        <v>7</v>
      </c>
      <c r="B8" s="36" t="s">
        <v>8</v>
      </c>
      <c r="C8" s="35" t="s">
        <v>86</v>
      </c>
    </row>
    <row r="9" spans="1:3" x14ac:dyDescent="0.25">
      <c r="A9" s="37">
        <f t="shared" si="0"/>
        <v>8</v>
      </c>
      <c r="B9" s="36" t="s">
        <v>80</v>
      </c>
      <c r="C9" s="35" t="s">
        <v>89</v>
      </c>
    </row>
    <row r="10" spans="1:3" x14ac:dyDescent="0.25">
      <c r="A10" s="37">
        <f t="shared" si="0"/>
        <v>9</v>
      </c>
      <c r="B10" s="36" t="s">
        <v>79</v>
      </c>
      <c r="C10" s="35" t="s">
        <v>90</v>
      </c>
    </row>
    <row r="11" spans="1:3" ht="126" x14ac:dyDescent="0.25">
      <c r="A11" s="37">
        <f t="shared" si="0"/>
        <v>10</v>
      </c>
      <c r="B11" s="36" t="s">
        <v>78</v>
      </c>
      <c r="C11" s="38" t="s">
        <v>97</v>
      </c>
    </row>
    <row r="12" spans="1:3" x14ac:dyDescent="0.25">
      <c r="A12" s="37">
        <f t="shared" si="0"/>
        <v>11</v>
      </c>
      <c r="B12" s="36" t="s">
        <v>77</v>
      </c>
      <c r="C12" s="38" t="s">
        <v>19</v>
      </c>
    </row>
    <row r="13" spans="1:3" x14ac:dyDescent="0.25">
      <c r="A13" s="37">
        <f t="shared" si="0"/>
        <v>12</v>
      </c>
      <c r="B13" s="36" t="s">
        <v>76</v>
      </c>
      <c r="C13" s="46" t="s">
        <v>92</v>
      </c>
    </row>
    <row r="14" spans="1:3" ht="63" x14ac:dyDescent="0.25">
      <c r="A14" s="37">
        <f t="shared" si="0"/>
        <v>13</v>
      </c>
      <c r="B14" s="36" t="s">
        <v>75</v>
      </c>
      <c r="C14" s="47" t="s">
        <v>100</v>
      </c>
    </row>
    <row r="15" spans="1:3" ht="63" x14ac:dyDescent="0.25">
      <c r="A15" s="37">
        <f t="shared" si="0"/>
        <v>14</v>
      </c>
      <c r="B15" s="36" t="s">
        <v>74</v>
      </c>
      <c r="C15" s="45" t="s">
        <v>93</v>
      </c>
    </row>
    <row r="16" spans="1:3" x14ac:dyDescent="0.25">
      <c r="A16" s="37">
        <f t="shared" si="0"/>
        <v>15</v>
      </c>
      <c r="B16" s="36" t="s">
        <v>73</v>
      </c>
      <c r="C16" s="40"/>
    </row>
    <row r="17" spans="1:3" x14ac:dyDescent="0.25">
      <c r="A17" s="37">
        <f t="shared" si="0"/>
        <v>16</v>
      </c>
      <c r="B17" s="36" t="s">
        <v>72</v>
      </c>
      <c r="C17" s="38"/>
    </row>
    <row r="18" spans="1:3" x14ac:dyDescent="0.25">
      <c r="A18" s="37">
        <f>A17+1</f>
        <v>17</v>
      </c>
      <c r="B18" s="36" t="s">
        <v>71</v>
      </c>
      <c r="C18" s="38"/>
    </row>
    <row r="19" spans="1:3" x14ac:dyDescent="0.25">
      <c r="A19" s="37">
        <f t="shared" si="0"/>
        <v>18</v>
      </c>
      <c r="B19" s="36" t="s">
        <v>70</v>
      </c>
      <c r="C19" s="3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D19"/>
  <sheetViews>
    <sheetView zoomScale="84" zoomScaleNormal="84" workbookViewId="0">
      <selection activeCell="C2" sqref="C2"/>
    </sheetView>
  </sheetViews>
  <sheetFormatPr defaultColWidth="9.140625" defaultRowHeight="15.75" x14ac:dyDescent="0.25"/>
  <cols>
    <col min="1" max="1" width="9.140625" style="41"/>
    <col min="2" max="2" width="37" style="42" bestFit="1" customWidth="1"/>
    <col min="3" max="3" width="67.85546875" style="43" customWidth="1"/>
    <col min="4" max="4" width="36.85546875" style="34" customWidth="1"/>
    <col min="5" max="16384" width="9.140625" style="33"/>
  </cols>
  <sheetData>
    <row r="1" spans="1:3" x14ac:dyDescent="0.25">
      <c r="A1" s="37" t="s">
        <v>85</v>
      </c>
      <c r="B1" s="36" t="s">
        <v>84</v>
      </c>
      <c r="C1" s="38" t="s">
        <v>83</v>
      </c>
    </row>
    <row r="2" spans="1:3" x14ac:dyDescent="0.25">
      <c r="A2" s="37">
        <v>1</v>
      </c>
      <c r="B2" s="36" t="s">
        <v>20</v>
      </c>
      <c r="C2" s="38" t="s">
        <v>108</v>
      </c>
    </row>
    <row r="3" spans="1:3" x14ac:dyDescent="0.25">
      <c r="A3" s="37">
        <f>A2+1</f>
        <v>2</v>
      </c>
      <c r="B3" s="36" t="s">
        <v>21</v>
      </c>
      <c r="C3" s="48" t="s">
        <v>98</v>
      </c>
    </row>
    <row r="4" spans="1:3" x14ac:dyDescent="0.25">
      <c r="A4" s="37">
        <f t="shared" ref="A4:A19" si="0">A3+1</f>
        <v>3</v>
      </c>
      <c r="B4" s="36" t="s">
        <v>82</v>
      </c>
      <c r="C4" s="38" t="s">
        <v>102</v>
      </c>
    </row>
    <row r="5" spans="1:3" x14ac:dyDescent="0.25">
      <c r="A5" s="37">
        <f t="shared" si="0"/>
        <v>4</v>
      </c>
      <c r="B5" s="36" t="s">
        <v>81</v>
      </c>
      <c r="C5" s="38" t="s">
        <v>87</v>
      </c>
    </row>
    <row r="6" spans="1:3" x14ac:dyDescent="0.25">
      <c r="A6" s="37">
        <f t="shared" si="0"/>
        <v>5</v>
      </c>
      <c r="B6" s="36" t="s">
        <v>6</v>
      </c>
      <c r="C6" s="39">
        <v>0</v>
      </c>
    </row>
    <row r="7" spans="1:3" x14ac:dyDescent="0.25">
      <c r="A7" s="37">
        <f t="shared" si="0"/>
        <v>6</v>
      </c>
      <c r="B7" s="36" t="s">
        <v>30</v>
      </c>
      <c r="C7" s="38" t="s">
        <v>88</v>
      </c>
    </row>
    <row r="8" spans="1:3" x14ac:dyDescent="0.25">
      <c r="A8" s="37">
        <f t="shared" si="0"/>
        <v>7</v>
      </c>
      <c r="B8" s="36" t="s">
        <v>8</v>
      </c>
      <c r="C8" s="35" t="s">
        <v>86</v>
      </c>
    </row>
    <row r="9" spans="1:3" x14ac:dyDescent="0.25">
      <c r="A9" s="37">
        <f t="shared" si="0"/>
        <v>8</v>
      </c>
      <c r="B9" s="36" t="s">
        <v>80</v>
      </c>
      <c r="C9" s="35" t="s">
        <v>89</v>
      </c>
    </row>
    <row r="10" spans="1:3" x14ac:dyDescent="0.25">
      <c r="A10" s="37">
        <f t="shared" si="0"/>
        <v>9</v>
      </c>
      <c r="B10" s="36" t="s">
        <v>79</v>
      </c>
      <c r="C10" s="35" t="s">
        <v>90</v>
      </c>
    </row>
    <row r="11" spans="1:3" ht="126" x14ac:dyDescent="0.25">
      <c r="A11" s="37">
        <f t="shared" si="0"/>
        <v>10</v>
      </c>
      <c r="B11" s="36" t="s">
        <v>78</v>
      </c>
      <c r="C11" s="38" t="s">
        <v>99</v>
      </c>
    </row>
    <row r="12" spans="1:3" x14ac:dyDescent="0.25">
      <c r="A12" s="37">
        <f t="shared" si="0"/>
        <v>11</v>
      </c>
      <c r="B12" s="36" t="s">
        <v>77</v>
      </c>
      <c r="C12" s="38" t="s">
        <v>19</v>
      </c>
    </row>
    <row r="13" spans="1:3" x14ac:dyDescent="0.25">
      <c r="A13" s="37">
        <f t="shared" si="0"/>
        <v>12</v>
      </c>
      <c r="B13" s="36" t="s">
        <v>76</v>
      </c>
      <c r="C13" s="46" t="s">
        <v>92</v>
      </c>
    </row>
    <row r="14" spans="1:3" ht="78.75" x14ac:dyDescent="0.25">
      <c r="A14" s="37">
        <f t="shared" si="0"/>
        <v>13</v>
      </c>
      <c r="B14" s="36" t="s">
        <v>75</v>
      </c>
      <c r="C14" s="47" t="s">
        <v>101</v>
      </c>
    </row>
    <row r="15" spans="1:3" ht="63" x14ac:dyDescent="0.25">
      <c r="A15" s="37">
        <f t="shared" si="0"/>
        <v>14</v>
      </c>
      <c r="B15" s="36" t="s">
        <v>74</v>
      </c>
      <c r="C15" s="49" t="s">
        <v>93</v>
      </c>
    </row>
    <row r="16" spans="1:3" x14ac:dyDescent="0.25">
      <c r="A16" s="37">
        <f t="shared" si="0"/>
        <v>15</v>
      </c>
      <c r="B16" s="36" t="s">
        <v>73</v>
      </c>
      <c r="C16" s="40"/>
    </row>
    <row r="17" spans="1:3" x14ac:dyDescent="0.25">
      <c r="A17" s="37">
        <f t="shared" si="0"/>
        <v>16</v>
      </c>
      <c r="B17" s="36" t="s">
        <v>72</v>
      </c>
      <c r="C17" s="38"/>
    </row>
    <row r="18" spans="1:3" x14ac:dyDescent="0.25">
      <c r="A18" s="37">
        <f>A17+1</f>
        <v>17</v>
      </c>
      <c r="B18" s="36" t="s">
        <v>71</v>
      </c>
      <c r="C18" s="38"/>
    </row>
    <row r="19" spans="1:3" x14ac:dyDescent="0.25">
      <c r="A19" s="37">
        <f t="shared" si="0"/>
        <v>18</v>
      </c>
      <c r="B19" s="36" t="s">
        <v>70</v>
      </c>
      <c r="C19" s="3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zoomScale="84" zoomScaleNormal="84" workbookViewId="0">
      <selection activeCell="C12" sqref="C12"/>
    </sheetView>
  </sheetViews>
  <sheetFormatPr defaultColWidth="9.140625" defaultRowHeight="15.75" x14ac:dyDescent="0.25"/>
  <cols>
    <col min="1" max="1" width="9.140625" style="41"/>
    <col min="2" max="2" width="37" style="42" bestFit="1" customWidth="1"/>
    <col min="3" max="3" width="67.85546875" style="43" customWidth="1"/>
    <col min="4" max="4" width="36.85546875" style="34" customWidth="1"/>
    <col min="5" max="16384" width="9.140625" style="33"/>
  </cols>
  <sheetData>
    <row r="1" spans="1:3" x14ac:dyDescent="0.25">
      <c r="A1" s="37" t="s">
        <v>85</v>
      </c>
      <c r="B1" s="36" t="s">
        <v>84</v>
      </c>
      <c r="C1" s="38" t="s">
        <v>83</v>
      </c>
    </row>
    <row r="2" spans="1:3" x14ac:dyDescent="0.25">
      <c r="A2" s="37">
        <v>1</v>
      </c>
      <c r="B2" s="36" t="s">
        <v>20</v>
      </c>
      <c r="C2" s="38" t="s">
        <v>108</v>
      </c>
    </row>
    <row r="3" spans="1:3" x14ac:dyDescent="0.25">
      <c r="A3" s="37">
        <f>A2+1</f>
        <v>2</v>
      </c>
      <c r="B3" s="36" t="s">
        <v>21</v>
      </c>
      <c r="C3" s="38" t="s">
        <v>153</v>
      </c>
    </row>
    <row r="4" spans="1:3" x14ac:dyDescent="0.25">
      <c r="A4" s="37">
        <f t="shared" ref="A4:A19" si="0">A3+1</f>
        <v>3</v>
      </c>
      <c r="B4" s="36" t="s">
        <v>82</v>
      </c>
      <c r="C4" s="19" t="s">
        <v>34</v>
      </c>
    </row>
    <row r="5" spans="1:3" x14ac:dyDescent="0.25">
      <c r="A5" s="37">
        <f t="shared" si="0"/>
        <v>4</v>
      </c>
      <c r="B5" s="36" t="s">
        <v>81</v>
      </c>
      <c r="C5" s="38" t="s">
        <v>87</v>
      </c>
    </row>
    <row r="6" spans="1:3" x14ac:dyDescent="0.25">
      <c r="A6" s="37">
        <f t="shared" si="0"/>
        <v>5</v>
      </c>
      <c r="B6" s="36" t="s">
        <v>6</v>
      </c>
      <c r="C6" s="39">
        <v>0</v>
      </c>
    </row>
    <row r="7" spans="1:3" x14ac:dyDescent="0.25">
      <c r="A7" s="37">
        <f t="shared" si="0"/>
        <v>6</v>
      </c>
      <c r="B7" s="36" t="s">
        <v>30</v>
      </c>
      <c r="C7" s="38" t="s">
        <v>88</v>
      </c>
    </row>
    <row r="8" spans="1:3" x14ac:dyDescent="0.25">
      <c r="A8" s="37">
        <f t="shared" si="0"/>
        <v>7</v>
      </c>
      <c r="B8" s="36" t="s">
        <v>8</v>
      </c>
      <c r="C8" s="35" t="s">
        <v>86</v>
      </c>
    </row>
    <row r="9" spans="1:3" x14ac:dyDescent="0.25">
      <c r="A9" s="37">
        <f t="shared" si="0"/>
        <v>8</v>
      </c>
      <c r="B9" s="36" t="s">
        <v>80</v>
      </c>
      <c r="C9" s="35" t="s">
        <v>89</v>
      </c>
    </row>
    <row r="10" spans="1:3" x14ac:dyDescent="0.25">
      <c r="A10" s="37">
        <f t="shared" si="0"/>
        <v>9</v>
      </c>
      <c r="B10" s="36" t="s">
        <v>79</v>
      </c>
      <c r="C10" s="35" t="s">
        <v>90</v>
      </c>
    </row>
    <row r="11" spans="1:3" ht="245.25" customHeight="1" x14ac:dyDescent="0.25">
      <c r="A11" s="37">
        <f t="shared" si="0"/>
        <v>10</v>
      </c>
      <c r="B11" s="36" t="s">
        <v>78</v>
      </c>
      <c r="C11" s="55" t="s">
        <v>154</v>
      </c>
    </row>
    <row r="12" spans="1:3" x14ac:dyDescent="0.25">
      <c r="A12" s="37">
        <f t="shared" si="0"/>
        <v>11</v>
      </c>
      <c r="B12" s="36" t="s">
        <v>77</v>
      </c>
      <c r="C12" s="38" t="s">
        <v>45</v>
      </c>
    </row>
    <row r="13" spans="1:3" x14ac:dyDescent="0.25">
      <c r="A13" s="37">
        <f t="shared" si="0"/>
        <v>12</v>
      </c>
      <c r="B13" s="36" t="s">
        <v>76</v>
      </c>
      <c r="C13" s="46" t="s">
        <v>155</v>
      </c>
    </row>
    <row r="14" spans="1:3" ht="63" x14ac:dyDescent="0.25">
      <c r="A14" s="37">
        <f t="shared" si="0"/>
        <v>13</v>
      </c>
      <c r="B14" s="36" t="s">
        <v>75</v>
      </c>
      <c r="C14" s="47" t="s">
        <v>156</v>
      </c>
    </row>
    <row r="15" spans="1:3" ht="63" x14ac:dyDescent="0.25">
      <c r="A15" s="37">
        <f t="shared" si="0"/>
        <v>14</v>
      </c>
      <c r="B15" s="36" t="s">
        <v>74</v>
      </c>
      <c r="C15" s="49" t="s">
        <v>157</v>
      </c>
    </row>
    <row r="16" spans="1:3" ht="31.5" x14ac:dyDescent="0.25">
      <c r="A16" s="37">
        <f t="shared" si="0"/>
        <v>15</v>
      </c>
      <c r="B16" s="36" t="s">
        <v>73</v>
      </c>
      <c r="C16" s="56" t="s">
        <v>158</v>
      </c>
    </row>
    <row r="17" spans="1:3" x14ac:dyDescent="0.25">
      <c r="A17" s="37">
        <f t="shared" si="0"/>
        <v>16</v>
      </c>
      <c r="B17" s="36" t="s">
        <v>72</v>
      </c>
      <c r="C17" s="38"/>
    </row>
    <row r="18" spans="1:3" x14ac:dyDescent="0.25">
      <c r="A18" s="37">
        <f>A17+1</f>
        <v>17</v>
      </c>
      <c r="B18" s="36" t="s">
        <v>71</v>
      </c>
      <c r="C18" s="38"/>
    </row>
    <row r="19" spans="1:3" x14ac:dyDescent="0.25">
      <c r="A19" s="37">
        <f t="shared" si="0"/>
        <v>18</v>
      </c>
      <c r="B19" s="36" t="s">
        <v>70</v>
      </c>
      <c r="C19" s="38"/>
    </row>
  </sheetData>
  <pageMargins left="0.70866141732283472" right="0.70866141732283472" top="0.74803149606299213" bottom="0.74803149606299213"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84" zoomScaleNormal="84" workbookViewId="0">
      <selection activeCell="C4" sqref="C4"/>
    </sheetView>
  </sheetViews>
  <sheetFormatPr defaultColWidth="9.140625" defaultRowHeight="15.75" x14ac:dyDescent="0.25"/>
  <cols>
    <col min="1" max="1" width="9.140625" style="41"/>
    <col min="2" max="2" width="37" style="42" bestFit="1" customWidth="1"/>
    <col min="3" max="3" width="67.85546875" style="43" customWidth="1"/>
    <col min="4" max="4" width="36.85546875" style="34" customWidth="1"/>
    <col min="5" max="16384" width="9.140625" style="33"/>
  </cols>
  <sheetData>
    <row r="1" spans="1:3" x14ac:dyDescent="0.25">
      <c r="A1" s="37" t="s">
        <v>85</v>
      </c>
      <c r="B1" s="36" t="s">
        <v>84</v>
      </c>
      <c r="C1" s="38" t="s">
        <v>83</v>
      </c>
    </row>
    <row r="2" spans="1:3" x14ac:dyDescent="0.25">
      <c r="A2" s="37">
        <v>1</v>
      </c>
      <c r="B2" s="36" t="s">
        <v>20</v>
      </c>
      <c r="C2" s="38" t="s">
        <v>108</v>
      </c>
    </row>
    <row r="3" spans="1:3" x14ac:dyDescent="0.25">
      <c r="A3" s="37">
        <f>A2+1</f>
        <v>2</v>
      </c>
      <c r="B3" s="36" t="s">
        <v>21</v>
      </c>
      <c r="C3" s="57" t="s">
        <v>159</v>
      </c>
    </row>
    <row r="4" spans="1:3" x14ac:dyDescent="0.25">
      <c r="A4" s="37">
        <f t="shared" ref="A4:A19" si="0">A3+1</f>
        <v>3</v>
      </c>
      <c r="B4" s="36" t="s">
        <v>82</v>
      </c>
      <c r="C4" s="19" t="s">
        <v>34</v>
      </c>
    </row>
    <row r="5" spans="1:3" x14ac:dyDescent="0.25">
      <c r="A5" s="37">
        <f t="shared" si="0"/>
        <v>4</v>
      </c>
      <c r="B5" s="36" t="s">
        <v>81</v>
      </c>
      <c r="C5" s="38" t="s">
        <v>87</v>
      </c>
    </row>
    <row r="6" spans="1:3" x14ac:dyDescent="0.25">
      <c r="A6" s="37">
        <f t="shared" si="0"/>
        <v>5</v>
      </c>
      <c r="B6" s="36" t="s">
        <v>6</v>
      </c>
      <c r="C6" s="39">
        <v>0</v>
      </c>
    </row>
    <row r="7" spans="1:3" x14ac:dyDescent="0.25">
      <c r="A7" s="37">
        <f t="shared" si="0"/>
        <v>6</v>
      </c>
      <c r="B7" s="36" t="s">
        <v>30</v>
      </c>
      <c r="C7" s="38" t="s">
        <v>88</v>
      </c>
    </row>
    <row r="8" spans="1:3" x14ac:dyDescent="0.25">
      <c r="A8" s="37">
        <f t="shared" si="0"/>
        <v>7</v>
      </c>
      <c r="B8" s="36" t="s">
        <v>8</v>
      </c>
      <c r="C8" s="35" t="s">
        <v>86</v>
      </c>
    </row>
    <row r="9" spans="1:3" x14ac:dyDescent="0.25">
      <c r="A9" s="37">
        <f t="shared" si="0"/>
        <v>8</v>
      </c>
      <c r="B9" s="36" t="s">
        <v>80</v>
      </c>
      <c r="C9" s="35" t="s">
        <v>89</v>
      </c>
    </row>
    <row r="10" spans="1:3" x14ac:dyDescent="0.25">
      <c r="A10" s="37">
        <f t="shared" si="0"/>
        <v>9</v>
      </c>
      <c r="B10" s="36" t="s">
        <v>79</v>
      </c>
      <c r="C10" s="35" t="s">
        <v>90</v>
      </c>
    </row>
    <row r="11" spans="1:3" ht="207" customHeight="1" x14ac:dyDescent="0.25">
      <c r="A11" s="37">
        <f t="shared" si="0"/>
        <v>10</v>
      </c>
      <c r="B11" s="36" t="s">
        <v>78</v>
      </c>
      <c r="C11" s="55" t="s">
        <v>160</v>
      </c>
    </row>
    <row r="12" spans="1:3" x14ac:dyDescent="0.25">
      <c r="A12" s="37">
        <f t="shared" si="0"/>
        <v>11</v>
      </c>
      <c r="B12" s="36" t="s">
        <v>77</v>
      </c>
      <c r="C12" s="38" t="s">
        <v>116</v>
      </c>
    </row>
    <row r="13" spans="1:3" x14ac:dyDescent="0.25">
      <c r="A13" s="37">
        <f t="shared" si="0"/>
        <v>12</v>
      </c>
      <c r="B13" s="36" t="s">
        <v>76</v>
      </c>
      <c r="C13" s="46" t="s">
        <v>161</v>
      </c>
    </row>
    <row r="14" spans="1:3" ht="63" x14ac:dyDescent="0.25">
      <c r="A14" s="37">
        <f t="shared" si="0"/>
        <v>13</v>
      </c>
      <c r="B14" s="36" t="s">
        <v>75</v>
      </c>
      <c r="C14" s="47" t="s">
        <v>156</v>
      </c>
    </row>
    <row r="15" spans="1:3" ht="63" x14ac:dyDescent="0.25">
      <c r="A15" s="37">
        <f t="shared" si="0"/>
        <v>14</v>
      </c>
      <c r="B15" s="36" t="s">
        <v>74</v>
      </c>
      <c r="C15" s="49" t="s">
        <v>157</v>
      </c>
    </row>
    <row r="16" spans="1:3" ht="47.25" x14ac:dyDescent="0.25">
      <c r="A16" s="37">
        <f t="shared" si="0"/>
        <v>15</v>
      </c>
      <c r="B16" s="36" t="s">
        <v>73</v>
      </c>
      <c r="C16" s="55" t="s">
        <v>162</v>
      </c>
    </row>
    <row r="17" spans="1:3" x14ac:dyDescent="0.25">
      <c r="A17" s="37">
        <f t="shared" si="0"/>
        <v>16</v>
      </c>
      <c r="B17" s="36" t="s">
        <v>72</v>
      </c>
      <c r="C17" s="38"/>
    </row>
    <row r="18" spans="1:3" ht="63" x14ac:dyDescent="0.25">
      <c r="A18" s="37">
        <f>A17+1</f>
        <v>17</v>
      </c>
      <c r="B18" s="36" t="s">
        <v>71</v>
      </c>
      <c r="C18" s="55" t="s">
        <v>163</v>
      </c>
    </row>
    <row r="19" spans="1:3" x14ac:dyDescent="0.25">
      <c r="A19" s="37">
        <f t="shared" si="0"/>
        <v>18</v>
      </c>
      <c r="B19" s="36" t="s">
        <v>70</v>
      </c>
      <c r="C19" s="38"/>
    </row>
  </sheetData>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1</vt:i4>
      </vt:variant>
    </vt:vector>
  </HeadingPairs>
  <TitlesOfParts>
    <vt:vector size="7" baseType="lpstr">
      <vt:lpstr>1.3</vt:lpstr>
      <vt:lpstr>S.R 1.3.4 (1)</vt:lpstr>
      <vt:lpstr>S.R.1.3.4 (2)</vt:lpstr>
      <vt:lpstr>S.R. 1.3.6</vt:lpstr>
      <vt:lpstr>S.R. 1.3.7 1.3.8</vt:lpstr>
      <vt:lpstr>S.R. 1.3.8 (2)</vt:lpstr>
      <vt:lpstr>'1.3'!Print_Area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2025-11-17T16:11:58Z</dcterms:modified>
</cp:coreProperties>
</file>