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39A27BDB-CF58-4E96-B241-928AAA3570AB}" xr6:coauthVersionLast="47" xr6:coauthVersionMax="47" xr10:uidLastSave="{00000000-0000-0000-0000-000000000000}"/>
  <bookViews>
    <workbookView xWindow="-120" yWindow="-120" windowWidth="29040" windowHeight="15720" tabRatio="610" firstSheet="3" activeTab="3" xr2:uid="{00000000-000D-0000-FFFF-FFFF00000000}"/>
  </bookViews>
  <sheets>
    <sheet name="2PO 2.1 (e)" sheetId="24" state="hidden" r:id="rId1"/>
    <sheet name="2PO 2.1 (eng)" sheetId="19" state="hidden" r:id="rId2"/>
    <sheet name="2PO 2.2 (eng)" sheetId="20" state="hidden" r:id="rId3"/>
    <sheet name="2PO 2.3" sheetId="23" r:id="rId4"/>
    <sheet name="2PO 2.3 (eng)" sheetId="17" state="hidden" r:id="rId5"/>
    <sheet name="F 2.3.1 Specific result" sheetId="25"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23" l="1"/>
  <c r="E6" i="23"/>
  <c r="C15" i="23"/>
  <c r="A17" i="23" l="1"/>
  <c r="A16" i="23"/>
  <c r="B15" i="23"/>
  <c r="A15" i="23"/>
  <c r="C14" i="23"/>
  <c r="B14" i="23"/>
  <c r="A14" i="23"/>
  <c r="D17" i="23" l="1"/>
  <c r="C17" i="23"/>
  <c r="B17" i="23"/>
  <c r="D16" i="23"/>
  <c r="C16" i="23"/>
  <c r="B16" i="23"/>
  <c r="A5" i="25"/>
  <c r="A6" i="25" s="1"/>
  <c r="A7" i="25" s="1"/>
  <c r="A8" i="25" s="1"/>
  <c r="A9" i="25" s="1"/>
  <c r="A10" i="25" s="1"/>
  <c r="A11" i="25" s="1"/>
  <c r="A12" i="25" s="1"/>
  <c r="A13" i="25" s="1"/>
  <c r="A14" i="25" s="1"/>
  <c r="A15" i="25" s="1"/>
  <c r="A16" i="25" s="1"/>
  <c r="A17" i="25" s="1"/>
  <c r="A18" i="25" s="1"/>
  <c r="A19" i="25" s="1"/>
  <c r="A20" i="25" s="1"/>
  <c r="A21" i="25" s="1"/>
  <c r="I17" i="23" l="1"/>
  <c r="I16" i="23"/>
  <c r="I15" i="23"/>
  <c r="H15" i="23"/>
  <c r="I14" i="23"/>
  <c r="H14" i="23"/>
  <c r="H18" i="23" l="1"/>
  <c r="I18" i="23"/>
  <c r="O10" i="23"/>
  <c r="P10" i="23"/>
  <c r="J18" i="23" l="1"/>
  <c r="C11" i="23"/>
  <c r="C10" i="23"/>
  <c r="I38" i="24" l="1"/>
  <c r="H38" i="24"/>
  <c r="I37" i="24"/>
  <c r="H37" i="24"/>
  <c r="I36" i="24"/>
  <c r="D36" i="24"/>
  <c r="I35" i="24"/>
  <c r="D35" i="24"/>
  <c r="I34" i="24"/>
  <c r="D34" i="24"/>
  <c r="I33" i="24"/>
  <c r="D33" i="24"/>
  <c r="I32" i="24"/>
  <c r="H32" i="24"/>
  <c r="I31" i="24"/>
  <c r="H31" i="24"/>
  <c r="I30" i="24"/>
  <c r="H30" i="24"/>
  <c r="I29" i="24"/>
  <c r="H29" i="24"/>
  <c r="I28" i="24"/>
  <c r="H28" i="24"/>
  <c r="D21" i="24"/>
  <c r="E21" i="24" s="1"/>
  <c r="F21" i="24" s="1"/>
  <c r="D17" i="24"/>
  <c r="E17" i="24" s="1"/>
  <c r="F17" i="24" s="1"/>
  <c r="D13" i="24"/>
  <c r="E13" i="24" s="1"/>
  <c r="F13" i="24" s="1"/>
  <c r="D8" i="24"/>
  <c r="E8" i="24" s="1"/>
  <c r="D5" i="24"/>
  <c r="E5" i="24" s="1"/>
  <c r="F5" i="24" l="1"/>
  <c r="F8" i="24"/>
  <c r="F8" i="23"/>
  <c r="E11" i="23"/>
  <c r="F6" i="23"/>
  <c r="G6" i="23" s="1"/>
  <c r="E10" i="23"/>
  <c r="D18" i="17"/>
  <c r="D17" i="17"/>
  <c r="I18" i="17"/>
  <c r="I17" i="17"/>
  <c r="I42" i="19"/>
  <c r="I41" i="19"/>
  <c r="D7" i="19"/>
  <c r="D5" i="19"/>
  <c r="D15" i="20"/>
  <c r="D11" i="20"/>
  <c r="D8" i="20"/>
  <c r="D5" i="20"/>
  <c r="I15" i="17"/>
  <c r="G10" i="23" l="1"/>
  <c r="F10" i="23"/>
  <c r="B6" i="23"/>
  <c r="G8" i="23"/>
  <c r="G11" i="23" s="1"/>
  <c r="F11" i="23"/>
  <c r="B8" i="23"/>
  <c r="I38" i="20"/>
  <c r="H45" i="20"/>
  <c r="H44" i="20"/>
  <c r="D39" i="20"/>
  <c r="D38" i="20"/>
  <c r="I40" i="20"/>
  <c r="H40" i="20"/>
  <c r="I41" i="20"/>
  <c r="H41" i="20"/>
  <c r="I45" i="20"/>
  <c r="I44" i="20"/>
  <c r="I43" i="20"/>
  <c r="H43" i="20"/>
  <c r="I42" i="20"/>
  <c r="H42" i="20"/>
  <c r="I39" i="20"/>
  <c r="D31" i="20"/>
  <c r="E31" i="20" s="1"/>
  <c r="F31" i="20" s="1"/>
  <c r="D27" i="20"/>
  <c r="E27" i="20" s="1"/>
  <c r="F27" i="20" s="1"/>
  <c r="D23" i="20"/>
  <c r="E23" i="20" s="1"/>
  <c r="F23" i="20" s="1"/>
  <c r="D19" i="20"/>
  <c r="E19" i="20" s="1"/>
  <c r="F19" i="20" s="1"/>
  <c r="E15" i="20"/>
  <c r="F15" i="20" s="1"/>
  <c r="E11" i="20"/>
  <c r="F11" i="20" s="1"/>
  <c r="E8" i="20"/>
  <c r="F8" i="20" s="1"/>
  <c r="E5" i="20"/>
  <c r="F5" i="20" s="1"/>
  <c r="I48" i="19"/>
  <c r="H48" i="19"/>
  <c r="I47" i="19"/>
  <c r="H47" i="19"/>
  <c r="I46" i="19"/>
  <c r="H46" i="19"/>
  <c r="I45" i="19"/>
  <c r="H45" i="19"/>
  <c r="I44" i="19"/>
  <c r="D44" i="19"/>
  <c r="I43" i="19"/>
  <c r="D43" i="19"/>
  <c r="J43" i="19" s="1"/>
  <c r="D42" i="19"/>
  <c r="D41" i="19"/>
  <c r="I40" i="19"/>
  <c r="H40" i="19"/>
  <c r="I39" i="19"/>
  <c r="H39" i="19"/>
  <c r="I38" i="19"/>
  <c r="H38" i="19"/>
  <c r="I37" i="19"/>
  <c r="H37" i="19"/>
  <c r="I36" i="19"/>
  <c r="H36" i="19"/>
  <c r="I35" i="19"/>
  <c r="H35" i="19"/>
  <c r="D28" i="19"/>
  <c r="E28" i="19" s="1"/>
  <c r="F28" i="19" s="1"/>
  <c r="D25" i="19"/>
  <c r="E25" i="19" s="1"/>
  <c r="F25" i="19" s="1"/>
  <c r="D23" i="19"/>
  <c r="E23" i="19" s="1"/>
  <c r="F23" i="19" s="1"/>
  <c r="D21" i="19"/>
  <c r="E21" i="19" s="1"/>
  <c r="F21" i="19" s="1"/>
  <c r="D19" i="19"/>
  <c r="E19" i="19" s="1"/>
  <c r="F19" i="19" s="1"/>
  <c r="D17" i="19"/>
  <c r="E17" i="19" s="1"/>
  <c r="F17" i="19" s="1"/>
  <c r="D14" i="19"/>
  <c r="E14" i="19" s="1"/>
  <c r="F14" i="19" s="1"/>
  <c r="D10" i="19"/>
  <c r="E10" i="19" s="1"/>
  <c r="F10" i="19" s="1"/>
  <c r="E7" i="19"/>
  <c r="F7" i="19" s="1"/>
  <c r="E5" i="19"/>
  <c r="F5" i="19" s="1"/>
  <c r="I16" i="17"/>
  <c r="H16" i="17"/>
  <c r="H15" i="17"/>
  <c r="D11" i="17"/>
  <c r="E11" i="17" s="1"/>
  <c r="F11" i="17" s="1"/>
  <c r="D9" i="17"/>
  <c r="E9" i="17" s="1"/>
  <c r="F9" i="17" s="1"/>
  <c r="D7" i="17"/>
  <c r="E7" i="17" s="1"/>
  <c r="F7" i="17" s="1"/>
  <c r="D5" i="17"/>
  <c r="E5" i="17" s="1"/>
  <c r="F5" i="17" s="1"/>
  <c r="J38" i="20" l="1"/>
  <c r="J44" i="19"/>
  <c r="J39"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D5" authorId="0" shapeId="0" xr:uid="{00000000-0006-0000-00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administrative costs ar not included into calculation of co financing rate</t>
        </r>
      </text>
    </comment>
    <comment ref="D21" authorId="0" shapeId="0" xr:uid="{00000000-0006-0000-0000-000002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Planuojama projektams skirti ES lėšų iki 70 proc., kur iki 40 proc. sudarytų subsidija, apie 30 proc. FI (ilgalaikė paskola). Kadangi paskola ilgalaikė, tad grįžtančių lėšų efektas rodikliams pasijus greičiausiai po 2029 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D5" authorId="0" shapeId="0" xr:uid="{00000000-0006-0000-01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administrative costs ar not included into calculation of co financing rate</t>
        </r>
      </text>
    </comment>
    <comment ref="D17" authorId="0" shapeId="0" xr:uid="{00000000-0006-0000-0100-000002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preliminariai paramos intensyvumas 70 proc.</t>
        </r>
      </text>
    </comment>
    <comment ref="D21" authorId="0" shapeId="0" xr:uid="{00000000-0006-0000-0100-000003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preliminariai paramos intensyvumas 70 proc.</t>
        </r>
      </text>
    </comment>
    <comment ref="D25" authorId="0" shapeId="0" xr:uid="{00000000-0006-0000-0100-000004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preliminariai 50 proc. paramos intensyvumas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D5" authorId="0" shapeId="0" xr:uid="{00000000-0006-0000-02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administrative costs are not included in the calculation of co-financing rate.</t>
        </r>
      </text>
    </comment>
    <comment ref="D8" authorId="0" shapeId="0" xr:uid="{00000000-0006-0000-0200-000002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administrative costs of 4,11 percent are excluded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C8" authorId="0" shapeId="0" xr:uid="{00000000-0006-0000-0300-000001000000}">
      <text>
        <r>
          <rPr>
            <b/>
            <sz val="9"/>
            <color indexed="81"/>
            <rFont val="Tahoma"/>
            <family val="2"/>
            <charset val="186"/>
          </rPr>
          <t>Autorius:</t>
        </r>
        <r>
          <rPr>
            <sz val="9"/>
            <color indexed="81"/>
            <rFont val="Tahoma"/>
            <family val="2"/>
            <charset val="186"/>
          </rPr>
          <t xml:space="preserve">
2.500.000 BJR</t>
        </r>
      </text>
    </comment>
  </commentList>
</comments>
</file>

<file path=xl/sharedStrings.xml><?xml version="1.0" encoding="utf-8"?>
<sst xmlns="http://schemas.openxmlformats.org/spreadsheetml/2006/main" count="1101" uniqueCount="301">
  <si>
    <t>Action Veiksmas</t>
  </si>
  <si>
    <t>Total allocation of action level (indicated) Bendras veiksmų lygio paskirstymas</t>
  </si>
  <si>
    <t>Intervention field</t>
  </si>
  <si>
    <t>Rodiklis</t>
  </si>
  <si>
    <t>Rodiklio matavimo vienetas</t>
  </si>
  <si>
    <t xml:space="preserve">Rodiklio pradinė </t>
  </si>
  <si>
    <t>Rodiklio tarpinė 2024 m. reikšmė</t>
  </si>
  <si>
    <t>Rodiklio siektina 2029 m. reikšmė</t>
  </si>
  <si>
    <t>Duomenų šaltinis</t>
  </si>
  <si>
    <t>Rodiklio siektinų reikšmų apskaičiavimo metodika</t>
  </si>
  <si>
    <t>code and name</t>
  </si>
  <si>
    <t>co-financing rate (Eur.)</t>
  </si>
  <si>
    <t>Rodiklio kodas</t>
  </si>
  <si>
    <t>Rodiklio pavadinimas</t>
  </si>
  <si>
    <t>reikšmė</t>
  </si>
  <si>
    <t>metai</t>
  </si>
  <si>
    <t>ERPF</t>
  </si>
  <si>
    <t>Vidurio ir Vakarų Lietuvos regionas</t>
  </si>
  <si>
    <r>
      <t>allocation 2021-</t>
    </r>
    <r>
      <rPr>
        <b/>
        <sz val="11"/>
        <color theme="1"/>
        <rFont val="Calibri"/>
        <family val="2"/>
        <charset val="186"/>
        <scheme val="minor"/>
      </rPr>
      <t xml:space="preserve"> 2027 used for calculation of 2029 target </t>
    </r>
  </si>
  <si>
    <t>Konkretus uždavinys – 2.1. Skatinti naudoti energijos vartojimo efektyvumą didinančias priemones ir mažinti šiltnamio dujų išmetimus</t>
  </si>
  <si>
    <t xml:space="preserve">allocation 2021- 2027 used for calculation of 2029 target </t>
  </si>
  <si>
    <t>Regiono kategorija veiklai</t>
  </si>
  <si>
    <t>Fondas  veiklai</t>
  </si>
  <si>
    <t>RCR 26</t>
  </si>
  <si>
    <t>SaF</t>
  </si>
  <si>
    <t>RCO 18</t>
  </si>
  <si>
    <t>RCO 19</t>
  </si>
  <si>
    <t>RCO 20</t>
  </si>
  <si>
    <t>RCR 33</t>
  </si>
  <si>
    <t>MWh</t>
  </si>
  <si>
    <t>Konkretus uždavinys – 2.2. Skatinti naudoti atsinaujinančiąją energiją</t>
  </si>
  <si>
    <t>RCO 22</t>
  </si>
  <si>
    <t>km</t>
  </si>
  <si>
    <t>m2</t>
  </si>
  <si>
    <t>vnt.</t>
  </si>
  <si>
    <t xml:space="preserve"> m2</t>
  </si>
  <si>
    <t>RCR 29</t>
  </si>
  <si>
    <t>-</t>
  </si>
  <si>
    <t>RCR29</t>
  </si>
  <si>
    <t>RCR33</t>
  </si>
  <si>
    <t>RCO19</t>
  </si>
  <si>
    <t xml:space="preserve">RCR 29 </t>
  </si>
  <si>
    <t>Konkretus uždavinys - 2.3. Kurti pažangiąsias elektros energijos sistemas ir tinklus, taip pat energijos kaupimo sprendimus už TEN-E ribų</t>
  </si>
  <si>
    <t>Finansinė proporcija (EU+ nacionalinis), Eur</t>
  </si>
  <si>
    <t xml:space="preserve">Finansinė proporcija (EU+ nacionalinis)(Eur.) </t>
  </si>
  <si>
    <r>
      <t>50 proc. numatytų lėšų (13,45 MEUR) bus investuojama bendrai į šilumos, karšto vandens apskaitos prietaisų modernizavimą ir valdymo sistemas. Daroma prielaida, kad po  50 proc. (po 6,725 MEUR)  investicijų bus skirta šilumos apskaitos modernizavimui ir karšto vandens skaitiklių modernizavimui. Vadovaujantis LŠTA duomenimis, 1 įvadinio šilumos skaitiklio įrengimas/modernizavimas su visa nuotoline sistema kainuoja apie 1500 eur, karšto vandens skaitiklio įrengimas su visa nuotoline sistema kainuoja 100 eurų. Tad iki 2029 m. bendrai galima įrengti/modernizuoti (6725000/1500)+(6725000/100)</t>
    </r>
    <r>
      <rPr>
        <sz val="10"/>
        <rFont val="Calibri"/>
        <family val="2"/>
      </rPr>
      <t>=71750 vnt</t>
    </r>
    <r>
      <rPr>
        <sz val="10"/>
        <rFont val="Calibri"/>
        <family val="2"/>
        <scheme val="minor"/>
      </rPr>
      <t>. Daroma prielaida, kad iki 2024 m. bus investuota apie 30 proc. lėšų, atitinkamai bus įrengta apie (71750x0,3)=21525 vnt.</t>
    </r>
  </si>
  <si>
    <r>
      <t>Finansinė proporcija (EU+ kofinansavimas)(Eur.)</t>
    </r>
    <r>
      <rPr>
        <i/>
        <sz val="10"/>
        <color rgb="FFFF0000"/>
        <rFont val="Calibri"/>
        <family val="2"/>
        <charset val="186"/>
        <scheme val="minor"/>
      </rPr>
      <t xml:space="preserve">                         </t>
    </r>
    <r>
      <rPr>
        <b/>
        <sz val="10"/>
        <rFont val="Calibri"/>
        <family val="2"/>
        <charset val="186"/>
        <scheme val="minor"/>
      </rPr>
      <t xml:space="preserve"> </t>
    </r>
  </si>
  <si>
    <t>n/a</t>
  </si>
  <si>
    <t xml:space="preserve">Total allocation of action level (indicated)  </t>
  </si>
  <si>
    <t xml:space="preserve">co-financing rate (Eur.) </t>
  </si>
  <si>
    <t>SVĮ įmonės vidutiniškai sunaudoja (SVĮ įmones, nuo 30 iki 400 kW leistinosios naudoti elektros galios)  100 MWh/metus (ESo duomenys). Pagal Klimato kaitos programos  įgyvendinimo rezultatus bei energijos vartojimo auditų ataskaitų įmonėse duomenų analizę, daroma prielaida, kad įgyvendinus energijos vartojimo audito ataskaitose nurodytas energijos efektyvumo priemones (įgyvendinus projektus), energijos efektyvumas vidutiniškai padidės 20 %.  Pradinė reikšmė būtų (Įmonių skaičius*vidutinis įmonės suvartojimas) 129x100. Siektina reikšmė būtų (Įmonių skaičius*vidutinis įmonės suvartojimas)- (Įmonių skaičius*vidutinis įmonės suvartojimas*efektyvumo padidėjimas)(129x100)-(129x100x0,2)=10320 MWh/metus</t>
  </si>
  <si>
    <r>
      <rPr>
        <u/>
        <sz val="10"/>
        <color theme="1"/>
        <rFont val="Calibri"/>
        <family val="2"/>
        <scheme val="minor"/>
      </rPr>
      <t>Pradinė reikšmė:</t>
    </r>
    <r>
      <rPr>
        <sz val="10"/>
        <color theme="1"/>
        <rFont val="Calibri"/>
        <family val="2"/>
        <scheme val="minor"/>
      </rPr>
      <t xml:space="preserve"> senas neefektyvus šilumos gamybos įrenginys per metus sunaudoja vidut. 5,7 TNE pirminio kuro energijos, t.y. 5,7x11,628=66,28 MWh (konversijos koeficientas 1 TNE = 11,628 MWh.). 15400 namų ūkių įrenginių suvartoja 15400x66,28=1.020.712 MWh/metus. </t>
    </r>
    <r>
      <rPr>
        <u/>
        <sz val="10"/>
        <color theme="1"/>
        <rFont val="Calibri"/>
        <family val="2"/>
        <scheme val="minor"/>
      </rPr>
      <t>Galutinė reikšmė:</t>
    </r>
    <r>
      <rPr>
        <sz val="10"/>
        <color theme="1"/>
        <rFont val="Calibri"/>
        <family val="2"/>
        <scheme val="minor"/>
      </rPr>
      <t xml:space="preserve"> naujas šilumos gamybos įrenginys per metus vidutiniškai sunaudoja 1,8 TNE pirminio kuro energijos arba 1,8x11,628=20,9 MWh. 15400 namų ūkių įrenginių suvartos 15400x20,9=321860 MWh/metus.</t>
    </r>
  </si>
  <si>
    <r>
      <rPr>
        <u/>
        <sz val="10"/>
        <color theme="1"/>
        <rFont val="Calibri"/>
        <family val="2"/>
        <scheme val="minor"/>
      </rPr>
      <t>Pradinė  reikšmė</t>
    </r>
    <r>
      <rPr>
        <sz val="10"/>
        <color theme="1"/>
        <rFont val="Calibri"/>
        <family val="2"/>
        <scheme val="minor"/>
      </rPr>
      <t xml:space="preserve">: senas neefektyvus šilumos gamybos įrenginys per metus sunaudoja vidut. 5,7 TNE pirminio kuro energijos, t.y. 5,7x11,628=66,28 MWh (konversijos koeficientas 1 TNE = 11,628 MWh.). 28600 namų ūkių įrenginių suvartoja 28600x66,28=1895608 MWh/metus. </t>
    </r>
    <r>
      <rPr>
        <u/>
        <sz val="10"/>
        <color theme="1"/>
        <rFont val="Calibri"/>
        <family val="2"/>
        <scheme val="minor"/>
      </rPr>
      <t xml:space="preserve">GAlutinė reikšmė: </t>
    </r>
    <r>
      <rPr>
        <sz val="10"/>
        <color theme="1"/>
        <rFont val="Calibri"/>
        <family val="2"/>
        <scheme val="minor"/>
      </rPr>
      <t>naujas šilumos gamybos įrenginys per metus vidutiniškai sunaudoja 1,8 TNE pirminio kuro energijos arba 1,8x11,628=20,9 MWh. 28600 namų ūkių įrenginių suvartos 28600x20,9=597740 MWh/metus.</t>
    </r>
  </si>
  <si>
    <r>
      <rPr>
        <u/>
        <sz val="10"/>
        <color theme="1"/>
        <rFont val="Calibri"/>
        <family val="2"/>
        <scheme val="minor"/>
      </rPr>
      <t>Pradinė reikšmė:</t>
    </r>
    <r>
      <rPr>
        <sz val="10"/>
        <color theme="1"/>
        <rFont val="Calibri"/>
        <family val="2"/>
        <scheme val="minor"/>
      </rPr>
      <t xml:space="preserve"> 22 440 000 kWh/metus x 0,1 kgCO2/kWh (taršos faktorius)= 2 244 000 kgCO2 ~ 2 244 tCO2/metus. GAlutinė reikšmė: 15 708 000x0,1 = 1 570 800 kgCO2/metus ~ 1571 tCO2/metus.</t>
    </r>
  </si>
  <si>
    <r>
      <rPr>
        <i/>
        <sz val="10"/>
        <color rgb="FF7030A0"/>
        <rFont val="Calibri"/>
        <family val="2"/>
        <scheme val="minor"/>
      </rPr>
      <t>Rodikliai skaičiuojami su 70 proc. intensyvumu, išlaikant tą pačią finansavimo schemą kaip ir 2014-2020 m.</t>
    </r>
    <r>
      <rPr>
        <sz val="10"/>
        <rFont val="Calibri"/>
        <family val="2"/>
        <scheme val="minor"/>
      </rPr>
      <t xml:space="preserve">Pagal 2014–2020 metų VP) įgyvendinimą ir gautų projektų informaciją, vid. investicijų poreikis pastato atnaujinimui siekia 345 Eur/m², tad su intervencijų kategorijai numatyta bendra lėšų suma galima būtų atnaujinti apie </t>
    </r>
    <r>
      <rPr>
        <sz val="10"/>
        <color theme="1"/>
        <rFont val="Calibri"/>
        <family val="2"/>
        <scheme val="minor"/>
      </rPr>
      <t xml:space="preserve"> 53142857,1/ 345 = ~ 155 tūkst. m²; Daroma prielaida, kad iki 2024 m. bus investuota   apie 10 proc. lėšų ir atnaujinta apie 15,5 tūks. m²  </t>
    </r>
  </si>
  <si>
    <r>
      <rPr>
        <u/>
        <sz val="10"/>
        <color theme="1"/>
        <rFont val="Calibri"/>
        <family val="2"/>
        <scheme val="minor"/>
      </rPr>
      <t>Pradinė  reikšmė</t>
    </r>
    <r>
      <rPr>
        <sz val="10"/>
        <color theme="1"/>
        <rFont val="Calibri"/>
        <family val="2"/>
        <scheme val="minor"/>
      </rPr>
      <t xml:space="preserve"> yra 155 000 m2 x 220kWh/m²/metus = 34 100 MWh/metus. </t>
    </r>
    <r>
      <rPr>
        <u/>
        <sz val="10"/>
        <color theme="1"/>
        <rFont val="Calibri"/>
        <family val="2"/>
        <scheme val="minor"/>
      </rPr>
      <t>Galutinė reikšmė</t>
    </r>
    <r>
      <rPr>
        <sz val="10"/>
        <color theme="1"/>
        <rFont val="Calibri"/>
        <family val="2"/>
        <scheme val="minor"/>
      </rPr>
      <t>: apskaičiuota, siekiant sutaupyti atnaujintuose pastatuose ne mažiau kaip 30 proc. (30 proc. įtvirtinta ir LRV viešųjų pastatų atnaujinimo programoje) pirminės energijos: 34100 x 70 % = 23870 MWh/metus</t>
    </r>
  </si>
  <si>
    <r>
      <t>SVĮ įmonės vidutiniškai sunaudoja (SVĮ įmones, nuo 30 iki 400 kW leistinosios naudoti elektros galios)  100 MWh/metus (ESo duomenys). Pagal Klimato kaitos programos  įgyvendinimo rezultatus bei energijos vartojimo auditų ataskaitų įmonėse duomenų analizę, daroma prielaida, kad įgyvendinus energijos vartojimo audito ataskaitose nurodytas energijos efektyvumo priemones (įgyvendinus projektus), energijos efektyvumas vidutiniškai padidės 20 %.  Pradinė reikšmė būtų (Įmonių skaičius*vidutinis įmonės suvartojimas)70x100. Siektina reikšmė būtų (Įmonių skaičius*vidutinis įmonės suvartojimas)- (Įmonių skaičius*vidutinis įmonės suvartojimas*efektyvumo padidėjimas)(70x100)-(70x100x0,2)</t>
    </r>
    <r>
      <rPr>
        <sz val="10"/>
        <color theme="1"/>
        <rFont val="Calibri"/>
        <family val="2"/>
      </rPr>
      <t>=5600 MWh/metus</t>
    </r>
  </si>
  <si>
    <r>
      <rPr>
        <i/>
        <sz val="10"/>
        <color rgb="FF7030A0"/>
        <rFont val="Calibri"/>
        <family val="2"/>
        <scheme val="minor"/>
      </rPr>
      <t>Rodikliai skaičiuojami su 70 proc. intensyvumu, siekiant neviršyti valstybės pagalbos limitų MVĮ.</t>
    </r>
    <r>
      <rPr>
        <sz val="10"/>
        <color theme="1"/>
        <rFont val="Calibri"/>
        <family val="2"/>
        <scheme val="minor"/>
      </rPr>
      <t>Pagal Klimato kaitos programos priemonės "Privačių juridinių asmenų energijos vartojimo efektyvumo priemonių įgyvendinimas pagal energijos audito ataskaitas" faktinius rezultatus nustatyta, kad vidutiniškai SVĮ įmonės įgyvendinamo EE projekto kaina apie 72.000 EUR parama.  Todėl darant tokią pačią prielaidą dėl skiriamų investicijų apimties SVĮ, pagerinume energijos efektyvumo rodiklius apie 70 įmonių (4991411/72000=</t>
    </r>
    <r>
      <rPr>
        <sz val="10"/>
        <color theme="1"/>
        <rFont val="Calibri"/>
        <family val="2"/>
      </rPr>
      <t>~</t>
    </r>
    <r>
      <rPr>
        <sz val="10"/>
        <color theme="1"/>
        <rFont val="Calibri"/>
        <family val="2"/>
        <scheme val="minor"/>
      </rPr>
      <t>70). Darome prielaidą, kad iki 2024 m. investuosime 20 proc. lėšų, tad tarpinė reikšmė bus 70x0.2</t>
    </r>
    <r>
      <rPr>
        <sz val="10"/>
        <color theme="1"/>
        <rFont val="Calibri"/>
        <family val="2"/>
      </rPr>
      <t>=14 įmonių</t>
    </r>
  </si>
  <si>
    <r>
      <t>Didelės įmonės  vidutiniškai sunaudoja (didelės įmonės, virš 400 kW leistinosios naudoti elektros galios) - 1000 MWh/metus (ESO informacija). Pagal Klimato kaitos programos įgyvendinimo rezultatus  bei energijos vartojimo auditų ataskaitų įmonėse duomenų analizę, daroma prielaida, kad įgyvendinus energijos vartojimo audito ataskaitose nurodytas energijos efektyvumo priemones (įgyvendinus projektus) energijos efektyvumas vidutiniškai padidės 20 %.   Pradinės reikšmė  (Įmonių skaičius*vidutinis įmonės suvartojimas)26x1000. Siektina reikšmė (Įmonių skaičius*vidutinis įmonės suvartojimas)-(Įmonių skaičius*vidutinis įmonės suvartojimas*efektyvumo padidėjimas) (26x1000)-(26x1000x0,2)</t>
    </r>
    <r>
      <rPr>
        <sz val="10"/>
        <color theme="1"/>
        <rFont val="Calibri"/>
        <family val="2"/>
      </rPr>
      <t>=20800MWh per metus</t>
    </r>
  </si>
  <si>
    <r>
      <rPr>
        <i/>
        <sz val="10"/>
        <color rgb="FF7030A0"/>
        <rFont val="Calibri"/>
        <family val="2"/>
        <scheme val="minor"/>
      </rPr>
      <t>Rodikliai skaičiuojami su 50 proc. intensyvumu, siekiant neviršyti valstybės pagalbos limitų didelėms įmonėms</t>
    </r>
    <r>
      <rPr>
        <sz val="10"/>
        <color theme="1"/>
        <rFont val="Calibri"/>
        <family val="2"/>
        <scheme val="minor"/>
      </rPr>
      <t>.Pagal Klimato kaitos programos priemonės "Privačių juridinių asmenų energijos vartojimo efektyvumo priemonių įgyvendinimas pagal energijos audito ataskaitas" faktinius rezultatus nustatyta, kad didelės įmonės vidut. EE projektas siekia apie  400.000 EUR. Todėl bus pagerinti energijos efektyvumo rodikliai apie 26 įmonių. Formulė (10470846/400000=26). Iki 2024 m. planuotume investuoti apie 20 proc. lėšų, todėl tarpinė reikšmė būtų 26x0,2</t>
    </r>
    <r>
      <rPr>
        <sz val="10"/>
        <color theme="1"/>
        <rFont val="Calibri"/>
        <family val="2"/>
      </rPr>
      <t>=5 įmonės</t>
    </r>
  </si>
  <si>
    <r>
      <rPr>
        <i/>
        <sz val="10"/>
        <color rgb="FF7030A0"/>
        <rFont val="Calibri"/>
        <family val="2"/>
        <scheme val="minor"/>
      </rPr>
      <t>Rodikliai skaičiuojami su 50 proc. intensyvumu, siekiant neviršyti valstybės pagalbos limitų didelėms įmonėms.</t>
    </r>
    <r>
      <rPr>
        <sz val="10"/>
        <color theme="1"/>
        <rFont val="Calibri"/>
        <family val="2"/>
        <scheme val="minor"/>
      </rPr>
      <t>Pagal Klimato kaitos programos priemonės "Privačių juridinių asmenų energijos vartojimo efektyvumo priemonių įgyvendinimas pagal energijos audito ataskaitas" faktinius rezultatus nustatyta, kad didelės įmonės vidut. EE projektas siekia apie  400.000 EUR. Todėl bus pagerinti energijos efektyvumo rodikliai apie 48 įmonių. Formulė (19445857/400000=48). Iki 2024 m. planuotume investuoti apie 20 proc. lėšų, todėl tarpinė reikšmė būtų 48x0,2=9 įmonės</t>
    </r>
  </si>
  <si>
    <t>Indicators' calculation method</t>
  </si>
  <si>
    <r>
      <rPr>
        <u/>
        <sz val="10"/>
        <color theme="1"/>
        <rFont val="Calibri"/>
        <family val="2"/>
        <charset val="186"/>
        <scheme val="minor"/>
      </rPr>
      <t>Baseline calculation</t>
    </r>
    <r>
      <rPr>
        <sz val="10"/>
        <color theme="1"/>
        <rFont val="Calibri"/>
        <family val="2"/>
        <scheme val="minor"/>
      </rPr>
      <t xml:space="preserve">: According to 2014-2020 OP implementation results, inefficient household consumes an average 5,7 toe of primary energy or 66,28 MWh (5,7x11,628=66,28 MWh, where 1 toe = 11,628 MWh/year  (conversion factor). 28600 households consume 28600x66,28=1895608 MWh/year primary energy. </t>
    </r>
    <r>
      <rPr>
        <u/>
        <sz val="10"/>
        <color theme="1"/>
        <rFont val="Calibri"/>
        <family val="2"/>
        <charset val="186"/>
        <scheme val="minor"/>
      </rPr>
      <t>Target 2029</t>
    </r>
    <r>
      <rPr>
        <sz val="10"/>
        <color theme="1"/>
        <rFont val="Calibri"/>
        <family val="2"/>
        <scheme val="minor"/>
      </rPr>
      <t>: efficient household consumes an average 1,8 toe of primary energy or 20,9 MWh (1,8x11,628=20,9 MWh). 28600 efficient households consume   28600x20,9=597740 MWh/year.</t>
    </r>
  </si>
  <si>
    <r>
      <rPr>
        <i/>
        <sz val="10"/>
        <color theme="1"/>
        <rFont val="Calibri"/>
        <family val="2"/>
        <charset val="186"/>
        <scheme val="minor"/>
      </rPr>
      <t>Calculation of indicators based on 50 percent fund intensity to maintain the same financial model as in 2014-2020  for district heating sector.</t>
    </r>
    <r>
      <rPr>
        <sz val="10"/>
        <color theme="1"/>
        <rFont val="Calibri"/>
        <family val="2"/>
        <scheme val="minor"/>
      </rPr>
      <t xml:space="preserve"> 50 percent funds (13.456.617,1 EUR) will be invested in the adaptation of DH to work in low temperature regime. According to the ongoing projects in district heating sector, the average costs of 1 m pipeline modernization is 450 EUR. Therefore with 13.456.617,1 EUR  30 km of DH pipeline could be  modernized/adapted. We assume that by 2024, 30 percent of the funds will be invested, so 9 km will be modernized.</t>
    </r>
  </si>
  <si>
    <r>
      <t>50 proc. numatytų lėšų (13.456.617,1 EUR) bus investuojama bendrai į šilumos, karšto vandens apskaitos prietaisų modernizavimą ir valdymo sistemas. Daroma prielaida, kad po  50 proc. (po 6,728308,55 MEUR)  investicijų bus skirta šilumos apskaitos modernizavimui ir karšto vandens skaitiklių modernizavimui. Vadovaujantis LŠTA duomenimis, 1 įvadinio šilumos skaitiklio įrengimas/modernizavimas su visa nuotoline sistema kainuoja apie 1500 eur, karšto vandens skaitiklio įrengimas su visa nuotoline sistema kainuoja 100 eurų. Tad iki 2029 m. bendrai galima įrengti/modernizuoti (6728308,55/1500) + (6728308,55/100) = 71768</t>
    </r>
    <r>
      <rPr>
        <sz val="10"/>
        <rFont val="Calibri"/>
        <family val="2"/>
      </rPr>
      <t xml:space="preserve"> vnt</t>
    </r>
    <r>
      <rPr>
        <sz val="10"/>
        <rFont val="Calibri"/>
        <family val="2"/>
        <scheme val="minor"/>
      </rPr>
      <t>. Daroma prielaida, kad iki 2024 m. bus investuota apie 30 proc. lėšų, atitinkamai bus įrengta apie (71768x0,3)=21530 vnt.</t>
    </r>
  </si>
  <si>
    <r>
      <rPr>
        <i/>
        <sz val="10"/>
        <color rgb="FF7030A0"/>
        <rFont val="Calibri"/>
        <family val="2"/>
        <scheme val="minor"/>
      </rPr>
      <t xml:space="preserve">Rodikliai skaičiuojami su 50 proc. paramos intensyvumu, išlaikant tą pačią finansavimo schemą pareiškėjams, kaip ir 2014-2020 m. </t>
    </r>
    <r>
      <rPr>
        <sz val="10"/>
        <color theme="1"/>
        <rFont val="Calibri"/>
        <family val="2"/>
        <scheme val="minor"/>
      </rPr>
      <t>50 proc. Lėšų (13.456.617,1 EUR) bus investuojama į CŠT pritaikymą darbui žematemperatūriu režimu.Pagal vykdomus projektus vidut. 1 m. vamzdyno pritaikymo/modernizavimo darbų kaina - 450 eurų, tai už 13.456.617,1 EUR galima modernizuoti/pritaikyti 30 km CŠT vamzdyno. Darom prielaidą, kad iki 2024 m. bus investuota 30 proc. lėšų, tad bus modernizuota 9 km.</t>
    </r>
  </si>
  <si>
    <r>
      <rPr>
        <i/>
        <sz val="10"/>
        <color rgb="FF7030A0"/>
        <rFont val="Calibri"/>
        <family val="2"/>
        <scheme val="minor"/>
      </rPr>
      <t>Rodikliai skaičiuojami su 50 proc. intensyvumu, išlaikant tą pačią finansavimo schemą kaip ir 2014-2020 m</t>
    </r>
    <r>
      <rPr>
        <sz val="10"/>
        <color theme="1"/>
        <rFont val="Calibri"/>
        <family val="2"/>
        <scheme val="minor"/>
      </rPr>
      <t>.50 proc. Lėšų (13.456.617,1 EUR) bus investuojama į CŠT pritaikymą darbui žematemperatūriu režimu.Pagal vykdomus projektus vidut. 1 m. vamzdyno pritaikymo/modernizavimo darbų kaina - 450 eurų, tai už 13.456.617,1 EUR galima modernizuoti/pritaikyti 30 km CŠT vamzdyno. Darom prielaidą, kad iki 2024 m. bus investuota 30 proc. lėšų, tad bus modernizuota 9 km.</t>
    </r>
  </si>
  <si>
    <r>
      <t xml:space="preserve">Rodiklio pradinė ir galutinė reikšmės sudaryta iš suvartojimo, diegiant šilumos apskaitos prietaisus bei karšto vandens skaitiklius ir iš suvartojimo, pritaikant CŠT tinklą žematemperatūriui režimui.                                                                                                                                                 50 proc. numatytų lėšų (13.456.617,1 EUR) bus investuojama bendrai į CŠT efektyvinimą/pritaikymą žematemperatūriam darbo režimui. Investavus 13.456.617,1 EUR, pervesti prie žematemperatūrio režimo galima 30 km CŠT vamzdynų.   Vadovaujantis  VERT šilumos nuostolių skaičiuoklę, 1km sąlyginio vamzdyno perėjimas prie žematemperatūrinio šildymo taupo apie 100MWh energijos per metus, tad pritaikius 30 km vamzdyno žematemperatūriam režimui, kasmet būtų taupoma 100x30=3000 MWh.                                                                                                                                                                                                                                                            </t>
    </r>
    <r>
      <rPr>
        <u/>
        <sz val="10"/>
        <color theme="1"/>
        <rFont val="Calibri"/>
        <family val="2"/>
        <scheme val="minor"/>
      </rPr>
      <t>Pradinė  reikšmė</t>
    </r>
    <r>
      <rPr>
        <sz val="10"/>
        <color theme="1"/>
        <rFont val="Calibri"/>
        <family val="2"/>
        <scheme val="minor"/>
      </rPr>
      <t xml:space="preserve">: Vadovaujantis LŠTA šilumos tiekimo įmonių ūkinės veiklos apžvalga 2019,  1 km CŠT vartoja (šilumos nuostoliai)  535 MWh/metus,  </t>
    </r>
    <r>
      <rPr>
        <b/>
        <sz val="10"/>
        <color theme="1"/>
        <rFont val="Calibri"/>
        <family val="2"/>
        <scheme val="minor"/>
      </rPr>
      <t xml:space="preserve">iki modernizavimo </t>
    </r>
    <r>
      <rPr>
        <sz val="10"/>
        <color theme="1"/>
        <rFont val="Calibri"/>
        <family val="2"/>
        <scheme val="minor"/>
      </rPr>
      <t>30 km suvartojo 30x535 =</t>
    </r>
    <r>
      <rPr>
        <b/>
        <sz val="10"/>
        <color theme="1"/>
        <rFont val="Calibri"/>
        <family val="2"/>
        <scheme val="minor"/>
      </rPr>
      <t>16050 MWh/ metus</t>
    </r>
    <r>
      <rPr>
        <sz val="10"/>
        <color theme="1"/>
        <rFont val="Calibri"/>
        <family val="2"/>
        <scheme val="minor"/>
      </rPr>
      <t xml:space="preserve"> (2019 m.), o 2029 m. 30 km tinklo suvartos 16050-3000=</t>
    </r>
    <r>
      <rPr>
        <b/>
        <sz val="10"/>
        <color theme="1"/>
        <rFont val="Calibri"/>
        <family val="2"/>
        <scheme val="minor"/>
      </rPr>
      <t xml:space="preserve">13050 MWh/ metus.                                                                                                                                                                                                               </t>
    </r>
    <r>
      <rPr>
        <sz val="10"/>
        <color theme="1"/>
        <rFont val="Calibri"/>
        <family val="2"/>
        <scheme val="minor"/>
      </rPr>
      <t xml:space="preserve"> Įvadinė apskaita+karšto vandens skatikliai:  pagal LŠTA statistiką 2019 m. per 10000 vnt. įvadinės apskaitos prietaisus praėjo apie 3 500 000 MWh šilumos kiekio vartotojams per metus nenuskaitant jos nuotoliniu būdu, t.y. pro 1 įvadinį  šilumos apskaitos prietaisą praėjo vidut.  350 MWh šiluminės energijos per metus nenuskaitant jos nuotoliniu būdu. Investavus 13.456.617,1 EUR, būtų įdiegta 4500 vnt išmanių įvadinės šilumos apskaitos prietaisų ir 67250 vnt karšto vandens skaitiklių su nuotoliniu duomenu nuskaitymo funkcija. Įdiegus/modernizavus šilumos apskaitą bei atsiskaitomuosius karšto vandens skaitiklius su nuotoliniu duomenų nuskaitymu, bus sutaupoma apie 1 proc. pirminės energijos.</t>
    </r>
    <r>
      <rPr>
        <b/>
        <sz val="10"/>
        <color theme="1"/>
        <rFont val="Calibri"/>
        <family val="2"/>
        <scheme val="minor"/>
      </rPr>
      <t>Iki įdiegimo</t>
    </r>
    <r>
      <rPr>
        <sz val="10"/>
        <color theme="1"/>
        <rFont val="Calibri"/>
        <family val="2"/>
        <scheme val="minor"/>
      </rPr>
      <t xml:space="preserve"> šilumos apskaitos prietaisų su nuotolinio nuskaitymo funkcija šilumos kiekis suvartojamas 4500x350=</t>
    </r>
    <r>
      <rPr>
        <b/>
        <sz val="10"/>
        <color theme="1"/>
        <rFont val="Calibri"/>
        <family val="2"/>
        <scheme val="minor"/>
      </rPr>
      <t>1 575 000 MWh/metus</t>
    </r>
    <r>
      <rPr>
        <sz val="10"/>
        <color theme="1"/>
        <rFont val="Calibri"/>
        <family val="2"/>
        <scheme val="minor"/>
      </rPr>
      <t xml:space="preserve">, </t>
    </r>
    <r>
      <rPr>
        <u/>
        <sz val="10"/>
        <color theme="1"/>
        <rFont val="Calibri"/>
        <family val="2"/>
        <scheme val="minor"/>
      </rPr>
      <t>siekiama reikšmė 2029 m</t>
    </r>
    <r>
      <rPr>
        <sz val="10"/>
        <color theme="1"/>
        <rFont val="Calibri"/>
        <family val="2"/>
        <scheme val="minor"/>
      </rPr>
      <t>. po įvadinės apskaitos modernizavimo ir atsiskaitomųjų skaitiklių įdiegimo  būtų  1575000-15750=</t>
    </r>
    <r>
      <rPr>
        <b/>
        <sz val="10"/>
        <color theme="1"/>
        <rFont val="Calibri"/>
        <family val="2"/>
        <scheme val="minor"/>
      </rPr>
      <t>1559250 MWh/metus</t>
    </r>
    <r>
      <rPr>
        <sz val="10"/>
        <color theme="1"/>
        <rFont val="Calibri"/>
        <family val="2"/>
        <scheme val="minor"/>
      </rPr>
      <t>, kur sutaupymai (nuostolių sumažinimas)  sudaro 1 proc., t.y. 15750 MWh /metus.</t>
    </r>
    <r>
      <rPr>
        <u/>
        <sz val="10"/>
        <color theme="1"/>
        <rFont val="Calibri"/>
        <family val="2"/>
        <scheme val="minor"/>
      </rPr>
      <t xml:space="preserve">Bendra pradinė reikšmė </t>
    </r>
    <r>
      <rPr>
        <sz val="10"/>
        <color theme="1"/>
        <rFont val="Calibri"/>
        <family val="2"/>
        <scheme val="minor"/>
      </rPr>
      <t>16050+1575000=</t>
    </r>
    <r>
      <rPr>
        <b/>
        <sz val="10"/>
        <color theme="1"/>
        <rFont val="Calibri"/>
        <family val="2"/>
        <scheme val="minor"/>
      </rPr>
      <t>1 591 050 MWh/me</t>
    </r>
    <r>
      <rPr>
        <sz val="10"/>
        <color theme="1"/>
        <rFont val="Calibri"/>
        <family val="2"/>
        <scheme val="minor"/>
      </rPr>
      <t xml:space="preserve">tus, </t>
    </r>
    <r>
      <rPr>
        <u/>
        <sz val="10"/>
        <color theme="1"/>
        <rFont val="Calibri"/>
        <family val="2"/>
        <scheme val="minor"/>
      </rPr>
      <t xml:space="preserve">bendra galutinė reikšmė </t>
    </r>
    <r>
      <rPr>
        <sz val="10"/>
        <color theme="1"/>
        <rFont val="Calibri"/>
        <family val="2"/>
        <scheme val="minor"/>
      </rPr>
      <t>13050+1559250=</t>
    </r>
    <r>
      <rPr>
        <b/>
        <sz val="10"/>
        <color theme="1"/>
        <rFont val="Calibri"/>
        <family val="2"/>
        <scheme val="minor"/>
      </rPr>
      <t>1 572 300 MWh/metus.</t>
    </r>
  </si>
  <si>
    <r>
      <t xml:space="preserve">A large entity consumes an average  1000 MWh/year (DSO provided data). It is assumed that having implemented all the EE measures, efficiency will increase by 20 %. </t>
    </r>
    <r>
      <rPr>
        <u/>
        <sz val="10"/>
        <color theme="1"/>
        <rFont val="Calibri"/>
        <family val="2"/>
        <charset val="186"/>
        <scheme val="minor"/>
      </rPr>
      <t>Baseline calculation</t>
    </r>
    <r>
      <rPr>
        <sz val="10"/>
        <color theme="1"/>
        <rFont val="Calibri"/>
        <family val="2"/>
        <scheme val="minor"/>
      </rPr>
      <t>: 48 (number of entities)x1000MWh/year=48000 MWh/year. Target 2029 calculation:(48x1000)-(48x1000x0,2)=38400 MWh/year</t>
    </r>
  </si>
  <si>
    <t>Didelės įmonės  vidutiniškai sunaudoja (didelės įmonės, virš 400 kW leistinosios naudoti elektros galios) - 1000 MWh/metus (ESO informacija). Pagal Klimato kaitos programos įgyvendinimo rezultatus  bei energijos vartojimo auditų ataskaitų įmonėse duomenų analizę, daroma prielaida, kad įgyvendinus energijos vartojimo audito ataskaitose nurodytas energijos efektyvumo priemones (įgyvendinus projektus) energijos efektyvumas vidutiniškai padidės 20 %.   Pradinės reikšmė  (Įmonių skaičius*vidutinis įmonės suvartojimas) 48x1000. Siektina reikšmė: (Įmonių skaičius*vidutinis įmonės suvartojimas)-(Įmonių skaičius*vidutinis įmonės suvartojimas*efektyvumo padidėjimas) (48x1000)-(48x1000x0,2)=38400 MWh per metus</t>
  </si>
  <si>
    <r>
      <rPr>
        <u/>
        <sz val="10"/>
        <color theme="1"/>
        <rFont val="Calibri"/>
        <family val="2"/>
        <scheme val="minor"/>
      </rPr>
      <t>Pradinė reikšmė:</t>
    </r>
    <r>
      <rPr>
        <sz val="10"/>
        <color theme="1"/>
        <rFont val="Calibri"/>
        <family val="2"/>
        <scheme val="minor"/>
      </rPr>
      <t xml:space="preserve"> 102000 m2x220kWh/m²/metus= 22440MWh/metus (220 kWh/m²/metus - VšĮ LEA paskaičiuotas energijos sąnaudų vidurkis iš pastatų sertifikatų) . </t>
    </r>
    <r>
      <rPr>
        <u/>
        <sz val="10"/>
        <color theme="1"/>
        <rFont val="Calibri"/>
        <family val="2"/>
        <scheme val="minor"/>
      </rPr>
      <t xml:space="preserve">Galutinė reikšmė </t>
    </r>
    <r>
      <rPr>
        <sz val="10"/>
        <color theme="1"/>
        <rFont val="Calibri"/>
        <family val="2"/>
        <scheme val="minor"/>
      </rPr>
      <t>apskaičiuota, siekiant sutaupyti atnaujintuose pastatuose ne mažiau kaip 30 proc. (30 proc. įtvirtinta ir LRV viešųjų pastatų atnaujinimo programoje) pirminės energijos: 22440 x 70 % = 15 708 MWh/metus</t>
    </r>
  </si>
  <si>
    <r>
      <rPr>
        <i/>
        <sz val="10"/>
        <color rgb="FF7030A0"/>
        <rFont val="Calibri"/>
        <family val="2"/>
        <scheme val="minor"/>
      </rPr>
      <t>Rodikliai skaičiuojami su 70 proc. intensyvumu, siekiant neviršyti valstybės pagalbos limitų didelėms įmonėms.</t>
    </r>
    <r>
      <rPr>
        <sz val="10"/>
        <color theme="1"/>
        <rFont val="Calibri"/>
        <family val="2"/>
        <scheme val="minor"/>
      </rPr>
      <t>Pagal Klimato kaitos programos priemonės "Privačių juridinių asmenų energijos vartojimo efektyvumo priemonių įgyvendinimas pagal energijos audito ataskaitas" faktinius rezultatus nustatyta, kad vidutiniškai SVĮ įmonės įgyvendinamo EE projekto kaina apie 72.000 EUR. Todėl bus pagerinti energijos efektyvumo rodikliai apie 129 SVĮ. Formulė (9254638/72000=129). Iki 2024 m. planuotume investuoti apie 20 proc. lėšų, todėl tarpinė reikšmė būtų 129x0,2=25 įmonės</t>
    </r>
  </si>
  <si>
    <r>
      <rPr>
        <u/>
        <sz val="10"/>
        <color theme="1"/>
        <rFont val="Calibri"/>
        <family val="2"/>
        <charset val="186"/>
        <scheme val="minor"/>
      </rPr>
      <t>Baseline calculation</t>
    </r>
    <r>
      <rPr>
        <sz val="10"/>
        <color theme="1"/>
        <rFont val="Calibri"/>
        <family val="2"/>
        <scheme val="minor"/>
      </rPr>
      <t xml:space="preserve">: According to 2014-2020 OP implementation results, inefficient household consumes an average 5,7 toe of primary energy or 66,28 MWh (5,7x11,628=66,28 MWh, where 1 toe = 11,628 MWh  (conversion factor). 15400 households consume 15400x66,28=1.020.712 MWh/year primary energy. </t>
    </r>
    <r>
      <rPr>
        <u/>
        <sz val="10"/>
        <color theme="1"/>
        <rFont val="Calibri"/>
        <family val="2"/>
        <charset val="186"/>
        <scheme val="minor"/>
      </rPr>
      <t>Target 2029 calculation</t>
    </r>
    <r>
      <rPr>
        <sz val="10"/>
        <color theme="1"/>
        <rFont val="Calibri"/>
        <family val="2"/>
        <scheme val="minor"/>
      </rPr>
      <t>: efficient household consumes an average 1,8 toe of primary energy or 20,9 MWh (1,8x11,628=20,9 MWh). 15400 efficient households consume   15400x20,9=321860 MWh/year.</t>
    </r>
  </si>
  <si>
    <r>
      <rPr>
        <u/>
        <sz val="10"/>
        <rFont val="Calibri"/>
        <family val="2"/>
        <charset val="186"/>
        <scheme val="minor"/>
      </rPr>
      <t>Baseline calculation</t>
    </r>
    <r>
      <rPr>
        <sz val="10"/>
        <rFont val="Calibri"/>
        <family val="2"/>
        <charset val="186"/>
        <scheme val="minor"/>
      </rPr>
      <t>:  102000 m2  floor area of ineffiecient public buildings consume 22440MWh/year ( 22440MWh/year x220kWh/m²/year= 22440MWh/year, where 220 kWh/m2 - an average annual energy consumption of 1 m2 floor area of  public building  (data provided by Lithuanian Energy Agency) .</t>
    </r>
    <r>
      <rPr>
        <u/>
        <sz val="10"/>
        <rFont val="Calibri"/>
        <family val="2"/>
        <charset val="186"/>
        <scheme val="minor"/>
      </rPr>
      <t>Target 2029 calculation</t>
    </r>
    <r>
      <rPr>
        <sz val="10"/>
        <rFont val="Calibri"/>
        <family val="2"/>
        <charset val="186"/>
        <scheme val="minor"/>
      </rPr>
      <t>:  according to 2014-2020 OP implementation after renovation public buildings cosume at least 30 percent less energy. Therefore 22440MWh/year x 70 % = 15 708 MWh/year.</t>
    </r>
  </si>
  <si>
    <r>
      <t xml:space="preserve">According to 2014-2020 OP implementation data renovation costs of 1 m2 floor area of public building is 345 eur. With 35428571 EUR 102000 m2 floor area of public buildings could be renovated 35428571 /345 = ~ 102000 m². </t>
    </r>
    <r>
      <rPr>
        <u/>
        <sz val="10"/>
        <color theme="1"/>
        <rFont val="Calibri"/>
        <family val="2"/>
        <charset val="186"/>
        <scheme val="minor"/>
      </rPr>
      <t>Milestone 2024:</t>
    </r>
    <r>
      <rPr>
        <sz val="10"/>
        <color theme="1"/>
        <rFont val="Calibri"/>
        <family val="2"/>
        <scheme val="minor"/>
      </rPr>
      <t xml:space="preserve"> it is assumed  that 10 percent of funds will be invested by 2024, then 10200 m2 floor area of public buildings could be renovated.</t>
    </r>
  </si>
  <si>
    <t>According to 2014-2020 OP implementation data renovation costs of 1 m2 floor area of public building is 345 eur. With 53142857,1 EUR 155000 m2 floor area of public buildings could be renovated 53142857,1/ 345 = ~ 155000 m². Milestone 2024: it is assumed  that 10 percent of funds will be invested by 2024, then 15500 m2 floor area of public buildings could be renovated.</t>
  </si>
  <si>
    <r>
      <rPr>
        <u/>
        <sz val="10"/>
        <color theme="1"/>
        <rFont val="Calibri"/>
        <family val="2"/>
        <charset val="186"/>
        <scheme val="minor"/>
      </rPr>
      <t>Baseline calculation</t>
    </r>
    <r>
      <rPr>
        <sz val="10"/>
        <color theme="1"/>
        <rFont val="Calibri"/>
        <family val="2"/>
        <scheme val="minor"/>
      </rPr>
      <t>:  155000 m2  floor area of ineffiecient public buildings consume 22440 MWh/year (155000 m2 x 220kWh/m²/year = 34100 MWh/year, where 220 kWh/m2 - an average annual energy consumption of 1 m2 floor area of  public building  (data provided by Lithuanian Energy Agency) .</t>
    </r>
    <r>
      <rPr>
        <u/>
        <sz val="10"/>
        <color theme="1"/>
        <rFont val="Calibri"/>
        <family val="2"/>
        <charset val="186"/>
        <scheme val="minor"/>
      </rPr>
      <t>Target 2029 calculation:</t>
    </r>
    <r>
      <rPr>
        <sz val="10"/>
        <color theme="1"/>
        <rFont val="Calibri"/>
        <family val="2"/>
        <scheme val="minor"/>
      </rPr>
      <t xml:space="preserve">  according to 2014-2020 OP implementation after renovation public buildings cosume at least 30 percent less energy. Therefore 34100MWh/year x 70 % = 23870 MWh/year.</t>
    </r>
  </si>
  <si>
    <r>
      <rPr>
        <u/>
        <sz val="10"/>
        <color theme="1"/>
        <rFont val="Calibri"/>
        <family val="2"/>
        <scheme val="minor"/>
      </rPr>
      <t>Pradinė reikšmė:</t>
    </r>
    <r>
      <rPr>
        <sz val="10"/>
        <color theme="1"/>
        <rFont val="Calibri"/>
        <family val="2"/>
        <scheme val="minor"/>
      </rPr>
      <t xml:space="preserve"> 34 100 000 kWh/metus x 0,1 kgCO2/kWh (pagal Aplinkos ministro patvirtintame Statybos techniniame reglamente (STR) įvardintą taršos faktorių šilumai iš CŠT) = 3 410 000 kgCO2 ~ 3410 tCO2/metus. </t>
    </r>
    <r>
      <rPr>
        <u/>
        <sz val="10"/>
        <color theme="1"/>
        <rFont val="Calibri"/>
        <family val="2"/>
        <scheme val="minor"/>
      </rPr>
      <t>Galutinė reikšmė:</t>
    </r>
    <r>
      <rPr>
        <sz val="10"/>
        <color theme="1"/>
        <rFont val="Calibri"/>
        <family val="2"/>
        <scheme val="minor"/>
      </rPr>
      <t xml:space="preserve"> 23 870 000 x 0,1 = 2387000 kgCO2/metus ~ 2387 tCO2/metus.</t>
    </r>
  </si>
  <si>
    <r>
      <rPr>
        <u/>
        <sz val="10"/>
        <rFont val="Calibri"/>
        <family val="2"/>
        <charset val="186"/>
        <scheme val="minor"/>
      </rPr>
      <t>Baseline calculation</t>
    </r>
    <r>
      <rPr>
        <sz val="10"/>
        <rFont val="Calibri"/>
        <family val="2"/>
        <charset val="186"/>
        <scheme val="minor"/>
      </rPr>
      <t xml:space="preserve">: 22 440 000 kWh/year x 0,1 kgCO2/kWh (pollution factor for heat from DH according to Technical Regulation of Construction, Ministry of Environment)= 2 244 000 kgCO2 ~ 2 244 tCO2/year. </t>
    </r>
    <r>
      <rPr>
        <u/>
        <sz val="10"/>
        <rFont val="Calibri"/>
        <family val="2"/>
        <charset val="186"/>
        <scheme val="minor"/>
      </rPr>
      <t>Target 2029 calculation</t>
    </r>
    <r>
      <rPr>
        <sz val="10"/>
        <rFont val="Calibri"/>
        <family val="2"/>
        <charset val="186"/>
        <scheme val="minor"/>
      </rPr>
      <t>: 15 708 000x0,1 = 1 570 800 kgCO2/year ~ 1571 tCO2/year.</t>
    </r>
  </si>
  <si>
    <r>
      <rPr>
        <u/>
        <sz val="10"/>
        <color theme="1"/>
        <rFont val="Calibri"/>
        <family val="2"/>
        <charset val="186"/>
        <scheme val="minor"/>
      </rPr>
      <t>Baseline calculation:</t>
    </r>
    <r>
      <rPr>
        <sz val="10"/>
        <color theme="1"/>
        <rFont val="Calibri"/>
        <family val="2"/>
        <scheme val="minor"/>
      </rPr>
      <t xml:space="preserve"> 34 100 000 kWh/year x 0,1 kgCO2/kWh (pollution factor for heat from DH according to Technical Regulation of Construction, Ministry of Environment)= 2 244 000 kgCO2 ~ 2 244 tCO2/year. </t>
    </r>
    <r>
      <rPr>
        <u/>
        <sz val="10"/>
        <color theme="1"/>
        <rFont val="Calibri"/>
        <family val="2"/>
        <charset val="186"/>
        <scheme val="minor"/>
      </rPr>
      <t>Target 2029 calculation</t>
    </r>
    <r>
      <rPr>
        <sz val="10"/>
        <color theme="1"/>
        <rFont val="Calibri"/>
        <family val="2"/>
        <scheme val="minor"/>
      </rPr>
      <t>: 23870 000 x 0,1 = 2387000 kgCO2/year ~ 2387 tCO2/year.</t>
    </r>
  </si>
  <si>
    <r>
      <t>SME consumes an average  100 MWh/year (DSO provided data). It is assumed that having implemented all the EE measures, efficiency will increase by 20 %.</t>
    </r>
    <r>
      <rPr>
        <u/>
        <sz val="10"/>
        <color theme="1"/>
        <rFont val="Calibri"/>
        <family val="2"/>
        <charset val="186"/>
        <scheme val="minor"/>
      </rPr>
      <t xml:space="preserve"> Baseline calculation</t>
    </r>
    <r>
      <rPr>
        <sz val="10"/>
        <color theme="1"/>
        <rFont val="Calibri"/>
        <family val="2"/>
        <scheme val="minor"/>
      </rPr>
      <t xml:space="preserve">: 129 (number of entities)x100MWh/year=12900 MWh/year. </t>
    </r>
    <r>
      <rPr>
        <u/>
        <sz val="10"/>
        <color theme="1"/>
        <rFont val="Calibri"/>
        <family val="2"/>
        <charset val="186"/>
        <scheme val="minor"/>
      </rPr>
      <t>Target 2029 calculation</t>
    </r>
    <r>
      <rPr>
        <sz val="10"/>
        <color theme="1"/>
        <rFont val="Calibri"/>
        <family val="2"/>
        <scheme val="minor"/>
      </rPr>
      <t>:(129x100)-(129x100x0,2)=10320  MWh/year</t>
    </r>
  </si>
  <si>
    <r>
      <t xml:space="preserve">SME consumes an average  100 MWh/year (DSO provided data). It is assumed that having implemented all the EE measures, efficiency will increase by 20 %. </t>
    </r>
    <r>
      <rPr>
        <u/>
        <sz val="10"/>
        <color theme="1"/>
        <rFont val="Calibri"/>
        <family val="2"/>
        <charset val="186"/>
        <scheme val="minor"/>
      </rPr>
      <t>Baseline calculation:</t>
    </r>
    <r>
      <rPr>
        <sz val="10"/>
        <color theme="1"/>
        <rFont val="Calibri"/>
        <family val="2"/>
        <scheme val="minor"/>
      </rPr>
      <t xml:space="preserve"> 70 (number of entities)x100MWh/year=7000 MWh/year. </t>
    </r>
    <r>
      <rPr>
        <u/>
        <sz val="10"/>
        <color theme="1"/>
        <rFont val="Calibri"/>
        <family val="2"/>
        <charset val="186"/>
        <scheme val="minor"/>
      </rPr>
      <t>Target 2029 calculation</t>
    </r>
    <r>
      <rPr>
        <sz val="10"/>
        <color theme="1"/>
        <rFont val="Calibri"/>
        <family val="2"/>
        <scheme val="minor"/>
      </rPr>
      <t>:7000-(70x100x0,2)=5600 MWh/year</t>
    </r>
  </si>
  <si>
    <r>
      <rPr>
        <i/>
        <sz val="10"/>
        <color theme="1"/>
        <rFont val="Calibri"/>
        <family val="2"/>
        <charset val="186"/>
        <scheme val="minor"/>
      </rPr>
      <t>Calculation of indicators based on the 70 percent of funding intensity SME according to GBER.</t>
    </r>
    <r>
      <rPr>
        <sz val="10"/>
        <color theme="1"/>
        <rFont val="Calibri"/>
        <family val="2"/>
        <scheme val="minor"/>
      </rPr>
      <t xml:space="preserve"> According to currently active Climate Change Program's measure which is devoted to private legal entities to implement EE measures proposed by energy audits,  an average SME energy efficiency project  costs ~72000 eur.  With 4991411 eur  70 SME could be supported  (4991411/72000=~70). We assume that that 20 percent of funds will be invested by 2024, so Milestone 2024 will be 70x0,2=14 SME with better energy efficiency.                                                                                                                                     </t>
    </r>
    <r>
      <rPr>
        <i/>
        <sz val="10"/>
        <color theme="1"/>
        <rFont val="Calibri"/>
        <family val="2"/>
        <charset val="186"/>
        <scheme val="minor"/>
      </rPr>
      <t xml:space="preserve">Seeking to calculate number of entities whose energy efficiency was improved special output indicator is proposed for this action. </t>
    </r>
  </si>
  <si>
    <r>
      <rPr>
        <i/>
        <sz val="10"/>
        <color theme="1"/>
        <rFont val="Calibri"/>
        <family val="2"/>
        <charset val="186"/>
        <scheme val="minor"/>
      </rPr>
      <t>Calculation of indicators based on the 70 percent of funding intensity SME according to GBER.</t>
    </r>
    <r>
      <rPr>
        <sz val="10"/>
        <color theme="1"/>
        <rFont val="Calibri"/>
        <family val="2"/>
        <scheme val="minor"/>
      </rPr>
      <t xml:space="preserve"> According to currently active Climate Change Program's measure which is devoted to private legal entities to implement EE measures proposed by energy audits,  an average SME energy efficiency project  costs ~72000 eur.  With 9254638 eur  129 SME  could be supported (9254638/72000=129). We assume that that 20 percent of funds will be invested by 2024, so Milestone 2024 will be 129x0,2=25 SME with better energy efficiency.                                                                                                                </t>
    </r>
    <r>
      <rPr>
        <i/>
        <sz val="10"/>
        <color theme="1"/>
        <rFont val="Calibri"/>
        <family val="2"/>
        <charset val="186"/>
        <scheme val="minor"/>
      </rPr>
      <t>Seeking to calculate number of entities whose energy efficiency was improved special output indicator is proposed for this action.</t>
    </r>
    <r>
      <rPr>
        <sz val="10"/>
        <color theme="1"/>
        <rFont val="Calibri"/>
        <family val="2"/>
        <charset val="186"/>
        <scheme val="minor"/>
      </rPr>
      <t xml:space="preserve"> </t>
    </r>
  </si>
  <si>
    <r>
      <t xml:space="preserve">According to currently active Climate Change Program's measure devoted to private legal entities for the implementation of EE measures proposed by energy audits,  an average financial support of 200000 eur are being invested into EE measures of a large enterprise. With 9,7 MEUR could be supported 5,2/0,2= 26 entities. We assume that that 20 percent of funds will be invested by 2024, so Milestone 2024 will be 26x0,2=5 large entities with better energy efficiency. </t>
    </r>
    <r>
      <rPr>
        <i/>
        <sz val="10"/>
        <color theme="1"/>
        <rFont val="Calibri"/>
        <family val="2"/>
        <charset val="186"/>
        <scheme val="minor"/>
      </rPr>
      <t xml:space="preserve">Seeking to calculate number of entities whose energy efficiency was improved special output indicator is proposed for this action.  </t>
    </r>
  </si>
  <si>
    <r>
      <t>50 percent of funds (13.456.617,1 EUR) will be invested in the modernization of heat and hot water metering devices and management systems. It is assumed that 50 percent (6,728308,55 MEUR) will be used for the modernization of heat metering and 50 percent  (6,728308,55 MEUR) for the modernization of hot water meters. According to the data provide by LDHA, installation/ modernization of 1 introductory heat meter with the whole remote system costs about 1500 euros, installation of hot water meter with the whole remote system costs 100 euros. With investment of  13.456.617,1 EUR  total number of devices (6728308,55/1500) + (6728308,55/100) = 71768 pcs. could be installed / modernized. It is assumed that by 2024, about 30 percent of the funds will be invested, respectively, about (71768x0,3) = 21530 units will be installed.</t>
    </r>
    <r>
      <rPr>
        <i/>
        <sz val="10"/>
        <color theme="1"/>
        <rFont val="Calibri"/>
        <family val="2"/>
        <charset val="186"/>
        <scheme val="minor"/>
      </rPr>
      <t xml:space="preserve">Seeking to calculate number of modernised meters which have remote system special output indicator is proposed for this action. </t>
    </r>
  </si>
  <si>
    <r>
      <t>50 percent of the planned funds (13.456.617,1 EUR) will be invested in the modernization of heat and hot water metering devices and management systems. It is assumed that 50 percent (6,725 MEUR each) will be used for the modernization of heat metering and 50 percent for the modernization of hot water meters. According to the data of LŠTA, installation / modernization of 1 introductory heat meter with the whole remote system costs about 1500 euros, installation of hot water meter with the whole remote system costs 100 euros. So until 2029. can be installed / modernized in total (6725000/1500) + (6725000/100) = 71750 pcs. It is assumed that by 2024, about 30 percent of the funds will be invested, respectively, about (71750x0.3) = 21525 units will be installed.</t>
    </r>
    <r>
      <rPr>
        <i/>
        <sz val="10"/>
        <color theme="1"/>
        <rFont val="Calibri"/>
        <family val="2"/>
        <charset val="186"/>
        <scheme val="minor"/>
      </rPr>
      <t xml:space="preserve">Seeking to calculate number of modernised meters which have remote system special output indicator is proposed for this action. </t>
    </r>
  </si>
  <si>
    <r>
      <t xml:space="preserve">Rodiklio pradinė ir galutinė reikšmės sudaryta iš suvartojimo, diegiant šilumos apskaitos prietaisus bei karšto vandens skaitiklius ir iš suvartojimo, pritaikant CŠT tinklą žematemperatūriui režimui.                                                                                                                                         50 proc. numatytų lėšų (13,45 MEUR) bus investuojama bendrai į CŠT efektyvinimą/pritaikymą žematemperatūriam darbo režimui. Investavus 13,45 MEUR, pervesti prie žematemperatūrio režimo galima 30 km CŠT vamzdynų.   Vadovaujantis  VERT šilumos nuostolių skaičiuoklę, 1km sąlyginio vamzdyno perėjimas prie žematemperatūrinio šildymo taupo apie 100MWh energijos per metus, tad pritaikius 30 km vamzdyno žematemperatūriam režimui, kasmet būtų taupoma 100x30=3000 MWh.                                                                                                                                                                                                                                                            Pradinė energijos  suvartojimo reikšmė: Vadovaujantis LŠTA šilumos tiekimo įmonių ūkinės veiklos apžvalga 2019,  1 km CŠT vartoja (šilumos nuostoliai)  535 MWh/metus,  </t>
    </r>
    <r>
      <rPr>
        <b/>
        <sz val="10"/>
        <color theme="1"/>
        <rFont val="Calibri"/>
        <family val="2"/>
        <scheme val="minor"/>
      </rPr>
      <t xml:space="preserve">iki modernizavimo </t>
    </r>
    <r>
      <rPr>
        <sz val="10"/>
        <color theme="1"/>
        <rFont val="Calibri"/>
        <family val="2"/>
        <scheme val="minor"/>
      </rPr>
      <t>30 km suvartojo 30x535 =</t>
    </r>
    <r>
      <rPr>
        <b/>
        <sz val="10"/>
        <color theme="1"/>
        <rFont val="Calibri"/>
        <family val="2"/>
        <scheme val="minor"/>
      </rPr>
      <t>16050 MWh/ metus</t>
    </r>
    <r>
      <rPr>
        <sz val="10"/>
        <color theme="1"/>
        <rFont val="Calibri"/>
        <family val="2"/>
        <scheme val="minor"/>
      </rPr>
      <t xml:space="preserve"> (2019 m.), o 2029 m. 30 km tinklo suvartos 16050-3000=</t>
    </r>
    <r>
      <rPr>
        <b/>
        <sz val="10"/>
        <color theme="1"/>
        <rFont val="Calibri"/>
        <family val="2"/>
        <scheme val="minor"/>
      </rPr>
      <t xml:space="preserve">13050 MWh/ metus.                                                                                                                                                                                                               </t>
    </r>
    <r>
      <rPr>
        <sz val="10"/>
        <color theme="1"/>
        <rFont val="Calibri"/>
        <family val="2"/>
        <scheme val="minor"/>
      </rPr>
      <t xml:space="preserve"> Įvadinė apskaita+karšto vandens skatikliai: Pradinės reikšmės skaičiavimas: pagal LŠTA statistiką 2019 m. per 10000 vnt. įvadinės apskaitos prietaisus praėjo apie 3 500 000 MWh šilumos kiekio vartotojams per metus nenuskaitant jos nuotoliniu būdu, t.y. pro 1 įvadinį  šilumos apskaitos prietaisą praėjo vidut.  350 MWh šiluminės energijos per metus nenuskaitant jos nuotoliniu būdu. Investavus 13,45 MEUR, būtų įdiegta 4500 vnt išmanių įvadinės šilumos apskaitos prietaisų ir 67250 vnt karšto vandens skaitiklių su nuotoliniu duomenu nuskaitymo funkcija. Įdiegus/modernizavus šilumos apskaitą bei atsiskaitomuosius karšto vandens skaitiklius su nuotoliniu duomenų nuskaitymu, bus sutaupoma apie 1 proc. pirminės energijos.</t>
    </r>
    <r>
      <rPr>
        <b/>
        <sz val="10"/>
        <color theme="1"/>
        <rFont val="Calibri"/>
        <family val="2"/>
        <scheme val="minor"/>
      </rPr>
      <t>Iki įdiegimo</t>
    </r>
    <r>
      <rPr>
        <sz val="10"/>
        <color theme="1"/>
        <rFont val="Calibri"/>
        <family val="2"/>
        <scheme val="minor"/>
      </rPr>
      <t xml:space="preserve"> šilumos apskaitos prietaisų su nuotolinio nuskaitymo funkcija šilumos kiekis suvartojamas 4500x350=</t>
    </r>
    <r>
      <rPr>
        <b/>
        <sz val="10"/>
        <color theme="1"/>
        <rFont val="Calibri"/>
        <family val="2"/>
        <scheme val="minor"/>
      </rPr>
      <t>1 575 000 MWh/metus</t>
    </r>
    <r>
      <rPr>
        <sz val="10"/>
        <color theme="1"/>
        <rFont val="Calibri"/>
        <family val="2"/>
        <scheme val="minor"/>
      </rPr>
      <t>, siekiama reikšmė 2029 m. po įvadinės apskaitos modernizavimo ir atsiskaitomųjų skaitiklių įdiegimo  būtų  1575000-15750=</t>
    </r>
    <r>
      <rPr>
        <b/>
        <sz val="10"/>
        <color theme="1"/>
        <rFont val="Calibri"/>
        <family val="2"/>
        <scheme val="minor"/>
      </rPr>
      <t>1559250 MWh/metus</t>
    </r>
    <r>
      <rPr>
        <sz val="10"/>
        <color theme="1"/>
        <rFont val="Calibri"/>
        <family val="2"/>
        <scheme val="minor"/>
      </rPr>
      <t>, kur sutaupymai (nuostolių sumažinimas)  sudaro 1 proc., t.y. 15750 MWh /metus.Bendra pradinė reikšmė 16050+1575000=</t>
    </r>
    <r>
      <rPr>
        <b/>
        <sz val="10"/>
        <color theme="1"/>
        <rFont val="Calibri"/>
        <family val="2"/>
        <scheme val="minor"/>
      </rPr>
      <t>1 591 050 MWh/metus</t>
    </r>
    <r>
      <rPr>
        <sz val="10"/>
        <color theme="1"/>
        <rFont val="Calibri"/>
        <family val="2"/>
        <scheme val="minor"/>
      </rPr>
      <t xml:space="preserve">, bendra galutinė reikšmė 13050+1559250= </t>
    </r>
    <r>
      <rPr>
        <b/>
        <sz val="10"/>
        <color theme="1"/>
        <rFont val="Calibri"/>
        <family val="2"/>
        <scheme val="minor"/>
      </rPr>
      <t>1 572 300 MWh/metus.</t>
    </r>
  </si>
  <si>
    <r>
      <t xml:space="preserve">According to currently active Climate Change Program's measure which is devoted to private legal entities to implement EE measures proposed by energy audits,  an average energy efficiency project of a large enterprise costs </t>
    </r>
    <r>
      <rPr>
        <sz val="10"/>
        <color theme="1"/>
        <rFont val="Calibri"/>
        <family val="2"/>
        <charset val="186"/>
      </rPr>
      <t>~</t>
    </r>
    <r>
      <rPr>
        <sz val="10"/>
        <color theme="1"/>
        <rFont val="Calibri"/>
        <family val="2"/>
        <scheme val="minor"/>
      </rPr>
      <t xml:space="preserve">400000 eur.  With 19445857 eur  48 large entities could be supported: 19445857/400000=48 entities. We assume that that 20 percent of funds will be invested by 2024, so Milestone 2024 will be 48x0,2=9 large entities with better energy efficiency.                                                                                                                                                     </t>
    </r>
    <r>
      <rPr>
        <i/>
        <sz val="10"/>
        <color theme="1"/>
        <rFont val="Calibri"/>
        <family val="2"/>
        <charset val="186"/>
        <scheme val="minor"/>
      </rPr>
      <t>Seeking to calculate number of entities whose energy efficiency was improved special output indicator is proposed for this action</t>
    </r>
    <r>
      <rPr>
        <sz val="10"/>
        <color theme="1"/>
        <rFont val="Calibri"/>
        <family val="2"/>
        <scheme val="minor"/>
      </rPr>
      <t xml:space="preserve">. </t>
    </r>
  </si>
  <si>
    <r>
      <t>A large entity consumes an average  1000 MWh/year (DSO provided data). It is assumed that having implemented all the EE measures, efficiency will increase by 20 %.</t>
    </r>
    <r>
      <rPr>
        <u/>
        <sz val="10"/>
        <color theme="1"/>
        <rFont val="Calibri"/>
        <family val="2"/>
        <charset val="186"/>
        <scheme val="minor"/>
      </rPr>
      <t xml:space="preserve"> Baseline calculation:</t>
    </r>
    <r>
      <rPr>
        <sz val="10"/>
        <color theme="1"/>
        <rFont val="Calibri"/>
        <family val="2"/>
        <scheme val="minor"/>
      </rPr>
      <t xml:space="preserve"> 48 (number of entities)x1000MWh/year=48000. </t>
    </r>
    <r>
      <rPr>
        <u/>
        <sz val="10"/>
        <color theme="1"/>
        <rFont val="Calibri"/>
        <family val="2"/>
        <charset val="186"/>
        <scheme val="minor"/>
      </rPr>
      <t>Target 2029 calculation</t>
    </r>
    <r>
      <rPr>
        <sz val="10"/>
        <color theme="1"/>
        <rFont val="Calibri"/>
        <family val="2"/>
        <scheme val="minor"/>
      </rPr>
      <t>:(48x1000)-(48x1000x0,2)=38400 MWh/year</t>
    </r>
  </si>
  <si>
    <t>50 percent Funds (13.456.617,1 EUR) will be invested in the adaptation of DH to work in low temperature regime. According to Lithuanian District Heating Association,  an average costs of 1 m DH pipeline modernization/adaptation to low temperature regime is 450 EUR, therefore 30 km of DH pipeline could be modernised for 13.456.617,1 EUR. We assume that by 2024, 30 percent of the funds will be invested, so 9 km will be modernized.</t>
  </si>
  <si>
    <r>
      <t xml:space="preserve">50 percent of  funds (13.456.616,1 EUR) will be invested in the efficiency and adaptation of DH to low-temperature regime; 50 percent of funds (13.456.616,1 EUR) will be invested in the modernization of introductory heat metering devices and hot water meters.
</t>
    </r>
    <r>
      <rPr>
        <u/>
        <sz val="10"/>
        <color theme="1"/>
        <rFont val="Calibri"/>
        <family val="2"/>
        <charset val="186"/>
        <scheme val="minor"/>
      </rPr>
      <t>Baseline calculation:</t>
    </r>
    <r>
      <rPr>
        <sz val="10"/>
        <color theme="1"/>
        <rFont val="Calibri"/>
        <family val="2"/>
        <scheme val="minor"/>
      </rPr>
      <t xml:space="preserve">  According to  annual review prepared by  Lithuanian District Heating Association on  economic activity of heat supply companies in 2019 , 1 km of DH consumes (heat loss) 535 MWh /year, then 30 km consume 30x535=16050 MWh/year. An average 350 MWh of thermal energy per year has passed through 1 introductory heat meter without being read remotely. </t>
    </r>
    <r>
      <rPr>
        <sz val="10"/>
        <color theme="1"/>
        <rFont val="Calibri"/>
        <family val="2"/>
        <charset val="186"/>
      </rPr>
      <t>1 575 000</t>
    </r>
    <r>
      <rPr>
        <sz val="10"/>
        <color theme="1"/>
        <rFont val="Calibri"/>
        <family val="2"/>
        <scheme val="minor"/>
      </rPr>
      <t xml:space="preserve"> MWh/year of energy has passed through 4500 introductory heat meter to consumers per year without remote reading. Total energy consumption 16050+1 575 000</t>
    </r>
    <r>
      <rPr>
        <sz val="10"/>
        <color theme="1"/>
        <rFont val="Calibri"/>
        <family val="2"/>
        <charset val="186"/>
      </rPr>
      <t>=</t>
    </r>
    <r>
      <rPr>
        <b/>
        <sz val="10"/>
        <color theme="1"/>
        <rFont val="Calibri"/>
        <family val="2"/>
        <charset val="186"/>
      </rPr>
      <t>1 591 050 MWh/</t>
    </r>
    <r>
      <rPr>
        <b/>
        <sz val="10"/>
        <color theme="1"/>
        <rFont val="Calibri"/>
        <family val="2"/>
        <charset val="186"/>
        <scheme val="minor"/>
      </rPr>
      <t>year.</t>
    </r>
    <r>
      <rPr>
        <sz val="10"/>
        <color theme="1"/>
        <rFont val="Calibri"/>
        <family val="2"/>
        <scheme val="minor"/>
      </rPr>
      <t xml:space="preserve">  </t>
    </r>
    <r>
      <rPr>
        <u/>
        <sz val="10"/>
        <color theme="1"/>
        <rFont val="Calibri"/>
        <family val="2"/>
        <charset val="186"/>
        <scheme val="minor"/>
      </rPr>
      <t>Target 2029 calculation</t>
    </r>
    <r>
      <rPr>
        <sz val="10"/>
        <color theme="1"/>
        <rFont val="Calibri"/>
        <family val="2"/>
        <scheme val="minor"/>
      </rPr>
      <t>: according to heat loss calculator of National Energy Regulatory Council modernization/adaptation of 1 km of conditional pipeline to low-temperature regime save about 100 MWh of energy per year, so modernised 30 km of pipeline would save 100x30 = 3000 MWh/year primary energy annually, it means that consumption of 30 km modernised network will be 16050-3000 = 13050 MWh/year.  The modernization of heat metering and  hot water meters with remote data reading will save about 1 percent of primary energy consumption.So, having modernised 4500 meters energy consumption would reach 1575000-15750 = 1559250 MWh / year, where savings (loss reduction) makes up 1 percent, which is 15750 MWh / year. The total final value is 13050 + 1559250 =</t>
    </r>
    <r>
      <rPr>
        <b/>
        <sz val="10"/>
        <color theme="1"/>
        <rFont val="Calibri"/>
        <family val="2"/>
        <charset val="186"/>
        <scheme val="minor"/>
      </rPr>
      <t xml:space="preserve"> 1.572.300 MWh / year</t>
    </r>
    <r>
      <rPr>
        <sz val="10"/>
        <color theme="1"/>
        <rFont val="Calibri"/>
        <family val="2"/>
        <scheme val="minor"/>
      </rPr>
      <t xml:space="preserve">.
</t>
    </r>
  </si>
  <si>
    <r>
      <t xml:space="preserve">50 percent of  funds (13.456.616,1 EUR) will be invested in the efficiency and adaptation of DH to low-temperature regime; 50 percent of funds (13.456.616,1 EUR) will be invested in the modernization of introductory heat metering devices and hot water meters.
</t>
    </r>
    <r>
      <rPr>
        <u/>
        <sz val="10"/>
        <color theme="1"/>
        <rFont val="Calibri"/>
        <family val="2"/>
        <charset val="186"/>
        <scheme val="minor"/>
      </rPr>
      <t>Baseline calculation</t>
    </r>
    <r>
      <rPr>
        <sz val="10"/>
        <color theme="1"/>
        <rFont val="Calibri"/>
        <family val="2"/>
        <scheme val="minor"/>
      </rPr>
      <t>:  According to  annual review prepared by  Lithuanian District Heating Association on  economic activity of heat supply companies in 2019 , 1 km of DH consumes (heat loss) 535 MWh /year, then 30 km consume 30x535=16050 MWh/year. An average 350 MWh of thermal energy per year has passed through 1 introductory heat meter without being read remotely. 1 575 000 MWh/year of energy has passed through 4500 introductory heat meter to consumers per year without remote reading. Total energy consumption 16050+1 575 000=</t>
    </r>
    <r>
      <rPr>
        <b/>
        <sz val="10"/>
        <color theme="1"/>
        <rFont val="Calibri"/>
        <family val="2"/>
        <charset val="186"/>
        <scheme val="minor"/>
      </rPr>
      <t>1 591 050 MWh/year.</t>
    </r>
    <r>
      <rPr>
        <sz val="10"/>
        <color theme="1"/>
        <rFont val="Calibri"/>
        <family val="2"/>
        <scheme val="minor"/>
      </rPr>
      <t xml:space="preserve">  </t>
    </r>
    <r>
      <rPr>
        <u/>
        <sz val="10"/>
        <color theme="1"/>
        <rFont val="Calibri"/>
        <family val="2"/>
        <charset val="186"/>
        <scheme val="minor"/>
      </rPr>
      <t xml:space="preserve">Target 2029 calculation: </t>
    </r>
    <r>
      <rPr>
        <sz val="10"/>
        <color theme="1"/>
        <rFont val="Calibri"/>
        <family val="2"/>
        <scheme val="minor"/>
      </rPr>
      <t xml:space="preserve">according to heat loss calculator of National Energy Regulatory Council modernization/adaptation of 1 km of conditional pipeline to low-temperature regime save about 100 MWh of energy per year, so modernised 30 km of pipeline would save 100x30 = 3000 MWh/year primary energy annually, it means that consumption of 30 km modernised network will be 16050-3000 = 13050 MWh/year.  The modernization of heat metering and  hot water meters with remote data reading will save about 1 percent of primary energy consumption.So, having modernised 4500 meters energy consumption would reach 1575000-15750 = 1559250 MWh / year, where savings (loss reduction) makes up 1 percent, which is 15750 MWh / year. The total final value is 13050 + 1559250 = </t>
    </r>
    <r>
      <rPr>
        <b/>
        <sz val="10"/>
        <color theme="1"/>
        <rFont val="Calibri"/>
        <family val="2"/>
        <charset val="186"/>
        <scheme val="minor"/>
      </rPr>
      <t>1.572.300 MWh / year.</t>
    </r>
  </si>
  <si>
    <r>
      <rPr>
        <i/>
        <sz val="10"/>
        <color rgb="FF7030A0"/>
        <rFont val="Calibri"/>
        <family val="2"/>
        <scheme val="minor"/>
      </rPr>
      <t xml:space="preserve"> Skaičiavimams taikomas paramos intensyvumas vidut.50 proc., siekiant išlaikyti tokį patį finansavimo modelį kaip ir 2014-2020m.  </t>
    </r>
    <r>
      <rPr>
        <sz val="10"/>
        <color theme="1"/>
        <rFont val="Calibri"/>
        <family val="2"/>
        <scheme val="minor"/>
      </rPr>
      <t xml:space="preserve">                                                                                                                                 70 proc. (15,75 MEUR)  kategorijos lėšų investuojama į nedidelės galios biokuro kogeneracines elektrines;  25 proc. (5,625 MEUR) - į didelio efektyvumo biokuro katilus; 5 proc. (1,125 MEUR) - į šilumos saugyklas.  1 MWel.+5 MWš. nedidelės galios CHP kainuoja 5 MEUR, tad už numatytas lėšas  sukurtume 15,75 MEUR/5 = 3 MWe ir 15 MWš galios CHP pajėgumų; didelio efektyvumo katilo 1 MW kainuoja 0,5 MEUR. Už 5,6 MEUR įdiegtume  5,6/0,5=11MWš   (high efficiency biomass boiler). </t>
    </r>
    <r>
      <rPr>
        <b/>
        <sz val="10"/>
        <color theme="1"/>
        <rFont val="Calibri"/>
        <family val="2"/>
        <scheme val="minor"/>
      </rPr>
      <t>Iki 2029 m</t>
    </r>
    <r>
      <rPr>
        <sz val="10"/>
        <color theme="1"/>
        <rFont val="Calibri"/>
        <family val="2"/>
        <scheme val="minor"/>
      </rPr>
      <t xml:space="preserve">. bendrai bus sukurta </t>
    </r>
    <r>
      <rPr>
        <b/>
        <sz val="10"/>
        <color theme="1"/>
        <rFont val="Calibri"/>
        <family val="2"/>
        <scheme val="minor"/>
      </rPr>
      <t>3 MWe ir 26 MWš</t>
    </r>
    <r>
      <rPr>
        <sz val="10"/>
        <color theme="1"/>
        <rFont val="Calibri"/>
        <family val="2"/>
        <scheme val="minor"/>
      </rPr>
      <t xml:space="preserve"> (15MW+11MW). Daroma prielaida, kad iki 2024 m. bus investuota 20 proc. , tad tarpinė reikšmė bus ~ </t>
    </r>
    <r>
      <rPr>
        <b/>
        <sz val="10"/>
        <color theme="1"/>
        <rFont val="Calibri"/>
        <family val="2"/>
        <scheme val="minor"/>
      </rPr>
      <t>0,6 MWe  ir  5 MWš</t>
    </r>
    <r>
      <rPr>
        <sz val="10"/>
        <color theme="1"/>
        <rFont val="Calibri"/>
        <family val="2"/>
        <scheme val="minor"/>
      </rPr>
      <t xml:space="preserve"> papildomų pajėgumų.  Rinkos kainomis vidut. CŠT tinkančios 1m3 šilumos talpyklos  kainuotų  200 eurų. Už 1,125 MEUR sukurtume 1,125/0,0002= 5625 m3, kas sudaro apie 260 MWh talpos (LŠTA duomenimis , 1 MWh  atitinka apie 21,6 m3). Daroma prielaida, kad iki 2024 m. bus investuota apie 20 proc. lėšų, tad tarpinė reikšmė 260x0,2=</t>
    </r>
    <r>
      <rPr>
        <b/>
        <sz val="10"/>
        <color theme="1"/>
        <rFont val="Calibri"/>
        <family val="2"/>
        <scheme val="minor"/>
      </rPr>
      <t>52 MWh</t>
    </r>
    <r>
      <rPr>
        <sz val="10"/>
        <color theme="1"/>
        <rFont val="Calibri"/>
        <family val="2"/>
        <scheme val="minor"/>
      </rPr>
      <t>.</t>
    </r>
    <r>
      <rPr>
        <i/>
        <sz val="10"/>
        <color rgb="FF7030A0"/>
        <rFont val="Calibri"/>
        <family val="2"/>
        <scheme val="minor"/>
      </rPr>
      <t xml:space="preserve"> Įvestas nac. produkto rodiklis energijos saugojimui skaičiuoti, kadangi RCO105 reglamentinis rodiklis, kuris tiktų,  negali būti taikomas kituose uždaviniuose nei 2.3. </t>
    </r>
  </si>
  <si>
    <r>
      <t xml:space="preserve">37,5 MW: pagal LŠTA studiją 1 MW šilumos siurblio galios pagamintų 600 MWh energijos, tai 37,5 MW pagamins 22500 MWh energijos. Pradinė reikšmė: 22500x0,1 (faktorius pagal STR šilumai iš CŠT tinklo)= </t>
    </r>
    <r>
      <rPr>
        <b/>
        <sz val="10"/>
        <color theme="1"/>
        <rFont val="Calibri"/>
        <family val="2"/>
        <scheme val="minor"/>
      </rPr>
      <t>2250 tCO2ekv./metus</t>
    </r>
    <r>
      <rPr>
        <sz val="10"/>
        <color theme="1"/>
        <rFont val="Calibri"/>
        <family val="2"/>
        <scheme val="minor"/>
      </rPr>
      <t xml:space="preserve">,  2029 reikšmė:  22500x0,04 (biokuro taršos faktorius pagal STR)= </t>
    </r>
    <r>
      <rPr>
        <b/>
        <sz val="10"/>
        <color theme="1"/>
        <rFont val="Calibri"/>
        <family val="2"/>
        <scheme val="minor"/>
      </rPr>
      <t>900 tCO2ekv./metus.</t>
    </r>
  </si>
  <si>
    <r>
      <t>CO2 skaičiuojamas  iš saulės elektrinių ir kolektorių diegimo. Pradinės reikšmės skaičiavimas: 1 kW saulės elektrinės pagamina apie 1000 kWh (1 MW - 1000 MWh), tai 4,7 MW pagamins 4700 MWh. CO2 kiekis būtų 4700MWh x0,42 tCO2/MWh (elektros energijos taršos faktorius)=</t>
    </r>
    <r>
      <rPr>
        <b/>
        <sz val="10"/>
        <color theme="1"/>
        <rFont val="Calibri"/>
        <family val="2"/>
        <scheme val="minor"/>
      </rPr>
      <t xml:space="preserve">1974 tCO2 ekv./metus.                                                                                                                                                                     </t>
    </r>
    <r>
      <rPr>
        <sz val="10"/>
        <color theme="1"/>
        <rFont val="Calibri"/>
        <family val="2"/>
        <scheme val="minor"/>
      </rPr>
      <t xml:space="preserve">Saulės kolektoriaus 1m2 gamina 400 kWh, tai 131250 m2 gamins 52500MWh.Skaičiuojant pradinę CO2 reikšmę: </t>
    </r>
    <r>
      <rPr>
        <b/>
        <sz val="10"/>
        <color theme="1"/>
        <rFont val="Calibri"/>
        <family val="2"/>
        <scheme val="minor"/>
      </rPr>
      <t xml:space="preserve">  </t>
    </r>
    <r>
      <rPr>
        <sz val="10"/>
        <color theme="1"/>
        <rFont val="Calibri"/>
        <family val="2"/>
        <scheme val="minor"/>
      </rPr>
      <t>52500MWh x 0,1 (faktorius pagal STR šilumai iš CŠT tinklo)= 5250  tCO2/metus.Pradinė reikšmė bendra: 1974+ 5250=</t>
    </r>
    <r>
      <rPr>
        <b/>
        <sz val="10"/>
        <color theme="1"/>
        <rFont val="Calibri"/>
        <family val="2"/>
        <scheme val="minor"/>
      </rPr>
      <t>7224 tCO2ekv./ metus</t>
    </r>
    <r>
      <rPr>
        <sz val="10"/>
        <color theme="1"/>
        <rFont val="Calibri"/>
        <family val="2"/>
        <scheme val="minor"/>
      </rPr>
      <t>.</t>
    </r>
    <r>
      <rPr>
        <b/>
        <sz val="10"/>
        <color theme="1"/>
        <rFont val="Calibri"/>
        <family val="2"/>
        <scheme val="minor"/>
      </rPr>
      <t xml:space="preserve"> </t>
    </r>
    <r>
      <rPr>
        <sz val="10"/>
        <color theme="1"/>
        <rFont val="Calibri"/>
        <family val="2"/>
        <scheme val="minor"/>
      </rPr>
      <t>Siekiama reikšmė 2029 m. būtų 0 (pagal STR saulės taršos faktorius lygus 0).</t>
    </r>
  </si>
  <si>
    <r>
      <t>Pradinė CO2 reikšmė: 3 MWelx8000 h/metus (CHP veikimo laikas per metus) x 0,42 tCO2/MWh (taršos faktorius elektrai) =10080 tCO2 ekvivalentu/metus; 26MWšx6000 h/metus (katilų veikimo laikas per metus) x 0,1 (taršos faktorius pagal STR CŠT šilumai)=15600 tCO2 ekvivalentu/metus. Viso pradinis CO2 kiekis: 10080+ 15600=</t>
    </r>
    <r>
      <rPr>
        <b/>
        <sz val="10"/>
        <color theme="1"/>
        <rFont val="Calibri"/>
        <family val="2"/>
        <scheme val="minor"/>
      </rPr>
      <t>25680 tCO2 ekv./metus</t>
    </r>
    <r>
      <rPr>
        <sz val="10"/>
        <color theme="1"/>
        <rFont val="Calibri"/>
        <family val="2"/>
        <scheme val="minor"/>
      </rPr>
      <t>. Galutinė CO2 reikšmė: 3 MWelx8000 h/metus (CHP veikimo laikas per metus) x 0,04 tCO2/MWh (taršos faktorius biokurui) =960 tCO2 ekvivalentu/metus; 26MWšx6000 h/metus (katilų veikimo laikas per metus) x 0,04 (taršos faktorius pagal STR biokurui)=6240 tCO2 ekvivalentu/metus. Galutinė bendra reikšmė CO2: 960+ 6240=</t>
    </r>
    <r>
      <rPr>
        <b/>
        <sz val="10"/>
        <color theme="1"/>
        <rFont val="Calibri"/>
        <family val="2"/>
        <scheme val="minor"/>
      </rPr>
      <t>7200 tCO2 ekv./metus.</t>
    </r>
  </si>
  <si>
    <r>
      <rPr>
        <i/>
        <sz val="10"/>
        <color rgb="FF7030A0"/>
        <rFont val="Calibri"/>
        <family val="2"/>
        <scheme val="minor"/>
      </rPr>
      <t xml:space="preserve"> Skaičiavimams taikomas paramos intensyvumas vidut.50 proc., siekiant išlaikyti tokį patį finansavimo modelį kaip ir 2014-2020m. </t>
    </r>
    <r>
      <rPr>
        <sz val="10"/>
        <color theme="1"/>
        <rFont val="Calibri"/>
        <family val="2"/>
        <scheme val="minor"/>
      </rPr>
      <t xml:space="preserve">70 proc. (36,75 MEUR)  kategorijos lėšų investuojama į nedidelės galios biokuro kogeneracines elektrines;  25 proc. (13,125 MEUR) - į didelio efektyvumo biokuro katilus; 5 proc. (2,625 MEUR) - į šilumos saugyklas.   1 MWel.+5 MWš. nedidelės galios CHP kainuoja 5 MEUR, tad už numatytas lėšas  sukurtume 36,75 MEUR/5 MEUR= 7 MWe ir 35MWš pajėgumų. Už 13,125 MEUR įdiegtume  13,125/0,5=26 MWš galios didelio efektyvumo katilų, kurių 1 MW kainuoja 0,5 MEUR. </t>
    </r>
    <r>
      <rPr>
        <b/>
        <sz val="10"/>
        <color theme="1"/>
        <rFont val="Calibri"/>
        <family val="2"/>
        <scheme val="minor"/>
      </rPr>
      <t>Iki 2029 m.</t>
    </r>
    <r>
      <rPr>
        <sz val="10"/>
        <color theme="1"/>
        <rFont val="Calibri"/>
        <family val="2"/>
        <scheme val="minor"/>
      </rPr>
      <t xml:space="preserve"> bendrai bus sukurta </t>
    </r>
    <r>
      <rPr>
        <b/>
        <sz val="10"/>
        <color theme="1"/>
        <rFont val="Calibri"/>
        <family val="2"/>
        <scheme val="minor"/>
      </rPr>
      <t xml:space="preserve">7 MWe ir  61 MWš </t>
    </r>
    <r>
      <rPr>
        <sz val="10"/>
        <color theme="1"/>
        <rFont val="Calibri"/>
        <family val="2"/>
        <scheme val="minor"/>
      </rPr>
      <t xml:space="preserve">(35MWš+ 26MWš) AEI pajėgumų. Daroma prielaida, kad iki 2024 m. bus investuota 20 proc. , tad tarpinė reikšmė bus </t>
    </r>
    <r>
      <rPr>
        <b/>
        <sz val="10"/>
        <color theme="1"/>
        <rFont val="Calibri"/>
        <family val="2"/>
        <scheme val="minor"/>
      </rPr>
      <t>~ 1,4 MWe  ir  ~12 MWš</t>
    </r>
    <r>
      <rPr>
        <sz val="10"/>
        <color theme="1"/>
        <rFont val="Calibri"/>
        <family val="2"/>
        <scheme val="minor"/>
      </rPr>
      <t xml:space="preserve"> papildomų AEI pajėgumų.   Rinkos kainomis vidut. CŠT tinkančios 1m3 šilumos talpyklos  kainuotų  200 eurų. Už 2,625 MEUR sukurtume 2,625/0,0002 = 13125 m3, t.y. ~607 MWh talpos. Daroma prielaida, kad iki 2024 m. bus investuota apie 20 proc. lėšų, tad tarpinė reikšmė 607x0,2=~121 MWh.</t>
    </r>
    <r>
      <rPr>
        <i/>
        <sz val="10"/>
        <color rgb="FF7030A0"/>
        <rFont val="Calibri"/>
        <family val="2"/>
        <scheme val="minor"/>
      </rPr>
      <t xml:space="preserve"> Įvestas nac. produkto rodiklis energijos saugojimui skaičiuoti, kadangi RCO105 reglamentinis rodiklis, kuris tiktų,  negali būti taikomas kituose uždaviniuose nei 2.3. </t>
    </r>
  </si>
  <si>
    <r>
      <rPr>
        <u/>
        <sz val="10"/>
        <color theme="1"/>
        <rFont val="Calibri"/>
        <family val="2"/>
        <scheme val="minor"/>
      </rPr>
      <t>Pradinė CO2 reikšmė:</t>
    </r>
    <r>
      <rPr>
        <sz val="10"/>
        <color theme="1"/>
        <rFont val="Calibri"/>
        <family val="2"/>
        <scheme val="minor"/>
      </rPr>
      <t xml:space="preserve"> 1 iškastinio kuro katilas (vidut. apie 20 kW katilas namų ūkiui) sunaudoja 5,7 TNE/metus (1 TNE = 11,628 MWh konversijos koeficientas), tai sudaro 66,28  MWh energijos. 12122 įrenginiai suvartoja 12122x66,28 =~ 803 446 MWh/metus. CO2 kiekis skaičiuojamas 803 446 MWh/metus x 0,36 tCO2/MWh (iškastinio kuro taršos faktorius pagal Aplinkos ministro patvirtintą Statybos techninį reglamentą(STR))= </t>
    </r>
    <r>
      <rPr>
        <b/>
        <sz val="10"/>
        <color theme="1"/>
        <rFont val="Calibri"/>
        <family val="2"/>
        <scheme val="minor"/>
      </rPr>
      <t>289241 tCO2 ekv. /metus</t>
    </r>
    <r>
      <rPr>
        <sz val="10"/>
        <color theme="1"/>
        <rFont val="Calibri"/>
        <family val="2"/>
        <scheme val="minor"/>
      </rPr>
      <t xml:space="preserve">. </t>
    </r>
    <r>
      <rPr>
        <u/>
        <sz val="10"/>
        <color theme="1"/>
        <rFont val="Calibri"/>
        <family val="2"/>
        <scheme val="minor"/>
      </rPr>
      <t>Galutinė CO2 reikšmė:</t>
    </r>
    <r>
      <rPr>
        <sz val="10"/>
        <color theme="1"/>
        <rFont val="Calibri"/>
        <family val="2"/>
        <scheme val="minor"/>
      </rPr>
      <t xml:space="preserve">  1 efektyvus naujas biokuro katilas sunaudoja  dvigubai mažiau 2,85 TNE/metus, t.y.  2,85x11,628=33,14  MWh energijos, todėl 12122 nauji įrenginiai suvartotų apie 401723 MWh/metus.  CO2 kiekis  401723 MWh/metus x 0,04 tCO2/MWh (taršos faktorius biokurui pagal STR)  = </t>
    </r>
    <r>
      <rPr>
        <b/>
        <sz val="10"/>
        <color theme="1"/>
        <rFont val="Calibri"/>
        <family val="2"/>
        <scheme val="minor"/>
      </rPr>
      <t>16069 tCO2 ekv. /metus</t>
    </r>
    <r>
      <rPr>
        <sz val="10"/>
        <color theme="1"/>
        <rFont val="Calibri"/>
        <family val="2"/>
        <scheme val="minor"/>
      </rPr>
      <t xml:space="preserve">. </t>
    </r>
  </si>
  <si>
    <r>
      <rPr>
        <u/>
        <sz val="10"/>
        <color theme="1"/>
        <rFont val="Calibri"/>
        <family val="2"/>
        <scheme val="minor"/>
      </rPr>
      <t xml:space="preserve">Pradinė CO2 reikšmė: </t>
    </r>
    <r>
      <rPr>
        <sz val="10"/>
        <color theme="1"/>
        <rFont val="Calibri"/>
        <family val="2"/>
        <scheme val="minor"/>
      </rPr>
      <t xml:space="preserve">1 iškastinio kuro katilas (vidut. apie 20 kW katilas namų ūkiui) sunaudoja 5,7 TNE/metus (1 TNE = 11,628 MWh konversijos koeficientas), tai sudaro 66,28  MWh energijos. Seni 6061 katilai  suvartoja 6061x66,28 =~ 401723 MWh/metus. CO2 kiekis skaičiuojamas 401723 MWh/metus x 0,36 tCO2/MWh (iškastinio kuro taršos faktorius pagal AM patvirtintą STR)= </t>
    </r>
    <r>
      <rPr>
        <b/>
        <sz val="10"/>
        <color theme="1"/>
        <rFont val="Calibri"/>
        <family val="2"/>
        <scheme val="minor"/>
      </rPr>
      <t xml:space="preserve">144620 tCO2 ekv. /metus. </t>
    </r>
    <r>
      <rPr>
        <u/>
        <sz val="10"/>
        <color theme="1"/>
        <rFont val="Calibri"/>
        <family val="2"/>
        <scheme val="minor"/>
      </rPr>
      <t>Galutinė CO2 reikšmė:</t>
    </r>
    <r>
      <rPr>
        <sz val="10"/>
        <color theme="1"/>
        <rFont val="Calibri"/>
        <family val="2"/>
        <scheme val="minor"/>
      </rPr>
      <t>1 šilumos siurblys  sunaudoja 0,7 TNE/metus, t.y.  8,13  MWh energijos, tai 6061 nauji šilumos siurbliai suvartos  6061x8,13= 49276 MWh/metus. CO2 kiekis bus 49276x 0,42 tCO2/MWh (taršos faktorius elektrai pagal STR)=</t>
    </r>
    <r>
      <rPr>
        <b/>
        <sz val="10"/>
        <color theme="1"/>
        <rFont val="Calibri"/>
        <family val="2"/>
        <scheme val="minor"/>
      </rPr>
      <t>20696 tCO2 ekv./metus</t>
    </r>
    <r>
      <rPr>
        <sz val="10"/>
        <color theme="1"/>
        <rFont val="Calibri"/>
        <family val="2"/>
        <scheme val="minor"/>
      </rPr>
      <t xml:space="preserve">.                   </t>
    </r>
  </si>
  <si>
    <r>
      <rPr>
        <u/>
        <sz val="10"/>
        <color theme="1"/>
        <rFont val="Calibri"/>
        <family val="2"/>
        <scheme val="minor"/>
      </rPr>
      <t>Baseline</t>
    </r>
    <r>
      <rPr>
        <sz val="10"/>
        <color theme="1"/>
        <rFont val="Calibri"/>
        <family val="2"/>
        <scheme val="minor"/>
      </rPr>
      <t xml:space="preserve">: According to Lithuania's Climate Change Program data fossil fuel boiler consumes an average 5,7 toe of primary energy or 66,28 MWh (5,7x11,628=66,28 MWh, where 1 toe = 11,628 MWh  (conversion factor). 12122  boilers consume 12122x66,28=803446 MWh/year primary energy and CO2 will be 803 446 MWh/year x 0,36 tCO2/MWh= 289241 tCO2 ekv. /year (where 0,36tCO2/MWh - pollution factor for fossil fuel, Technical Regulation of Construction (Ministry of Environment)). </t>
    </r>
    <r>
      <rPr>
        <u/>
        <sz val="10"/>
        <color theme="1"/>
        <rFont val="Calibri"/>
        <family val="2"/>
        <scheme val="minor"/>
      </rPr>
      <t>Target 2029 calculation</t>
    </r>
    <r>
      <rPr>
        <sz val="10"/>
        <color theme="1"/>
        <rFont val="Calibri"/>
        <family val="2"/>
        <scheme val="minor"/>
      </rPr>
      <t>: efficient biomass boiler consumes 2 times less energy 2,8 toe or  33,14  MWh.  12122 biomass boilers consume  12122x33,14=401723 MWh/year. CO2 will be 401723 MWh/year x 0,04 tCO2/MWh (pollution factor for biomass according to TRC, MInistry of Environment)  = 16069 tCO2 ekv. /year.</t>
    </r>
  </si>
  <si>
    <r>
      <rPr>
        <u/>
        <sz val="10"/>
        <color theme="1"/>
        <rFont val="Calibri"/>
        <family val="2"/>
        <scheme val="minor"/>
      </rPr>
      <t>Baseline</t>
    </r>
    <r>
      <rPr>
        <sz val="10"/>
        <color theme="1"/>
        <rFont val="Calibri"/>
        <family val="2"/>
        <scheme val="minor"/>
      </rPr>
      <t xml:space="preserve">: According to Lithuania's Climate Change Program data fossil fuel boiler consumes an average 5,7 toe of primary energy or 66,28 MWh (5,7x11,628=66,28 MWh, where 1 toe = 11,628 MWh  (conversion factor). 6061  fossil fuel boilers consume 6061x66,28 =~ 401723 MWh/year  of primary energy and CO2 will be 401723 MWh/year x 0,36 tCO2/MWh = 144620 tCO2 ekv./year (where 0,36tCO2/MWh - pollution factor for fossil fuel, Technical Regulation of Construction (Ministry of Environment)). </t>
    </r>
    <r>
      <rPr>
        <u/>
        <sz val="10"/>
        <color theme="1"/>
        <rFont val="Calibri"/>
        <family val="2"/>
        <scheme val="minor"/>
      </rPr>
      <t>Target 2029 calculation</t>
    </r>
    <r>
      <rPr>
        <sz val="10"/>
        <color theme="1"/>
        <rFont val="Calibri"/>
        <family val="2"/>
        <scheme val="minor"/>
      </rPr>
      <t>: efficient heat pump consumes 0,7 toe or  8,13  MWh (data from 2014-2020 OP).  6061 heat pumps consume  6061x8,13= 49276 MWh/year. CO2 will be 49276x 0,42 tCO2/MWh (pollution factor for electricity according to TRC, MInistry of Environment)  = 20696 tCO2 ekv./year.</t>
    </r>
  </si>
  <si>
    <r>
      <rPr>
        <i/>
        <sz val="10"/>
        <color rgb="FF7030A0"/>
        <rFont val="Calibri"/>
        <family val="2"/>
        <scheme val="minor"/>
      </rPr>
      <t xml:space="preserve">Skaičiavimams taikomas paramos intensyvumas vidut.50 proc., siekiant išlaikyti tokį patį finansavimo modelį kaip ir 2014-2020m.  </t>
    </r>
    <r>
      <rPr>
        <sz val="10"/>
        <color theme="1"/>
        <rFont val="Calibri"/>
        <family val="2"/>
        <scheme val="minor"/>
      </rPr>
      <t>10 proc. (~3,750 MEUR)  lėšų investuojama į saulės elektrines, 70 proc. ~26,25 MEUR  - į saulės kolektorius ir 20 proc.  - ~ 7,5 MEUR į energijos saugojimo sprendimus (šilumos talpyklas) CŠT tinkle. Saulės elektrinės 1 kW kaina rinkoje-~ 800 eur, saulės kolektorių 1 m2 kaina rinkoje - ~ 200 eur, vidut. 1 m3 šiluminės energijos talpyklos kainuoja rinkoje -~ 200 eurų. Už numatytas lėšas saulės elektrinių būtų įdiegta 3,75MEUR/800 eurų/kW= 4687,5 kW (</t>
    </r>
    <r>
      <rPr>
        <b/>
        <sz val="10"/>
        <color theme="1"/>
        <rFont val="Calibri"/>
        <family val="2"/>
        <scheme val="minor"/>
      </rPr>
      <t>~4,7 MWe</t>
    </r>
    <r>
      <rPr>
        <sz val="10"/>
        <color theme="1"/>
        <rFont val="Calibri"/>
        <family val="2"/>
        <scheme val="minor"/>
      </rPr>
      <t xml:space="preserve">) galios; saulės kolektorių būtų įdiegta 26,25MEUR/200 eurų/m2=131250 m2, tai sudaro </t>
    </r>
    <r>
      <rPr>
        <b/>
        <sz val="10"/>
        <color theme="1"/>
        <rFont val="Calibri"/>
        <family val="2"/>
        <scheme val="minor"/>
      </rPr>
      <t>91,8 MWš</t>
    </r>
    <r>
      <rPr>
        <sz val="10"/>
        <color theme="1"/>
        <rFont val="Calibri"/>
        <family val="2"/>
        <scheme val="minor"/>
      </rPr>
      <t xml:space="preserve"> galios ( skaičiuojama, kad 1000m2 sukuria 0,7 MW galios, tuomet 131250m2 sukurs – 91,8 MW); šilumos talpyklų būtų įrengta 7,5MEUR/ 200 eurų/m3=37500 m3, t.y.~1961 MWh talpos. Viso AEI pajėgumų iki 2029 m:  </t>
    </r>
    <r>
      <rPr>
        <b/>
        <sz val="10"/>
        <color theme="1"/>
        <rFont val="Calibri"/>
        <family val="2"/>
        <scheme val="minor"/>
      </rPr>
      <t xml:space="preserve">4,7 MWe ir 91,8 MWš </t>
    </r>
    <r>
      <rPr>
        <sz val="10"/>
        <color theme="1"/>
        <rFont val="Calibri"/>
        <family val="2"/>
        <scheme val="minor"/>
      </rPr>
      <t xml:space="preserve">ir šilumos talpyklos – </t>
    </r>
    <r>
      <rPr>
        <b/>
        <sz val="10"/>
        <color theme="1"/>
        <rFont val="Calibri"/>
        <family val="2"/>
        <scheme val="minor"/>
      </rPr>
      <t>1961 MWh</t>
    </r>
    <r>
      <rPr>
        <sz val="10"/>
        <color theme="1"/>
        <rFont val="Calibri"/>
        <family val="2"/>
        <scheme val="minor"/>
      </rPr>
      <t>. Daroma prielaida, kad iki 2024 m. bus investuota iki 20 proc. lėšų, tad tarpinė reikšmė būtų 4,7MWe x0,2=~</t>
    </r>
    <r>
      <rPr>
        <b/>
        <sz val="10"/>
        <color theme="1"/>
        <rFont val="Calibri"/>
        <family val="2"/>
        <scheme val="minor"/>
      </rPr>
      <t>0,9 MWe</t>
    </r>
    <r>
      <rPr>
        <sz val="10"/>
        <color theme="1"/>
        <rFont val="Calibri"/>
        <family val="2"/>
        <scheme val="minor"/>
      </rPr>
      <t>,  91,8 MWšx0,2=~</t>
    </r>
    <r>
      <rPr>
        <b/>
        <sz val="10"/>
        <color theme="1"/>
        <rFont val="Calibri"/>
        <family val="2"/>
        <scheme val="minor"/>
      </rPr>
      <t>18 MWš</t>
    </r>
    <r>
      <rPr>
        <sz val="10"/>
        <color theme="1"/>
        <rFont val="Calibri"/>
        <family val="2"/>
        <scheme val="minor"/>
      </rPr>
      <t xml:space="preserve"> ir 1961x0,2=~392 MWh.                                                                                               </t>
    </r>
    <r>
      <rPr>
        <i/>
        <sz val="10"/>
        <color rgb="FF7030A0"/>
        <rFont val="Calibri"/>
        <family val="2"/>
        <scheme val="minor"/>
      </rPr>
      <t>Įvestas nac. produkto rodiklis energijos saugojimui skaičiuoti, kadangi RCO105 reglamentinis rodiklis, kuris tiktų,  negali būti taikomas kituose uždaviniuose nei 2.3.</t>
    </r>
  </si>
  <si>
    <r>
      <rPr>
        <i/>
        <sz val="10"/>
        <color theme="1"/>
        <rFont val="Calibri"/>
        <family val="2"/>
        <charset val="186"/>
        <scheme val="minor"/>
      </rPr>
      <t>The calculations apply an average financial support intensity of 50% in order to maintain the same funding model as in 2014-2020.</t>
    </r>
    <r>
      <rPr>
        <sz val="10"/>
        <color theme="1"/>
        <rFont val="Calibri"/>
        <family val="2"/>
        <scheme val="minor"/>
      </rPr>
      <t xml:space="preserve"> 10 percent (3,75 MEUR) funds are invested in solar power plants, 70 percent. (26,25 MEUR) - to solar collectors and 20 percent. - (7,5 MEUR) for energy storage solutions (heat tanks) in the DH network. The price of a 1 kW solar power plant in the market is ~ 800 euros, the price of 1 m2 of solar collectors in the market is ~ 200 euros, the average price of 1 m3 of thermal energy tanks in the market is ~ 200 euros.
With the planned funds, solar power plants would be installed: 3,75 MEUR/800 EUR/kW = 4687,5 kW (~ 4.7 MWe) power plants. For the planned funds 26,25 MEUR/200 euros/m2 = 131250 m2 of solar collectors would be installed , which provide for 91,8 MWt capacity (it is estimated that 1000m2 will generate 0,7 MW capacity of power), then 131250m2 will generate 91,8 MWe. For the planned funds 7,5 MEUR/200 eur/m3 = 37500 m3, i.e. ~ 1961 MWh capacity of heat tanks would be installed. Total RES capacity until 2029: 4,7 MWe and 91,8 MWt and heat storage - 1961 MWh. It is assumed that up to 20%  of funds will be invested by 2024, so Milestone 2024 would be 4,7MWe x0,2 = ~ 0,9 MWe, 91,8 MWtx0,2 = ~ 18 MWt and heat tanks: 1961x0,2 = ~ 392 MWh.  A </t>
    </r>
    <r>
      <rPr>
        <i/>
        <sz val="10"/>
        <color theme="1"/>
        <rFont val="Calibri"/>
        <family val="2"/>
        <charset val="186"/>
        <scheme val="minor"/>
      </rPr>
      <t>national product indicator has been introduced to calculate energy storage, as RCO105 is a regulatory indicator that would be appropriate. It cannot be applied to tasks other than 2.3.</t>
    </r>
  </si>
  <si>
    <r>
      <t xml:space="preserve">According to Lithuanian District Heating Association study, 1 MW of heat pump capacity would produce 600 MWh of energy, so 37,5 MW will generate 22500 MWh of energy. </t>
    </r>
    <r>
      <rPr>
        <u/>
        <sz val="10"/>
        <color theme="1"/>
        <rFont val="Calibri"/>
        <family val="2"/>
        <charset val="186"/>
        <scheme val="minor"/>
      </rPr>
      <t>Baseline:</t>
    </r>
    <r>
      <rPr>
        <sz val="10"/>
        <color theme="1"/>
        <rFont val="Calibri"/>
        <family val="2"/>
        <scheme val="minor"/>
      </rPr>
      <t xml:space="preserve"> 22500x0,1= 2250 tCO2eq/year (where 0,1 tCO2/MWh - pollution factor for heat from DH according to Technical Regulation of Construction, Ministry of Environment). </t>
    </r>
    <r>
      <rPr>
        <u/>
        <sz val="10"/>
        <color theme="1"/>
        <rFont val="Calibri"/>
        <family val="2"/>
        <charset val="186"/>
        <scheme val="minor"/>
      </rPr>
      <t>Target 2029:</t>
    </r>
    <r>
      <rPr>
        <sz val="10"/>
        <color theme="1"/>
        <rFont val="Calibri"/>
        <family val="2"/>
        <scheme val="minor"/>
      </rPr>
      <t xml:space="preserve">  22500x0,04=900 tCO2eq/year (where 0,04 tCO2/MWh-  pollution factor for natural gas).</t>
    </r>
  </si>
  <si>
    <t>Category funds 100 percent invested in heat pumps with a cost of 1 MW ~ 1 MEUR (according to Danish Technology Data). Heat pumps with a total capacity of 37,5 MWt can be installed for 37,5 MEUR (applying an average support intensity of 50 percent, similarly to the applicants in the heat sector in 2014-2020). It is assumed that up to 30 percent of funds will be invested by 2024, so the intermediate value will be 37,5x0,3 = ~ 11 MWt</t>
  </si>
  <si>
    <r>
      <rPr>
        <u/>
        <sz val="10"/>
        <color theme="1"/>
        <rFont val="Calibri"/>
        <family val="2"/>
        <charset val="186"/>
        <scheme val="minor"/>
      </rPr>
      <t xml:space="preserve">Baseline: </t>
    </r>
    <r>
      <rPr>
        <sz val="10"/>
        <color theme="1"/>
        <rFont val="Calibri"/>
        <family val="2"/>
        <scheme val="minor"/>
      </rPr>
      <t xml:space="preserve">1 kW solar power plants produce about 1000 kWh (1 MW - 1000 MWh), so 4,7 MW will produce 4700 MWh of energy polluting 4700MWh x0,42 tCO2/MWh=1974 tCO2 eq./year (where 0,42 - electricity pollution factor). 1 m2 of solar collectors produce 400 kWh, then 131250 m2 would produce 52500MWh polluting  52500MWh x 0,1 = 5250  tCO2eq /year ((where 0,1 - pollution factor for heat from DH). Total CO2 would be 1974+ 5250=7224 tCO2eq./year. </t>
    </r>
    <r>
      <rPr>
        <u/>
        <sz val="10"/>
        <color theme="1"/>
        <rFont val="Calibri"/>
        <family val="2"/>
        <charset val="186"/>
        <scheme val="minor"/>
      </rPr>
      <t>Target 2029:</t>
    </r>
    <r>
      <rPr>
        <sz val="10"/>
        <color theme="1"/>
        <rFont val="Calibri"/>
        <family val="2"/>
        <scheme val="minor"/>
      </rPr>
      <t xml:space="preserve"> since polution factor of solar energy is 0, then target value is 0.</t>
    </r>
  </si>
  <si>
    <r>
      <rPr>
        <i/>
        <sz val="10"/>
        <color theme="1"/>
        <rFont val="Calibri"/>
        <family val="2"/>
        <charset val="186"/>
        <scheme val="minor"/>
      </rPr>
      <t>The calculations apply an average financial support intensity of 50% in order to maintain the same funding model as in 2014-2020.</t>
    </r>
    <r>
      <rPr>
        <sz val="10"/>
        <color theme="1"/>
        <rFont val="Calibri"/>
        <family val="2"/>
        <scheme val="minor"/>
      </rPr>
      <t xml:space="preserve"> 70 percent of the funds (15,75 MEUR) will be invested in low-capacity biofuel cogeneration plants; 25 percent (5,625 MEUR) - to high efficiency biofuel boilers; 5 percent (1,125 MEUR) - to heat storage facilities (heat tanks). </t>
    </r>
    <r>
      <rPr>
        <u/>
        <sz val="10"/>
        <color theme="1"/>
        <rFont val="Calibri"/>
        <family val="2"/>
        <charset val="186"/>
        <scheme val="minor"/>
      </rPr>
      <t>Target 2029</t>
    </r>
    <r>
      <rPr>
        <sz val="10"/>
        <color theme="1"/>
        <rFont val="Calibri"/>
        <family val="2"/>
        <scheme val="minor"/>
      </rPr>
      <t xml:space="preserve"> Installation of  small scale CHP (1 MWe + 5 MWt) costs </t>
    </r>
    <r>
      <rPr>
        <sz val="10"/>
        <color theme="1"/>
        <rFont val="Calibri"/>
        <family val="2"/>
        <charset val="186"/>
      </rPr>
      <t>~</t>
    </r>
    <r>
      <rPr>
        <sz val="10"/>
        <color theme="1"/>
        <rFont val="Calibri"/>
        <family val="2"/>
        <scheme val="minor"/>
      </rPr>
      <t xml:space="preserve">5 MEUR (data from 2014-2020 OP projects), so with 15,75 MEUR  we could develop  15,75/5 = 3 MWe and 15 MWt CHP capacity; 1 MW of a high-efficiency biomass boiler costs 0,5 MEUR. For 5,6 MEUR we would install 5,6/0,5=11MWt of high efficiency boilers. By 2029 a total RES capacity  of </t>
    </r>
    <r>
      <rPr>
        <b/>
        <sz val="10"/>
        <color theme="1"/>
        <rFont val="Calibri"/>
        <family val="2"/>
        <charset val="186"/>
        <scheme val="minor"/>
      </rPr>
      <t>3 MWe and 26 MWt</t>
    </r>
    <r>
      <rPr>
        <sz val="10"/>
        <color theme="1"/>
        <rFont val="Calibri"/>
        <family val="2"/>
        <scheme val="minor"/>
      </rPr>
      <t xml:space="preserve"> (15MW + 11MW) will be installed. It is assumed that 20% of funds will be invested by 2024, so </t>
    </r>
    <r>
      <rPr>
        <u/>
        <sz val="10"/>
        <color theme="1"/>
        <rFont val="Calibri"/>
        <family val="2"/>
        <charset val="186"/>
        <scheme val="minor"/>
      </rPr>
      <t>Milestone 2024</t>
    </r>
    <r>
      <rPr>
        <sz val="10"/>
        <color theme="1"/>
        <rFont val="Calibri"/>
        <family val="2"/>
        <scheme val="minor"/>
      </rPr>
      <t xml:space="preserve"> will be ~ </t>
    </r>
    <r>
      <rPr>
        <b/>
        <sz val="10"/>
        <color theme="1"/>
        <rFont val="Calibri"/>
        <family val="2"/>
        <charset val="186"/>
        <scheme val="minor"/>
      </rPr>
      <t>0,6 MWe and 5 MWt</t>
    </r>
    <r>
      <rPr>
        <sz val="10"/>
        <color theme="1"/>
        <rFont val="Calibri"/>
        <family val="2"/>
        <scheme val="minor"/>
      </rPr>
      <t xml:space="preserve"> of RES capacity installed. 
</t>
    </r>
    <r>
      <rPr>
        <u/>
        <sz val="10"/>
        <color theme="1"/>
        <rFont val="Calibri"/>
        <family val="2"/>
        <charset val="186"/>
        <scheme val="minor"/>
      </rPr>
      <t>Target 2029:</t>
    </r>
    <r>
      <rPr>
        <sz val="10"/>
        <color theme="1"/>
        <rFont val="Calibri"/>
        <family val="2"/>
        <scheme val="minor"/>
      </rPr>
      <t xml:space="preserve"> Average market price of 1 m3 heat tanks suitable for DH would cost 200 euros. For 1,125 MEUR we would create 1,125 /0,0002 = 5625 m3, which is about </t>
    </r>
    <r>
      <rPr>
        <b/>
        <sz val="10"/>
        <color theme="1"/>
        <rFont val="Calibri"/>
        <family val="2"/>
        <charset val="186"/>
        <scheme val="minor"/>
      </rPr>
      <t xml:space="preserve">260 MWh </t>
    </r>
    <r>
      <rPr>
        <sz val="10"/>
        <color theme="1"/>
        <rFont val="Calibri"/>
        <family val="2"/>
        <scheme val="minor"/>
      </rPr>
      <t xml:space="preserve">capacity (according to  Lithuanian District Heating Association data, 1 MWh corresponds to about 21,6 m3 of heat tank capacity). It is assumed that by 2024 about 20 % of funds will be invested, so the </t>
    </r>
    <r>
      <rPr>
        <u/>
        <sz val="10"/>
        <color theme="1"/>
        <rFont val="Calibri"/>
        <family val="2"/>
        <charset val="186"/>
        <scheme val="minor"/>
      </rPr>
      <t>Milestone 2024</t>
    </r>
    <r>
      <rPr>
        <sz val="10"/>
        <color theme="1"/>
        <rFont val="Calibri"/>
        <family val="2"/>
        <scheme val="minor"/>
      </rPr>
      <t xml:space="preserve"> is 260x0,2 = </t>
    </r>
    <r>
      <rPr>
        <b/>
        <sz val="10"/>
        <color theme="1"/>
        <rFont val="Calibri"/>
        <family val="2"/>
        <charset val="186"/>
        <scheme val="minor"/>
      </rPr>
      <t>52 MWh</t>
    </r>
    <r>
      <rPr>
        <sz val="10"/>
        <color theme="1"/>
        <rFont val="Calibri"/>
        <family val="2"/>
        <scheme val="minor"/>
      </rPr>
      <t xml:space="preserve">. </t>
    </r>
    <r>
      <rPr>
        <i/>
        <sz val="10"/>
        <color theme="1"/>
        <rFont val="Calibri"/>
        <family val="2"/>
        <charset val="186"/>
        <scheme val="minor"/>
      </rPr>
      <t>A national product indicator has been introduced to calculate energy storage, as RCO105 is a regulatory indicator that would be appropriate. It cannot be applied to tasks other than 2.3.</t>
    </r>
  </si>
  <si>
    <r>
      <rPr>
        <u/>
        <sz val="10"/>
        <color theme="1"/>
        <rFont val="Calibri"/>
        <family val="2"/>
        <charset val="186"/>
        <scheme val="minor"/>
      </rPr>
      <t>Baseline:</t>
    </r>
    <r>
      <rPr>
        <sz val="10"/>
        <color theme="1"/>
        <rFont val="Calibri"/>
        <family val="2"/>
        <scheme val="minor"/>
      </rPr>
      <t xml:space="preserve"> CO2 is calculated from CHP and biofuel boilers: 3 MWe x8000 h/year (CHP operation time per year) x 0,42 tCO2/MWh (pollution factor for electricity)=10080 tCO2 eq/ year; 26MWt x 6000 h/year (boiler operation time per year) x 0,1 (pollution factor for heat from DH)=15600 tCO2 eq/year. Total CO2: 10080+ 15600=</t>
    </r>
    <r>
      <rPr>
        <b/>
        <sz val="10"/>
        <color theme="1"/>
        <rFont val="Calibri"/>
        <family val="2"/>
        <charset val="186"/>
        <scheme val="minor"/>
      </rPr>
      <t>25680 tCO2 eq/year.</t>
    </r>
    <r>
      <rPr>
        <sz val="10"/>
        <color theme="1"/>
        <rFont val="Calibri"/>
        <family val="2"/>
        <scheme val="minor"/>
      </rPr>
      <t xml:space="preserve"> </t>
    </r>
    <r>
      <rPr>
        <u/>
        <sz val="10"/>
        <color theme="1"/>
        <rFont val="Calibri"/>
        <family val="2"/>
        <charset val="186"/>
        <scheme val="minor"/>
      </rPr>
      <t>Target 2029:</t>
    </r>
    <r>
      <rPr>
        <sz val="10"/>
        <color theme="1"/>
        <rFont val="Calibri"/>
        <family val="2"/>
        <scheme val="minor"/>
      </rPr>
      <t xml:space="preserve"> </t>
    </r>
    <r>
      <rPr>
        <sz val="10"/>
        <color theme="1"/>
        <rFont val="Calibri"/>
        <family val="2"/>
        <charset val="186"/>
        <scheme val="minor"/>
      </rPr>
      <t>3MWex8000 h/year x 0,04 tCO2/MWh (pollution factor for biofuel) =960 tCO2 eq/year; 26MWšx6000 h/year x 0,04 =6240 tCO2 eq/year. Total CO2 value: 960+ 6240=</t>
    </r>
    <r>
      <rPr>
        <b/>
        <sz val="10"/>
        <color theme="1"/>
        <rFont val="Calibri"/>
        <family val="2"/>
        <charset val="186"/>
        <scheme val="minor"/>
      </rPr>
      <t>7200 tCO2 eq/yea</t>
    </r>
    <r>
      <rPr>
        <sz val="10"/>
        <color theme="1"/>
        <rFont val="Calibri"/>
        <family val="2"/>
        <charset val="186"/>
        <scheme val="minor"/>
      </rPr>
      <t>r.</t>
    </r>
  </si>
  <si>
    <r>
      <t>CO2 skaičiuojamas nuo CHP ir biokuro katilų: 7 MWelx8000 h/metus (CHP veikimo laikas per metus) x 0,42 tCO2/MWh (taršos faktorius elektrai) =</t>
    </r>
    <r>
      <rPr>
        <b/>
        <sz val="10"/>
        <color theme="1"/>
        <rFont val="Calibri"/>
        <family val="2"/>
        <scheme val="minor"/>
      </rPr>
      <t>23520 tCO2 ekv./metus</t>
    </r>
    <r>
      <rPr>
        <sz val="10"/>
        <color theme="1"/>
        <rFont val="Calibri"/>
        <family val="2"/>
        <scheme val="minor"/>
      </rPr>
      <t>; 61MWšx6000 h/metus (katilų veikimo laikas per metus) x 0,1 (faktorius pagal STR šilumai iš CŠT tinklo)=36600</t>
    </r>
    <r>
      <rPr>
        <b/>
        <sz val="10"/>
        <color theme="1"/>
        <rFont val="Calibri"/>
        <family val="2"/>
        <scheme val="minor"/>
      </rPr>
      <t xml:space="preserve"> tCO2 </t>
    </r>
    <r>
      <rPr>
        <sz val="10"/>
        <color theme="1"/>
        <rFont val="Calibri"/>
        <family val="2"/>
        <scheme val="minor"/>
      </rPr>
      <t>ekv./metus. Viso CO2 kiekis: 23520+ 36600=</t>
    </r>
    <r>
      <rPr>
        <b/>
        <sz val="10"/>
        <color theme="1"/>
        <rFont val="Calibri"/>
        <family val="2"/>
        <scheme val="minor"/>
      </rPr>
      <t>60120tCO2 ekv./metus</t>
    </r>
    <r>
      <rPr>
        <sz val="10"/>
        <color theme="1"/>
        <rFont val="Calibri"/>
        <family val="2"/>
        <scheme val="minor"/>
      </rPr>
      <t xml:space="preserve"> Galutinė reikšmė: 7 MWelx8000 h/metus (CHP veikimo laikas per metus) x 0,04 tCO2/MWh (taršos faktorius biokurui) =2240 tCO2 ekv./metus; 61MWšx6000 h/metus (katilų veikimo laikas per metus) x 0,04 (faktorius pagal STR biokurui)=14640 tCO2 ekv./metus. Viso CO2 kiekis: 2240+ 14640=16880 tCO2 ekv./metus</t>
    </r>
  </si>
  <si>
    <r>
      <rPr>
        <u/>
        <sz val="10"/>
        <color theme="1"/>
        <rFont val="Calibri"/>
        <family val="2"/>
        <charset val="186"/>
        <scheme val="minor"/>
      </rPr>
      <t>Baseline</t>
    </r>
    <r>
      <rPr>
        <sz val="10"/>
        <color theme="1"/>
        <rFont val="Calibri"/>
        <family val="2"/>
        <scheme val="minor"/>
      </rPr>
      <t>: CO2 is calculated from CHP and biofuel boilers: 7 MWe x 8000 h/year (CHP operation time per year) x 0,42 tCO2 /MWh (pollution factor for electricity) = 23520 tCO2 eq/ year; 61MWt x 6000h/year (boiler operation time per year) x 0,1 pollution factor for electricity)= 36600 tCO2 eq/year. Total CO2 value: 23520 + 36600 = 60120 tCO2 eq/year.</t>
    </r>
    <r>
      <rPr>
        <u/>
        <sz val="10"/>
        <color theme="1"/>
        <rFont val="Calibri"/>
        <family val="2"/>
        <charset val="186"/>
        <scheme val="minor"/>
      </rPr>
      <t xml:space="preserve">Target 2029: </t>
    </r>
    <r>
      <rPr>
        <sz val="10"/>
        <color theme="1"/>
        <rFont val="Calibri"/>
        <family val="2"/>
        <scheme val="minor"/>
      </rPr>
      <t>7 MWe x 8000 h/year x 0,04 tCO2/MWh (pollution factor for biofuel) =2240 tCO2 eq/year; 61MWt x 6000 h/year x 0,04 tCO2/MWh (pollution factor for biofuel)=14640 tCO2 eq/year. Total CO2: 2240+ 14640=16880 tCO2 eq/year.</t>
    </r>
  </si>
  <si>
    <t>Indicator</t>
  </si>
  <si>
    <t>Region Category</t>
  </si>
  <si>
    <t>Code</t>
  </si>
  <si>
    <t>Name</t>
  </si>
  <si>
    <t>Fund</t>
  </si>
  <si>
    <t>Measurement unit</t>
  </si>
  <si>
    <r>
      <rPr>
        <u/>
        <sz val="10"/>
        <color theme="1"/>
        <rFont val="Calibri"/>
        <family val="2"/>
        <scheme val="minor"/>
      </rPr>
      <t>Target 2029:</t>
    </r>
    <r>
      <rPr>
        <sz val="10"/>
        <color theme="1"/>
        <rFont val="Calibri"/>
        <family val="2"/>
        <scheme val="minor"/>
      </rPr>
      <t xml:space="preserve"> 70 percent funds  (4750046,36x0,7=3325032,45 eur) will be allocated to energy storage.   Installation of 1 kW small scale wind power plant (wind PP)  costs an average about 2000 eur (publicly available information on internet).We assume that administrative costs will be same (4,11 percent, (1045010 eur x 0,7x 0,0411)=~30065 eur) as for solar energy during 2014-2020. Then with 3325032,45-30065=3294967,45 eur  would be possible to install 3294967,4/2000/1000 =~</t>
    </r>
    <r>
      <rPr>
        <b/>
        <sz val="10"/>
        <color theme="1"/>
        <rFont val="Calibri"/>
        <family val="2"/>
        <charset val="186"/>
        <scheme val="minor"/>
      </rPr>
      <t>1,65MW</t>
    </r>
    <r>
      <rPr>
        <sz val="10"/>
        <color theme="1"/>
        <rFont val="Calibri"/>
        <family val="2"/>
        <scheme val="minor"/>
      </rPr>
      <t>e of wind PP.</t>
    </r>
    <r>
      <rPr>
        <u/>
        <sz val="10"/>
        <color theme="1"/>
        <rFont val="Calibri"/>
        <family val="2"/>
        <scheme val="minor"/>
      </rPr>
      <t>Milestone 2024</t>
    </r>
    <r>
      <rPr>
        <sz val="10"/>
        <color theme="1"/>
        <rFont val="Calibri"/>
        <family val="2"/>
        <scheme val="minor"/>
      </rPr>
      <t>: we assume that 30 percent funds will be invested by 2024, then 1,65x0,3=</t>
    </r>
    <r>
      <rPr>
        <b/>
        <sz val="10"/>
        <color theme="1"/>
        <rFont val="Calibri"/>
        <family val="2"/>
        <charset val="186"/>
        <scheme val="minor"/>
      </rPr>
      <t>0,49 MWe</t>
    </r>
    <r>
      <rPr>
        <sz val="10"/>
        <color theme="1"/>
        <rFont val="Calibri"/>
        <family val="2"/>
        <scheme val="minor"/>
      </rPr>
      <t xml:space="preserve"> of wind PP could be installed.</t>
    </r>
  </si>
  <si>
    <t>special output</t>
  </si>
  <si>
    <t>Whole Lithuania</t>
  </si>
  <si>
    <t>CF</t>
  </si>
  <si>
    <t>Supported projects</t>
  </si>
  <si>
    <t>Data source</t>
  </si>
  <si>
    <t>Target 2029</t>
  </si>
  <si>
    <t>Milestone 2024</t>
  </si>
  <si>
    <t>year</t>
  </si>
  <si>
    <t>value</t>
  </si>
  <si>
    <t>Region category</t>
  </si>
  <si>
    <t>Energy storage solutions</t>
  </si>
  <si>
    <r>
      <rPr>
        <i/>
        <sz val="10"/>
        <color theme="1"/>
        <rFont val="Calibri"/>
        <family val="2"/>
        <charset val="186"/>
        <scheme val="minor"/>
      </rPr>
      <t>The calculations apply an average financial support intensity of 50% in order to maintain the same funding model as in 2014-2020.</t>
    </r>
    <r>
      <rPr>
        <sz val="10"/>
        <color theme="1"/>
        <rFont val="Calibri"/>
        <family val="2"/>
        <scheme val="minor"/>
      </rPr>
      <t xml:space="preserve"> 70 percent of the funds (36,75 MEUR) will be invested in small scale biofuel cogeneration plants; 25 percent (13,125 MEUR) -  high efficiency biofuel boilers; 5 percent (2,625 MEUR) - heat storage facilities (heat tanks). </t>
    </r>
    <r>
      <rPr>
        <u/>
        <sz val="10"/>
        <color theme="1"/>
        <rFont val="Calibri"/>
        <family val="2"/>
        <charset val="186"/>
        <scheme val="minor"/>
      </rPr>
      <t>Target 2029:</t>
    </r>
    <r>
      <rPr>
        <sz val="10"/>
        <color theme="1"/>
        <rFont val="Calibri"/>
        <family val="2"/>
        <scheme val="minor"/>
      </rPr>
      <t xml:space="preserve"> Installation of small scale biomass CHP (1 MWe + 5 MWt ) costs 5 MEUR, so we would create 36,75 MEUR/5 = 7 MWe and 35 MWt CHP capacity for the planned funds; 1 MW of a high-efficiency biomass boiler costs 0,5 MEUR. For 13,125 MEUR we would install 13,125 /0,5 = 26MWt. Until 2029 a total of </t>
    </r>
    <r>
      <rPr>
        <b/>
        <sz val="10"/>
        <color theme="1"/>
        <rFont val="Calibri"/>
        <family val="2"/>
        <charset val="186"/>
        <scheme val="minor"/>
      </rPr>
      <t xml:space="preserve">7 MWe and 61 MWt </t>
    </r>
    <r>
      <rPr>
        <sz val="10"/>
        <color theme="1"/>
        <rFont val="Calibri"/>
        <family val="2"/>
        <scheme val="minor"/>
      </rPr>
      <t xml:space="preserve">(35MWt + 26MWt) RES capacities will be installed. It is assumed that 20% of funds will be invested by 2024, so </t>
    </r>
    <r>
      <rPr>
        <u/>
        <sz val="10"/>
        <color theme="1"/>
        <rFont val="Calibri"/>
        <family val="2"/>
        <charset val="186"/>
        <scheme val="minor"/>
      </rPr>
      <t>Milestone 2024</t>
    </r>
    <r>
      <rPr>
        <sz val="10"/>
        <color theme="1"/>
        <rFont val="Calibri"/>
        <family val="2"/>
        <scheme val="minor"/>
      </rPr>
      <t xml:space="preserve">: ~ </t>
    </r>
    <r>
      <rPr>
        <b/>
        <sz val="10"/>
        <color theme="1"/>
        <rFont val="Calibri"/>
        <family val="2"/>
        <charset val="186"/>
        <scheme val="minor"/>
      </rPr>
      <t>1,4 MWe</t>
    </r>
    <r>
      <rPr>
        <sz val="10"/>
        <color theme="1"/>
        <rFont val="Calibri"/>
        <family val="2"/>
        <scheme val="minor"/>
      </rPr>
      <t xml:space="preserve"> ( 7x0,2) and </t>
    </r>
    <r>
      <rPr>
        <b/>
        <sz val="10"/>
        <color theme="1"/>
        <rFont val="Calibri"/>
        <family val="2"/>
        <charset val="186"/>
        <scheme val="minor"/>
      </rPr>
      <t xml:space="preserve">12 MWt </t>
    </r>
    <r>
      <rPr>
        <sz val="10"/>
        <color theme="1"/>
        <rFont val="Calibri"/>
        <family val="2"/>
        <scheme val="minor"/>
      </rPr>
      <t xml:space="preserve"> (61x0,2) of additional RES capacity would be installed. 
Average market prices 1 m3 heat tanks suitable for DH would cost 200 euros. For 2,625 MEUR we would create 2,625/0,0002 = 13125 m3, which is about </t>
    </r>
    <r>
      <rPr>
        <b/>
        <sz val="10"/>
        <color theme="1"/>
        <rFont val="Calibri"/>
        <family val="2"/>
        <charset val="186"/>
        <scheme val="minor"/>
      </rPr>
      <t>607 MWh</t>
    </r>
    <r>
      <rPr>
        <sz val="10"/>
        <color theme="1"/>
        <rFont val="Calibri"/>
        <family val="2"/>
        <scheme val="minor"/>
      </rPr>
      <t xml:space="preserve"> capacity (according to Lithuanian District Heating Association data 1 MWh corresponds to about 21,6 m3 of heat tank capacity). It is assumed that by 2024 about 20 % of funds will be invested, so Milestone 2024: 607x0,2 = </t>
    </r>
    <r>
      <rPr>
        <b/>
        <sz val="10"/>
        <color theme="1"/>
        <rFont val="Calibri"/>
        <family val="2"/>
        <charset val="186"/>
        <scheme val="minor"/>
      </rPr>
      <t>121 MWh.</t>
    </r>
    <r>
      <rPr>
        <sz val="10"/>
        <color theme="1"/>
        <rFont val="Calibri"/>
        <family val="2"/>
        <scheme val="minor"/>
      </rPr>
      <t xml:space="preserve"> </t>
    </r>
    <r>
      <rPr>
        <i/>
        <sz val="10"/>
        <color theme="1"/>
        <rFont val="Calibri"/>
        <family val="2"/>
        <charset val="186"/>
        <scheme val="minor"/>
      </rPr>
      <t>A national product indicator has been introduced to calculate energy storage, as RCO105 is a regulatory indicator that would be appropriate. It cannot be applied to tasks other than 2.3.</t>
    </r>
  </si>
  <si>
    <t>MW thermal</t>
  </si>
  <si>
    <t>tons of CO2 eq/year</t>
  </si>
  <si>
    <t>028 - Renewable energy - wind</t>
  </si>
  <si>
    <t>029 - Renewable energy - solar</t>
  </si>
  <si>
    <t>030 - Renewable energy - biomass</t>
  </si>
  <si>
    <t>032 - Other renewable energy (including geothermal)</t>
  </si>
  <si>
    <t>Action</t>
  </si>
  <si>
    <t xml:space="preserve">Total allocation of action level (indicated)               </t>
  </si>
  <si>
    <t>MW electricity</t>
  </si>
  <si>
    <t>energy storage solutions</t>
  </si>
  <si>
    <t>Baseline</t>
  </si>
  <si>
    <t>Baseline year</t>
  </si>
  <si>
    <t>Indicator's name</t>
  </si>
  <si>
    <t>Indicator's code</t>
  </si>
  <si>
    <t>ERDF</t>
  </si>
  <si>
    <t>Dwellings with improved energy performance</t>
  </si>
  <si>
    <t>dwellings</t>
  </si>
  <si>
    <t>Public buildings with improved energy performance</t>
  </si>
  <si>
    <t>square metres</t>
  </si>
  <si>
    <t>District heating and cooling network lines newly constructed and improved</t>
  </si>
  <si>
    <t>MWh/year</t>
  </si>
  <si>
    <t>Annual primary energy consumption (of which: dwellings, public buildings, enterprises, other)</t>
  </si>
  <si>
    <t>enterprises</t>
  </si>
  <si>
    <t>Enterprises with improved energy performance</t>
  </si>
  <si>
    <t>Estimated greenhouse emissions</t>
  </si>
  <si>
    <t>Additional production capacity for renewable energy (of which: electricity, thermal)</t>
  </si>
  <si>
    <r>
      <t xml:space="preserve"> Kategorijos lėšos 100 proc. investuojamos į šilumos siurblius, kurių 1 MW kaina ~1 MEUR (informacija pateikta LŠTA pagal</t>
    </r>
    <r>
      <rPr>
        <i/>
        <sz val="10"/>
        <color theme="1"/>
        <rFont val="Calibri"/>
        <family val="2"/>
        <scheme val="minor"/>
      </rPr>
      <t xml:space="preserve"> </t>
    </r>
    <r>
      <rPr>
        <sz val="10"/>
        <color theme="1"/>
        <rFont val="Calibri"/>
        <family val="2"/>
        <scheme val="minor"/>
      </rPr>
      <t>leidinį</t>
    </r>
    <r>
      <rPr>
        <i/>
        <sz val="10"/>
        <color theme="1"/>
        <rFont val="Calibri"/>
        <family val="2"/>
        <scheme val="minor"/>
      </rPr>
      <t xml:space="preserve"> Danish Technology Data</t>
    </r>
    <r>
      <rPr>
        <sz val="10"/>
        <color theme="1"/>
        <rFont val="Calibri"/>
        <family val="2"/>
        <scheme val="minor"/>
      </rPr>
      <t xml:space="preserve">). Už 37,5 MEUR </t>
    </r>
    <r>
      <rPr>
        <i/>
        <sz val="10"/>
        <color rgb="FF7030A0"/>
        <rFont val="Calibri"/>
        <family val="2"/>
        <scheme val="minor"/>
      </rPr>
      <t>(taikant vidut. 50 proc. paramos intensyvumą, panašiai kaip 2014-2020 m. perspektyvoje buvo šilumos sektoriaus pareiškėjams</t>
    </r>
    <r>
      <rPr>
        <sz val="10"/>
        <color theme="1"/>
        <rFont val="Calibri"/>
        <family val="2"/>
        <scheme val="minor"/>
      </rPr>
      <t>) galima įrengti šilumos siurblių, kurių suminė galia 37,5 MWš.Daroma prielaida, kad iki 2024 m. bus investuota iki 30 proc. lėšų, tai tarpinė reikšmė bus 37,5x0,3=~11 MWš</t>
    </r>
  </si>
  <si>
    <t>2.2.3. Increase RES usage for heat and cool generation in district heating sector.                                      (75.000.000 eur)</t>
  </si>
  <si>
    <t xml:space="preserve">2.2.2. To promote heat generation from RES in households                        (37.128.568,1 eur) </t>
  </si>
  <si>
    <t>2.2.1. To promote  electricity generation from RES and energy storage solutions in households                                (104.501.024,2 eur)</t>
  </si>
  <si>
    <t>Midle-West Lithuania region</t>
  </si>
  <si>
    <t>System components</t>
  </si>
  <si>
    <t>end users/year</t>
  </si>
  <si>
    <t xml:space="preserve">  An average 1275 users are connected to the one 35 kV  primary substation (PS) and 19 users are connected to 10/0,4 kV 10/0,4 kV secondary substation (SS)+voltage controller (VC), then total  amount of users connected to 15 PS and  375 SS+VC will be  (15x1275)+(375x19)=~26250.  Number of users is the same before and after the  intervention because of modernization (not development) of installations.</t>
  </si>
  <si>
    <t xml:space="preserve"> An average 1275 users are connected to the one 35 kV  primary substation (PS) and 19 users are connected to 10/0,4 kV secondary substation (SS), then total  amount of users connected to 29 PS and  727 SS+VC will be   (29x1275)+(727x19)=~ 50800.  Number of users is the same before and after the  intervention because of modernization (not development) of installations.</t>
  </si>
  <si>
    <t xml:space="preserve"> An average 930 users are connected to one SP, then the amount of users connected to 39 SP will be: 39x930=36270.  19 users  are connected to one secondary substation, then total amount of users connected to 886 will be: 886x19=16834. Total number of all the users connected to smart energy systems 36270+16834= 53104. Number of users is the same before and after  intervention because of modernization (not development) of installations.</t>
  </si>
  <si>
    <t xml:space="preserve">2.3.2.                    Improvement of  reliability and resilience of electricity distribution networks (25.000.000 eur)  </t>
  </si>
  <si>
    <t xml:space="preserve">2.3.1. Smart solutions  for  electricity distribution networks to integrate and manage  decentralised RES  generation and energy storage (25.000.000 eur) </t>
  </si>
  <si>
    <t>033 - Smart Energy Systems (including smart grids and ICT systems) and related storage</t>
  </si>
  <si>
    <t>Users connected to smart energy systems</t>
  </si>
  <si>
    <t>Digital management systems for smart energy systems</t>
  </si>
  <si>
    <t xml:space="preserve"> An average 930 users are connected to one SP, then total  amount of users connected to 21 SP will be: 21x930=19530.  19 users  are connected to one 10/0,4 kV secondary substation, then the amount of users connected to 499 will be 499x19=9481.  Total number of users connected to smart energy systems 19530+9063=28600. Number of users is the same before and after  intervention because of modernization (not development) of installations.</t>
  </si>
  <si>
    <t xml:space="preserve">Data source </t>
  </si>
  <si>
    <r>
      <rPr>
        <i/>
        <sz val="10"/>
        <color rgb="FF7030A0"/>
        <rFont val="Calibri"/>
        <family val="2"/>
        <scheme val="minor"/>
      </rPr>
      <t xml:space="preserve">Uždavinio veikloms skaičiavimai atlikti su 50 proc. paramos intensyvumu, siekiant išlaikyti jau pasiteisinusį  finansavimo modelį  esamoje perspektyvoje. </t>
    </r>
    <r>
      <rPr>
        <sz val="10"/>
        <color theme="1"/>
        <rFont val="Calibri"/>
        <family val="2"/>
        <scheme val="minor"/>
      </rPr>
      <t xml:space="preserve">                                                                                                                                                                                                                                  Iki 2029 m. už 17,5 MEUR bus modernizuotos 15 TP, įdiegta 375 TR+ĮR bei įdiegta  1 informacinė sistema. Vidut. prie vienos 35 kV TP prijungta 1275 vartotojų, prie vienos TR  prijungta apie 19 vartotojų. Viso prijungta (15x1275)+(375x19) apie 26250 galutinių naudotojų/metus. </t>
    </r>
  </si>
  <si>
    <r>
      <t>Bus investuojama į trijų tipų sistemos komponentus:preliminariai informacinė sistema (įskaitant ir DATA HUB platformą) (vadovaujantis skirstomųjų tinklų operatoriaus atlikta analize, panašių projektų siekia iki 1 MEUR), modernizuojamos 35 kV transformatorinės pastotės (TP), siekiant jas padaryti reguliuojamomis (kaina 0,5 MEUR/vnt +10 proc. infliacijos koef.=0,55 MEUR/vnt) ir diegiami reguliuojami transformatoriai (TR) ir įtampos reguliatoriai (ĮR) 10/0,4 KV tinkle (vidut.kaina  0,02 MEUR /vnt  +10 proc. infliacijos koef.</t>
    </r>
    <r>
      <rPr>
        <sz val="10"/>
        <color theme="1"/>
        <rFont val="Calibri"/>
        <family val="2"/>
      </rPr>
      <t>=0,022 MEUR/vnt.</t>
    </r>
    <r>
      <rPr>
        <sz val="10"/>
        <color theme="1"/>
        <rFont val="Calibri"/>
        <family val="2"/>
        <scheme val="minor"/>
      </rPr>
      <t xml:space="preserve">). Kainos taikomos, vadovaujantis skirstomųjų tinklų operatoriaus  įgyvendintais projektais.  Daroma prielaida, kad IS skiriama 1 MEUR, o likusi lėšų dalis vienodom proporcijom investuojama į  TP, tiek ir TR+ĮR, t.y. po  (17,5-1)/2=8,25 MEUR. Už 8,25 MEUR bus galima modernizuoti 8,25/0,55=15 TP ir įdiegti 8,25/0,022=375 TR ir ĮR. Viso už 17,5 MEUR iki 2029 m. pab.bus įdiegta apie 391 sistemos komponentų (1+15+375). Darom prielaidą, kad iki 2024 m. pab. bus investuota apie 20 proc. lėšų, tad bus įdiegta 391x0,2=78 sistemos komponentai.                                                                                                                                                                     </t>
    </r>
  </si>
  <si>
    <t xml:space="preserve">Iki 2029 m. už 32,5 MEUR bus modernizuotos 29 TP, įdiegta 727 TR+ĮR. Vidut. prie vienos 35 kV TP prijungta 1275 vartotojų, prie vienos TR  prijungta apie 19 vartotojų. Viso prijungta (29x1275)+(727x19)=~ 50800 galutinių naudotojų/metus </t>
  </si>
  <si>
    <r>
      <t>Bus diegiami šie sistemos komponentai: modernizuojamos 35 kV transformatorinės pastotės (TP), siekiant jas padaryti reguliuojamomis (kaina 0,55 MEUR/vnt) ir diegiami reguliuojami transformatoriai (TR) ir įtampos reguliatoriai (ĮR) 10/0,4 KV tinkle (vidut.kaina  0,02 MEUR /vnt ). Daroma prielaida, kad lėšos vienodom proporcijom skiriamos tiek TP, tiek ir TR+ĮR, t.y. po  32,5/2</t>
    </r>
    <r>
      <rPr>
        <sz val="10"/>
        <color theme="1"/>
        <rFont val="Calibri"/>
        <family val="2"/>
      </rPr>
      <t>=</t>
    </r>
    <r>
      <rPr>
        <sz val="10"/>
        <color theme="1"/>
        <rFont val="Calibri"/>
        <family val="2"/>
        <scheme val="minor"/>
      </rPr>
      <t>16,25 MEUR. Už 16,25 MEUR bus galima modernizuoti 16,25/0,55=29 TP ir įdiegti 16,25/0,022=</t>
    </r>
    <r>
      <rPr>
        <sz val="10"/>
        <color theme="1"/>
        <rFont val="Calibri"/>
        <family val="2"/>
      </rPr>
      <t>~</t>
    </r>
    <r>
      <rPr>
        <sz val="10"/>
        <color theme="1"/>
        <rFont val="Calibri"/>
        <family val="2"/>
        <scheme val="minor"/>
      </rPr>
      <t xml:space="preserve">738  TR ir ĮR. Viso už 32,5 MEUR iki 2029 m. pab.bus įdiegta apie 738+29=767 sistemos komponentų. Darom prielaidą, kad iki 2024 m. pab. bus investuota apie 20 proc. lėšų, tad bus įdiegta 767x0,2=~153 sistemos komponentai.  </t>
    </r>
  </si>
  <si>
    <r>
      <t>Iki 2029 m. bus modernizuota 21 SP; vidut. prie vieno SP prijungta yra apie 930 vartotojų, tad prie visų modernizuotų SP bus prijungta 21x930=19530 galutinių naudotojų. IKi 2029 m. bus įdiegta 477 reguliuojamų  transformatorių ir įtampos reguliatorių 10/0,4 kV tinkle, kur vidut. prie vienos transformatorinės prijungta po 19 vartotojų.Viso prie TR ir ĮR  prijungta bus 477x19=9063 galutinių naudotojų per metus. Bendras prijungtas prie pažangių sistemų  galutinių naudotojų kiekis per metus 19530+9063</t>
    </r>
    <r>
      <rPr>
        <sz val="10"/>
        <color theme="1"/>
        <rFont val="Calibri"/>
        <family val="2"/>
      </rPr>
      <t>=</t>
    </r>
    <r>
      <rPr>
        <sz val="10"/>
        <color theme="1"/>
        <rFont val="Calibri"/>
        <family val="2"/>
        <scheme val="minor"/>
      </rPr>
      <t>28600.</t>
    </r>
  </si>
  <si>
    <t>Bus investuojama į: a) skirstomųjų punktų (SP) modernizavimą, diegiant išmaniąsias technologijas. Vidut. pagal esamus projektus, skirstomojo punkto modernizavimo kaina 0,3 MEUR  +10 proc. infliacijos koef=0,33 MEUR/vnt.; b) reguliuojamų transformatorių ir įtampos reguliatorių diegimą 10/0,4 kV tinkle, kur iš esamų projektų vidut. 1 vnt. kaina apie 0,02 MEUR  +10 proc. infliacijos koef.=0,022 MEUR/vnt.  Daroma prielaida, kad apie 40 proc. lėšų (7 MEUR) investuojama bus į SP modernizavimą, o 60 proc. (10,5 MEUR) -  į  TR ir ĮR. IKi 2029 m. bus įdiegta 7/0,33=~21 modernizuotų SP ir reguliuojamų transformatorių ir įtampos reguliatorių - 10,5/0,022=~477. Viso sistemos komponentų 21+477=498. Daroma prielaida, kad iki 2024 m. bus investuota apie 20 proc. lėšų, tad iki 2024 m. pab. bus įdiegta 498x0,2=100 komponentų.</t>
  </si>
  <si>
    <t>Iki 2029 m. bus modernizuota 39 SP; vidut. prie vieno SP prijungta yra apie 930 vartotojų, tad prie visų modernizuotų SP bus prijungta 39x930=36270 galutinių naudotojų. IKi 2029 m. bus įdiegta 886 reguliuojamų  transformatorių ir įtampos reguliatorių 10/0,4 kV tinkle, kur vidut. prie vienos transformatorinės prijungta po 19 vartotojų.Viso prie TR ir ĮR  prijungta bus 886x19=16834 galutinių naudotojų per metus. Iki 2029 m. bendras galutinių naudotojų kiekis per metus 36270+16834= 53104</t>
  </si>
  <si>
    <t>Bus investuojama į: a) skirstomųjų punktų (SP) modernizavimą, diegiant išmaniąsias technologijas. Vidut. pagal esamus projektus, skirstomojo punkto modernizavimo kaina 0,3 MEUR  +10 proc. infliacijos koef=0,33 MEUR/vnt.; b) reguliuojamų transformatorių ir įtampos reguliatorių diegimą 10/0,4 kV tinkle, kur iš esamų projektų vidut. 1 vnt. kaina apie 0,02 MEUR  +10 proc. infliacijos koef..  Daroma prielaida, kad apie 40 proc. lėšų (13 MEUR) investuojama bus į SP modernizavimą, o 60 proc. (19,5 MEUR) -  į  TR ir ĮR. IKi 2029 m. bus įdiegta 13/0,33=~39 modernizuotų SP ir reguliuojamų transformatorių ir įtampos reguliatorių -19,5/0,022=~886. Viso sistemos komponentų 39+886=925. Daroma prielaida, kad iki 2024 m. bus investuota apie 20 proc. lėšų, tad iki 2024 m. pab. bus įdiegta 925x0,2=185 komponentų.</t>
  </si>
  <si>
    <t>Category of region</t>
  </si>
  <si>
    <t>M.U.</t>
  </si>
  <si>
    <r>
      <t>co-financing rate (Eur.)</t>
    </r>
    <r>
      <rPr>
        <b/>
        <sz val="10"/>
        <color rgb="FFFF0000"/>
        <rFont val="Calibri"/>
        <family val="2"/>
        <scheme val="minor"/>
      </rPr>
      <t xml:space="preserve"> </t>
    </r>
  </si>
  <si>
    <r>
      <rPr>
        <i/>
        <sz val="10"/>
        <color theme="1"/>
        <rFont val="Calibri"/>
        <family val="2"/>
        <scheme val="minor"/>
      </rPr>
      <t>Calculation of indicators based on the 50 percent of funding intensity to maintain the same financial model as in 2014-2020.</t>
    </r>
    <r>
      <rPr>
        <sz val="10"/>
        <color theme="1"/>
        <rFont val="Calibri"/>
        <family val="2"/>
        <scheme val="minor"/>
      </rPr>
      <t xml:space="preserve">   40% of funds  (7 MEUR) will be invested into modernisation of  10 kV switching stations (1 SP - 0,33 MEUR) ; 60% of funds (10,5MEUR) - into modernization of 10/0,4 kV secondary substation and installation of voltage controllers (an average price   0,022 MEUR). 7/0,33=~21 SP and 10,5/0,022=~477 controllable 10/0,4 kV secondary substation and voltage controllers.  Total system components:  21+477=498. We assume that 20 proc. of funds will be invested by 2024,then 2024 value will be 498x0,2=100 system components.</t>
    </r>
  </si>
  <si>
    <r>
      <rPr>
        <i/>
        <sz val="10"/>
        <color theme="1"/>
        <rFont val="Calibri"/>
        <family val="2"/>
        <scheme val="minor"/>
      </rPr>
      <t>Calculation of indicators based on the 50 percent of funding intensity to maintain the same financial model as in 2014-2020.</t>
    </r>
    <r>
      <rPr>
        <sz val="10"/>
        <color theme="1"/>
        <rFont val="Calibri"/>
        <family val="2"/>
        <scheme val="minor"/>
      </rPr>
      <t xml:space="preserve"> 40% of funds  (13 MEUR) will be invested into modernisation of  10 kV switching stations (1 SP - 0,33 MEUR; 60% of funds (19,5MEUR) - into modernization of 10/0,4 kV secondary substation and installation of voltage controllers (an average price   0,022 MEUR). 13/0,33=~39 SP and 19,5/0,022=~886 10/0,4 kV secondary substation and voltage controllers.  Total system components: 39+886=925. We assume that 20 proc. of funds will be invested by 2024,then 2024 value  will be  925x0,2=185 system components. </t>
    </r>
  </si>
  <si>
    <t>Whole  Lithuania</t>
  </si>
  <si>
    <r>
      <rPr>
        <i/>
        <sz val="10"/>
        <color theme="1"/>
        <rFont val="Calibri"/>
        <family val="2"/>
        <charset val="186"/>
        <scheme val="minor"/>
      </rPr>
      <t xml:space="preserve">Calculation of indicators based on the 50 percent of funding intensity to maintain the same financial model as in 2014-2020. </t>
    </r>
    <r>
      <rPr>
        <sz val="10"/>
        <color theme="1"/>
        <rFont val="Calibri"/>
        <family val="2"/>
        <scheme val="minor"/>
      </rPr>
      <t xml:space="preserve">  Funds  will be divided equally  (32,5/2=~16,25 MEUR )  betweeen modernisation of primary substations (PS) and 10/0,4 kV secondary substations (SS)+ installations of voltage controllers (VC): 16,25/0,55=~29 PS   and  16,25/0,022=~738. According to DSO  data, PS modernization cost  0,55 MEUR, SS+VC - 0,022 MEUR.   Total system components: 29+738=767. We assume that 20 proc. of funds will be invested by 2024,then 2024 value will be 767x0,2=~153 system components.</t>
    </r>
  </si>
  <si>
    <r>
      <rPr>
        <i/>
        <sz val="10"/>
        <color theme="1"/>
        <rFont val="Calibri"/>
        <family val="2"/>
        <charset val="186"/>
        <scheme val="minor"/>
      </rPr>
      <t xml:space="preserve">Calculation of indicators based on the 50 percent of funding intensity to maintain the same financial model as in 2014-2020. </t>
    </r>
    <r>
      <rPr>
        <sz val="10"/>
        <color theme="1"/>
        <rFont val="Calibri"/>
        <family val="2"/>
        <scheme val="minor"/>
      </rPr>
      <t xml:space="preserve"> According to DSO market analysis , </t>
    </r>
    <r>
      <rPr>
        <sz val="10"/>
        <color theme="1"/>
        <rFont val="Calibri"/>
        <family val="2"/>
        <charset val="186"/>
      </rPr>
      <t>~</t>
    </r>
    <r>
      <rPr>
        <sz val="10"/>
        <color theme="1"/>
        <rFont val="Calibri"/>
        <family val="2"/>
        <scheme val="minor"/>
      </rPr>
      <t>1 MEUR could be needed to develop and install an information system (including Data Hub platform), the rest of funds  will be divided equally  (16,5/2=8,25 MEUR )  betweeen modernisation of primary substations (PS) and 10/0,4 kV secondary substations (SS)+ installations of voltage controllers (VC): 8,25/0,55=15 PS   and  8,25/0,022=375. According to DSO  data, PS modernization cost  0,55 MEUR, SS+VC - 0,022 MEUR.   Total system components:  1+15+375=391. We assume that 20 proc. of funds will be invested by 2024,then 2024 value will be 391x0,2=78 system components.</t>
    </r>
  </si>
  <si>
    <t xml:space="preserve">Enterprises </t>
  </si>
  <si>
    <t>units</t>
  </si>
  <si>
    <t>034- High efficiency co-generation, district heating and cooling</t>
  </si>
  <si>
    <t>024b- Energy efficiency and demonstration projects in large enterprises and supporting measures</t>
  </si>
  <si>
    <t xml:space="preserve">024- Energy efficiency and demonstration projects in SMEs and supporting measures </t>
  </si>
  <si>
    <t xml:space="preserve">2.1.3. To improve energy efficiency in enterprises                                               (24930585,7 eur)     </t>
  </si>
  <si>
    <t>2.1.2. To renovate public buildings improving energy efficiency   (62.000.000 eur)</t>
  </si>
  <si>
    <t>025- Energy efficiency renovation of existing housing stock, demonstration projects and supporting measures</t>
  </si>
  <si>
    <t>026- Energy efficiency renovation of public infrastructure, demonstration projects and supporting measures</t>
  </si>
  <si>
    <t>tons of  CO2 eq/year</t>
  </si>
  <si>
    <t>whole Lithuania</t>
  </si>
  <si>
    <t xml:space="preserve">Installed meters with remote data reading for heat, cool, hot water </t>
  </si>
  <si>
    <r>
      <rPr>
        <i/>
        <sz val="10"/>
        <color rgb="FF7030A0"/>
        <rFont val="Calibri"/>
        <family val="2"/>
        <scheme val="minor"/>
      </rPr>
      <t xml:space="preserve">Veiklai rodiklių skaičiavimai atlikti su 22 proc. paramos intensyvumu, siekiant išlaikyti tą pačią pasiteisinusią finansavimo schemą kaip ir 2014-2020 m. perspektyvoje saulės elektrinėms.    </t>
    </r>
    <r>
      <rPr>
        <sz val="10"/>
        <rFont val="Calibri"/>
        <family val="2"/>
        <charset val="186"/>
        <scheme val="minor"/>
      </rPr>
      <t xml:space="preserve"> Darom prielaidą, kad administravimo išlaidos sudarys 4,11 proc. t.y.  tiek pat, kiek 2014-2020 VP  saulės elektrinėms ir jos išeliminuojamos iš rodiklių skaičiavimo.Nuo likusių kategorijai skirtų lėšų 30 proc.   numatoma skirti    energijos, pagamintos vėjo elektrinėse, saugojimui:</t>
    </r>
    <r>
      <rPr>
        <sz val="10"/>
        <rFont val="Calibri"/>
        <family val="2"/>
        <scheme val="minor"/>
      </rPr>
      <t xml:space="preserve"> 4597769,38x0,3=1379330,8 eur. Vidut. kaina kWh saugojimo apie 330 eur (330000 eur/MWh  </t>
    </r>
    <r>
      <rPr>
        <i/>
        <sz val="10"/>
        <rFont val="Calibri"/>
        <family val="2"/>
        <scheme val="minor"/>
      </rPr>
      <t xml:space="preserve">https://www.irena.org/-/media/Files/IRENA/Agency/Publication/2017/Oct/IRENA_Electricity_Storage_Costs_2017_Summary.pdf </t>
    </r>
    <r>
      <rPr>
        <sz val="10"/>
        <rFont val="Calibri"/>
        <family val="2"/>
        <scheme val="minor"/>
      </rPr>
      <t xml:space="preserve">  Už  1379330,8 eur bus galima saugoti 1,3793308 MEUR/0,33eur/MWh=~4</t>
    </r>
    <r>
      <rPr>
        <b/>
        <sz val="10"/>
        <rFont val="Calibri"/>
        <family val="2"/>
        <scheme val="minor"/>
      </rPr>
      <t xml:space="preserve">,2 MWh. </t>
    </r>
    <r>
      <rPr>
        <sz val="10"/>
        <rFont val="Calibri"/>
        <family val="2"/>
        <scheme val="minor"/>
      </rPr>
      <t>Darom prielaidą, kad iki 2024 m.bus investuota 30 proc., tuomet 4,2x0,3</t>
    </r>
    <r>
      <rPr>
        <b/>
        <sz val="10"/>
        <rFont val="Calibri"/>
        <family val="2"/>
        <scheme val="minor"/>
      </rPr>
      <t xml:space="preserve"> =1,26 MWh                                                                                                                                                                  </t>
    </r>
    <r>
      <rPr>
        <i/>
        <sz val="10"/>
        <color rgb="FF7030A0"/>
        <rFont val="Calibri"/>
        <family val="2"/>
        <scheme val="minor"/>
      </rPr>
      <t>Veiklai tiktų RCO105 rodiklis, tačiau jo taikymas numatytas tik 3 uždavinyje. Kadangi šioje veikloje kartu su AEI elektrinių įrengimo skatinimu bus investuojama ir į energijos saugojimą, tad siekiant nedidinti administracinės naštos namų ūkiams, įvestas analogiškas RCO105 nac. rodiklis.</t>
    </r>
  </si>
  <si>
    <r>
      <t>Darom prielaidą, kad administravimo išlaidos sudarys 4,11 proc. t.y.  tiek pat, kiek 2014-2020 VP  saulės elektrinėms ir jos išeliminuojamos iš rodiklių skaičiavimo. Bus investuojama 70 proc. (4.597.769,38x0,7=3218438,6 eur) kategorijai skirtų lėšų vėjo jėgainių įrengimui namų ūkių poreikiams.  Remiantis viešai prieinamomis ataskaitomis apie vėjo elektrinių kainas, nustatyta, kad vidutinė mažų pajėgumų kaina sudaro apie 2000/kW. Už 3218438,6 eur  bus galima  įrengti apie 3218438,6 eur /2000/1000 =~</t>
    </r>
    <r>
      <rPr>
        <b/>
        <sz val="10"/>
        <rFont val="Calibri"/>
        <family val="2"/>
        <scheme val="minor"/>
      </rPr>
      <t>1,6MW</t>
    </r>
    <r>
      <rPr>
        <sz val="10"/>
        <rFont val="Calibri"/>
        <family val="2"/>
        <scheme val="minor"/>
      </rPr>
      <t xml:space="preserve">e. Darant prielaidą, kad iki 2024 metų pab. bus skirta apie 30 proc. lėšų, tad būtų įrengta apie </t>
    </r>
    <r>
      <rPr>
        <b/>
        <sz val="10"/>
        <rFont val="Calibri"/>
        <family val="2"/>
        <scheme val="minor"/>
      </rPr>
      <t>0,48 MWe</t>
    </r>
    <r>
      <rPr>
        <sz val="10"/>
        <rFont val="Calibri"/>
        <family val="2"/>
        <scheme val="minor"/>
      </rPr>
      <t xml:space="preserve">.                 </t>
    </r>
  </si>
  <si>
    <r>
      <rPr>
        <u/>
        <sz val="10"/>
        <color theme="1"/>
        <rFont val="Calibri"/>
        <family val="2"/>
        <scheme val="minor"/>
      </rPr>
      <t>Pradinė CO2 reikšmė:</t>
    </r>
    <r>
      <rPr>
        <sz val="10"/>
        <color theme="1"/>
        <rFont val="Calibri"/>
        <family val="2"/>
        <scheme val="minor"/>
      </rPr>
      <t xml:space="preserve"> Vadovaujantis laisvai prieinama tech. informacija internete, 10 kW vėjo elektrinė (namų ūkių poreikiams) per metus pagamina 12800 kWh arba 1 MW - 1280 MWh/metus, tad 1,6 MW vėjo pagamins 1,6 MW x 1280 MWh/per metus =~2048 MWh/metus. CO2 bus 2048 x0,42 tCO2/MWh (elektros energijos taršos faktorius)  = </t>
    </r>
    <r>
      <rPr>
        <sz val="10"/>
        <color theme="1"/>
        <rFont val="Calibri"/>
        <family val="2"/>
        <charset val="186"/>
      </rPr>
      <t>~</t>
    </r>
    <r>
      <rPr>
        <sz val="10"/>
        <color theme="1"/>
        <rFont val="Calibri"/>
        <family val="2"/>
        <scheme val="minor"/>
      </rPr>
      <t>860 tCO2ekv./metus. Galutinė reikšmė: 0</t>
    </r>
  </si>
  <si>
    <r>
      <rPr>
        <u/>
        <sz val="10"/>
        <color theme="1"/>
        <rFont val="Calibri"/>
        <family val="2"/>
        <scheme val="minor"/>
      </rPr>
      <t>Baseline:</t>
    </r>
    <r>
      <rPr>
        <sz val="10"/>
        <color theme="1"/>
        <rFont val="Calibri"/>
        <family val="2"/>
        <scheme val="minor"/>
      </rPr>
      <t xml:space="preserve"> 1MW small scale wind power plant generates 1280MWh/year, then 1,6 MW wind PP would generate 1,6 MWx1280 MWh/year. = ~2048 MWh/year.  CO2 will be 2048 x0,42 tCO2/MWh (</t>
    </r>
    <r>
      <rPr>
        <i/>
        <sz val="10"/>
        <color theme="1"/>
        <rFont val="Calibri"/>
        <family val="2"/>
        <scheme val="minor"/>
      </rPr>
      <t>electricity pollution factor according to Technical Regulation of Construction, MInistry of Environment)</t>
    </r>
    <r>
      <rPr>
        <sz val="10"/>
        <color theme="1"/>
        <rFont val="Calibri"/>
        <family val="2"/>
        <scheme val="minor"/>
      </rPr>
      <t xml:space="preserve">  = ~</t>
    </r>
    <r>
      <rPr>
        <b/>
        <sz val="10"/>
        <color theme="1"/>
        <rFont val="Calibri"/>
        <family val="2"/>
        <charset val="186"/>
        <scheme val="minor"/>
      </rPr>
      <t>860 tCO2 eq/year</t>
    </r>
    <r>
      <rPr>
        <sz val="10"/>
        <color theme="1"/>
        <rFont val="Calibri"/>
        <family val="2"/>
        <scheme val="minor"/>
      </rPr>
      <t xml:space="preserve">. </t>
    </r>
    <r>
      <rPr>
        <u/>
        <sz val="10"/>
        <color theme="1"/>
        <rFont val="Calibri"/>
        <family val="2"/>
        <scheme val="minor"/>
      </rPr>
      <t>Target 2029:</t>
    </r>
    <r>
      <rPr>
        <sz val="10"/>
        <color theme="1"/>
        <rFont val="Calibri"/>
        <family val="2"/>
        <scheme val="minor"/>
      </rPr>
      <t xml:space="preserve"> 2048 x 0 tCO2/MWh ( wind energy  pollution factor according to Technical Regulation of Construction, MInistry of Environment)  = 0.</t>
    </r>
  </si>
  <si>
    <r>
      <rPr>
        <i/>
        <sz val="10"/>
        <color theme="1"/>
        <rFont val="Calibri"/>
        <family val="2"/>
        <scheme val="minor"/>
      </rPr>
      <t xml:space="preserve">Calculation of indicators based on the 50 percent of funding intensity to maintain the same financial model as in 2014-2020. </t>
    </r>
    <r>
      <rPr>
        <sz val="10"/>
        <color theme="1"/>
        <rFont val="Calibri"/>
        <family val="2"/>
        <scheme val="minor"/>
      </rPr>
      <t xml:space="preserve">  We assume that administrative costs will be similar as for boilers' replacement projects administration  in 2014-2020 OP and those costs are not included in the calculation of indicators. According to 2014-2020 OP implementation results, an average installed capacity of biomass boiler  for one household  reaches 19 kW with the price of 3000 eur (1kW=150 eur according to flat rate study prepared by ESFA).  Then with the allocated investment 36365576,12/3000=~12122 efficient biomass boilers would be installed whose capacity will be 12122x19 kW/1000=~230 MWt. </t>
    </r>
    <r>
      <rPr>
        <i/>
        <sz val="10"/>
        <color theme="1"/>
        <rFont val="Calibri"/>
        <family val="2"/>
        <scheme val="minor"/>
      </rPr>
      <t>We assume that 30 percent of funds will be invested by 2024, then milestone will be 230x0,3=69 MWt</t>
    </r>
  </si>
  <si>
    <r>
      <t xml:space="preserve"> </t>
    </r>
    <r>
      <rPr>
        <i/>
        <sz val="10"/>
        <color rgb="FF7030A0"/>
        <rFont val="Calibri"/>
        <family val="2"/>
        <scheme val="minor"/>
      </rPr>
      <t xml:space="preserve">Skaičiavimuose taikomas paramos intensyvumas 50 proc., siekiant išlaikyti tokį patį finansavimo modelį kaip ir 2014-2020 m.   </t>
    </r>
    <r>
      <rPr>
        <sz val="10"/>
        <color theme="1"/>
        <rFont val="Calibri"/>
        <family val="2"/>
        <scheme val="minor"/>
      </rPr>
      <t xml:space="preserve">                                                                                                                                                       Pagal 2014–2020 metų VP priemonės „Katilų keitimas namų ūkiuose“ faktinius rezultatus, įrengiamų šilumos siurblių  vidut. galia  9 kW ir kaina apie 6000 EUR (1kW=670 eurų). Tad investavus 36365575,93 EUR, galima būtų įrengti apie 36365575,93/6000=~6061 šilumos siurblių, kurių bendras pajėgumas būtų 6061x9kW/1000=~</t>
    </r>
    <r>
      <rPr>
        <b/>
        <sz val="10"/>
        <color theme="1"/>
        <rFont val="Calibri"/>
        <family val="2"/>
        <scheme val="minor"/>
      </rPr>
      <t>55 MWš</t>
    </r>
    <r>
      <rPr>
        <sz val="10"/>
        <color theme="1"/>
        <rFont val="Calibri"/>
        <family val="2"/>
        <scheme val="minor"/>
      </rPr>
      <t xml:space="preserve">. Daroma prielaida, kad iki 2024 m. bus investuota apie 30 proc. lėšų, tad galima būtų įrengti apie </t>
    </r>
    <r>
      <rPr>
        <b/>
        <sz val="10"/>
        <color theme="1"/>
        <rFont val="Calibri"/>
        <family val="2"/>
        <scheme val="minor"/>
      </rPr>
      <t>16 MWš.</t>
    </r>
  </si>
  <si>
    <r>
      <rPr>
        <i/>
        <sz val="10"/>
        <color theme="1"/>
        <rFont val="Calibri"/>
        <family val="2"/>
        <scheme val="minor"/>
      </rPr>
      <t xml:space="preserve">Calculation of indicators based on the 50 percent of funding intensity to maintain the same financial model as in 2014-2020.  We assume that administrative costs will be  similar as for boilers' replacement projects administration  in 2014-2020 OP and those costs are not included in the calculation of indicators. </t>
    </r>
    <r>
      <rPr>
        <sz val="10"/>
        <color theme="1"/>
        <rFont val="Calibri"/>
        <family val="2"/>
        <scheme val="minor"/>
      </rPr>
      <t xml:space="preserve"> According to 2014-2020 OP implementation results, an average installed capacity of heat pump  for one household  reaches 9 kW with the price of 6000 eur (1kW=670 eur according to flat rate study prepared by ESFA). We assume that administrative costs will be 4,11 percent,Then with the allocated investment 36365575,93 /6000=~6061 heat pumps would be installed whose capacity will be 6061x9 kW/1000=~55 MWt. We assume that 30 percent of funds will be invested by 2024, then milestone will be 55x0,3=16 MWt</t>
    </r>
  </si>
  <si>
    <r>
      <rPr>
        <i/>
        <sz val="10"/>
        <color theme="1"/>
        <rFont val="Calibri"/>
        <family val="2"/>
        <scheme val="minor"/>
      </rPr>
      <t xml:space="preserve"> Calculation of indicators based on 22 percent of  funding intensity to maintain the same funding level as for solar energy during 2014-2020</t>
    </r>
    <r>
      <rPr>
        <sz val="10"/>
        <color theme="1"/>
        <rFont val="Calibri"/>
        <family val="2"/>
        <scheme val="minor"/>
      </rPr>
      <t xml:space="preserve">. We assume that administrative costs will be similar as for solar power plants projects administration  in 2014-2020 OP  (4,11 percent) and those costs are not included in the calculation of indicators (1045010,2-(1045010,2 x0,0411). </t>
    </r>
    <r>
      <rPr>
        <u/>
        <sz val="10"/>
        <color theme="1"/>
        <rFont val="Calibri"/>
        <family val="2"/>
        <scheme val="minor"/>
      </rPr>
      <t>Target 2029</t>
    </r>
    <r>
      <rPr>
        <sz val="10"/>
        <color theme="1"/>
        <rFont val="Calibri"/>
        <family val="2"/>
        <scheme val="minor"/>
      </rPr>
      <t>: 30 percent funds (4597769,38x0,3=1379330,8 eur) will be allocated to energy storage. An average  1 kWh storage capacity cost about 330 eur (1 MWh=330000 eur, https://www.irena.org/-/media/Files/IRENA/Agency/Publication/2017/Oct/IRENA_Electricity_Storage_Costs_2017_Summary.pdf ). Then with 1379330,8 eur  would be possible to store 1,3793308 MEUR/0,33eur/MWh=~</t>
    </r>
    <r>
      <rPr>
        <b/>
        <sz val="10"/>
        <color theme="1"/>
        <rFont val="Calibri"/>
        <family val="2"/>
        <charset val="186"/>
        <scheme val="minor"/>
      </rPr>
      <t>4,2</t>
    </r>
    <r>
      <rPr>
        <sz val="10"/>
        <color theme="1"/>
        <rFont val="Calibri"/>
        <family val="2"/>
        <scheme val="minor"/>
      </rPr>
      <t xml:space="preserve"> </t>
    </r>
    <r>
      <rPr>
        <b/>
        <sz val="10"/>
        <color theme="1"/>
        <rFont val="Calibri"/>
        <family val="2"/>
        <charset val="186"/>
        <scheme val="minor"/>
      </rPr>
      <t>MWh.</t>
    </r>
    <r>
      <rPr>
        <sz val="10"/>
        <color theme="1"/>
        <rFont val="Calibri"/>
        <family val="2"/>
        <scheme val="minor"/>
      </rPr>
      <t xml:space="preserve"> </t>
    </r>
    <r>
      <rPr>
        <u/>
        <sz val="10"/>
        <color theme="1"/>
        <rFont val="Calibri"/>
        <family val="2"/>
        <scheme val="minor"/>
      </rPr>
      <t>Milestone 2024</t>
    </r>
    <r>
      <rPr>
        <sz val="10"/>
        <color theme="1"/>
        <rFont val="Calibri"/>
        <family val="2"/>
        <scheme val="minor"/>
      </rPr>
      <t>: we assume that 30 percent funds will be invested by 2024, then 4,2x0,3 =</t>
    </r>
    <r>
      <rPr>
        <b/>
        <sz val="10"/>
        <color theme="1"/>
        <rFont val="Calibri"/>
        <family val="2"/>
        <charset val="186"/>
        <scheme val="minor"/>
      </rPr>
      <t>1,26</t>
    </r>
    <r>
      <rPr>
        <sz val="10"/>
        <color theme="1"/>
        <rFont val="Calibri"/>
        <family val="2"/>
        <scheme val="minor"/>
      </rPr>
      <t xml:space="preserve"> </t>
    </r>
    <r>
      <rPr>
        <b/>
        <sz val="10"/>
        <color theme="1"/>
        <rFont val="Calibri"/>
        <family val="2"/>
        <charset val="186"/>
        <scheme val="minor"/>
      </rPr>
      <t>MWh</t>
    </r>
    <r>
      <rPr>
        <sz val="10"/>
        <color theme="1"/>
        <rFont val="Calibri"/>
        <family val="2"/>
        <scheme val="minor"/>
      </rPr>
      <t xml:space="preserve"> could be stored by 2024.</t>
    </r>
    <r>
      <rPr>
        <i/>
        <sz val="10"/>
        <color theme="1"/>
        <rFont val="Calibri"/>
        <family val="2"/>
        <scheme val="minor"/>
      </rPr>
      <t xml:space="preserve"> Since RCO105 indicator could be applied only for 2PO2.3, then special output indicator  for energy storage (identical to RCO105) proposed  for 2PO 2.2 actions. We seek to promote prosumers to use RES and energy storage solutions as a package (separate options will also be available). </t>
    </r>
  </si>
  <si>
    <r>
      <t>Calculation of indicators based on the 50 percent of funding intensity to maintain the same financial model as in 2014-2020.   We assume that administrative costs will be similar as in 2014-2020 OP for boilers' replacement projects and those costs are not included in the calculation of indicators. According to 2014-2020 OP implementation results, an average heat generation capacity installed per household is 11 kW with the price of 3696 eur (1kW</t>
    </r>
    <r>
      <rPr>
        <sz val="10"/>
        <color theme="1"/>
        <rFont val="Calibri"/>
        <family val="2"/>
      </rPr>
      <t>=336 eur). With the allocated investment 15400 households will become more efficient  56906045/3696=</t>
    </r>
    <r>
      <rPr>
        <sz val="10"/>
        <color theme="1"/>
        <rFont val="Calibri"/>
        <family val="2"/>
        <charset val="186"/>
      </rPr>
      <t>~</t>
    </r>
    <r>
      <rPr>
        <sz val="10"/>
        <color theme="1"/>
        <rFont val="Calibri"/>
        <family val="2"/>
      </rPr>
      <t xml:space="preserve">15400. </t>
    </r>
    <r>
      <rPr>
        <sz val="10"/>
        <color theme="1"/>
        <rFont val="Calibri"/>
        <family val="2"/>
        <scheme val="minor"/>
      </rPr>
      <t>We assume that 30 percent of funds will be invested by 2024, then milestone will be 15400x0,3=4620 households with better energy efficiency.</t>
    </r>
  </si>
  <si>
    <r>
      <rPr>
        <i/>
        <sz val="10"/>
        <color rgb="FF7030A0"/>
        <rFont val="Calibri"/>
        <family val="2"/>
        <scheme val="minor"/>
      </rPr>
      <t xml:space="preserve">Rodikliai skaičiuojami su 50 proc. intensyvumu, išlaikant tą pačią finansavimo schemą kaip ir 2014-2020 m. </t>
    </r>
    <r>
      <rPr>
        <i/>
        <sz val="10"/>
        <rFont val="Calibri"/>
        <family val="2"/>
        <charset val="186"/>
        <scheme val="minor"/>
      </rPr>
      <t>Administravimo kaštai 4,11 proc. yra tokie patys  kaip 2014-2020 m. VP. Jie išeliminuojami skaičiuojant rodiklių reikšmes.</t>
    </r>
    <r>
      <rPr>
        <i/>
        <sz val="10"/>
        <color rgb="FF7030A0"/>
        <rFont val="Calibri"/>
        <family val="2"/>
        <scheme val="minor"/>
      </rPr>
      <t xml:space="preserve"> </t>
    </r>
    <r>
      <rPr>
        <sz val="10"/>
        <color theme="1"/>
        <rFont val="Calibri"/>
        <family val="2"/>
        <scheme val="minor"/>
      </rPr>
      <t>Pagal 2014–2020 metų VP įgyvendinimo rezultatus vienam namų ūkiui, t.y. 1 šilumos gamybos įrenginiui tenkanti vidut. šilumos galia yra 11 kW ir jo vid. kaina 3696 eur (1 kW kaina 336 eur). Investavus 56906045 eur,  užtikrinsime energijos efektyvumo rodiklių pagerinimą apie 15400 namų ūkių 56906045/3696=</t>
    </r>
    <r>
      <rPr>
        <sz val="10"/>
        <color theme="1"/>
        <rFont val="Calibri"/>
        <family val="2"/>
        <charset val="186"/>
      </rPr>
      <t>~</t>
    </r>
    <r>
      <rPr>
        <sz val="10"/>
        <color theme="1"/>
        <rFont val="Calibri"/>
        <family val="2"/>
        <scheme val="minor"/>
      </rPr>
      <t>15400. Daroma prielaida, kad iki 2024 m. pab. bus investuota apie 30 proc. lėšų, tad tarpinė reikšmė 15400x0,3</t>
    </r>
    <r>
      <rPr>
        <sz val="10"/>
        <color theme="1"/>
        <rFont val="Calibri"/>
        <family val="2"/>
      </rPr>
      <t>=4620</t>
    </r>
  </si>
  <si>
    <r>
      <rPr>
        <i/>
        <sz val="10"/>
        <color rgb="FF7030A0"/>
        <rFont val="Calibri"/>
        <family val="2"/>
        <scheme val="minor"/>
      </rPr>
      <t>Rodikliai skaičiuojami su 50 proc. intensyvumu, išlaikant tą pačią finansavimo schemą kaip ir 2014-2020 m.</t>
    </r>
    <r>
      <rPr>
        <sz val="10"/>
        <color theme="1"/>
        <rFont val="Calibri"/>
        <family val="2"/>
        <scheme val="minor"/>
      </rPr>
      <t xml:space="preserve"> </t>
    </r>
    <r>
      <rPr>
        <i/>
        <sz val="10"/>
        <color theme="1"/>
        <rFont val="Calibri"/>
        <family val="2"/>
        <charset val="186"/>
        <scheme val="minor"/>
      </rPr>
      <t xml:space="preserve">Administravimo kaštai 4,11 proc. yra tokie patys  kaip 2014-2020 m. VP. Jie išeliminuojami skaičiuojant rodiklių reikšmes. </t>
    </r>
    <r>
      <rPr>
        <sz val="10"/>
        <color theme="1"/>
        <rFont val="Calibri"/>
        <family val="2"/>
        <scheme val="minor"/>
      </rPr>
      <t>Pagal 2014–2020 VP įgyvendinimo rezultatus vienam namų ūkiui, t.y. 1 šilumos gamybos įrenginiui tenkanti vidut. šilumos galia yra 11 kW ir jo vid. kaina 3696 eur (1 kW kaina 336 eur).Investavus 105682655 eur, užtikrinsime energijos efektyvumo rodiklių pagerinimą apie 28600 namų ūkių 105682655/3696=</t>
    </r>
    <r>
      <rPr>
        <sz val="10"/>
        <color theme="1"/>
        <rFont val="Calibri"/>
        <family val="2"/>
        <charset val="186"/>
      </rPr>
      <t>~</t>
    </r>
    <r>
      <rPr>
        <b/>
        <sz val="10"/>
        <color theme="1"/>
        <rFont val="Calibri"/>
        <family val="2"/>
        <scheme val="minor"/>
      </rPr>
      <t>28600</t>
    </r>
    <r>
      <rPr>
        <sz val="10"/>
        <color theme="1"/>
        <rFont val="Calibri"/>
        <family val="2"/>
        <scheme val="minor"/>
      </rPr>
      <t>. Daroma prielaida, kad iki 2024 m. pab. bus investuota apie 30 proc. lėšų, tad tarpinė reikšmė 28600x0,3=</t>
    </r>
    <r>
      <rPr>
        <b/>
        <sz val="10"/>
        <color theme="1"/>
        <rFont val="Calibri"/>
        <family val="2"/>
        <scheme val="minor"/>
      </rPr>
      <t>8580</t>
    </r>
  </si>
  <si>
    <r>
      <rPr>
        <i/>
        <sz val="10"/>
        <color theme="1"/>
        <rFont val="Calibri"/>
        <family val="2"/>
        <charset val="186"/>
        <scheme val="minor"/>
      </rPr>
      <t>Calculation of indicators based on the 50 percent of funding intensity to maintain the same financial model as in 2014-2020.</t>
    </r>
    <r>
      <rPr>
        <sz val="10"/>
        <color theme="1"/>
        <rFont val="Calibri"/>
        <family val="2"/>
        <scheme val="minor"/>
      </rPr>
      <t xml:space="preserve">    We assume that administrative costs will be similar as in 2014-2020 OP for boilers' replacement projects and those costs are not included in the calculation of indicators. According to 2014-2020 OP implementation results, an average heat generation capacity installed per household is 11 kW with the price of 3696 eur (1kW=336 eur). With the allocated investment 28600 households will become better energy efficient  105682655/3696=~28600.  We assume that 30 percent of funds will be invested by 2024, then milestone will be 28600x0,3=8580 households with better energy efficiency.</t>
    </r>
  </si>
  <si>
    <r>
      <rPr>
        <i/>
        <sz val="10"/>
        <color rgb="FF7030A0"/>
        <rFont val="Calibri"/>
        <family val="2"/>
        <scheme val="minor"/>
      </rPr>
      <t xml:space="preserve">Rodikliai skaičiuojami su 70 proc. intensyvumu, išlaikant tą pačią finansavimo schemą kaip ir 2014-2020 m. </t>
    </r>
    <r>
      <rPr>
        <sz val="10"/>
        <color theme="1"/>
        <rFont val="Calibri"/>
        <family val="2"/>
        <scheme val="minor"/>
      </rPr>
      <t xml:space="preserve">Pagal 2014–2020 metų VP) įgyvendinimą ir gautų projektų informaciją, vid. investicijų poreikis pastato atnaujinimui siekia 345 Eur/m², tad su intervencijų kategorijai numatyta bendra lėšų suma,  galima būtų atnaujinti apie 35428571 / 345 = ~ 102 tūkst. m²;  Daroma prielaida, kad iki 2024 m. bus investuota   apie 10 proc. lėšų ir atnaujinta apie 10,2 tūkst m²pastatų ploto. </t>
    </r>
  </si>
  <si>
    <r>
      <rPr>
        <i/>
        <sz val="10"/>
        <color rgb="FF7030A0"/>
        <rFont val="Calibri"/>
        <family val="2"/>
        <scheme val="minor"/>
      </rPr>
      <t>Veiklai tiktų RCO105 rodiklis, tačiau jo taikymas numatytas tik 3 uždavinyje. Kadangi šioje veikloje kartu su AEI elektrinių įrengimo skatinimu bus investuojama ir į energijos saugojimą, tad siekiant nedidinti administracinės naštos namų ūkiams, įvestas analogiškas RCO105 nac. rodiklis šiame uždavinyje.                                                                                                                                                                             Veiklai rodiklių skaičiavimai atlikti su 22 proc. paramos intensyvumu, siekiant išlaikyti tą pačią pasiteisinusią finansavimo schemą kaip ir 2014-2020 m. perspektyvoje bei siekiant paskatinti kuo daugiau gaminančių vartotojų.</t>
    </r>
    <r>
      <rPr>
        <i/>
        <sz val="10"/>
        <color rgb="FF00B050"/>
        <rFont val="Calibri"/>
        <family val="2"/>
        <scheme val="minor"/>
      </rPr>
      <t xml:space="preserve"> </t>
    </r>
    <r>
      <rPr>
        <sz val="10"/>
        <rFont val="Calibri"/>
        <family val="2"/>
        <scheme val="minor"/>
      </rPr>
      <t>Energijos, pagamintos saulės elektrinėse, saugojimui nu</t>
    </r>
    <r>
      <rPr>
        <sz val="10"/>
        <color theme="1"/>
        <rFont val="Calibri"/>
        <family val="2"/>
        <scheme val="minor"/>
      </rPr>
      <t xml:space="preserve">matoma skirti 10 proc. (455.179.185,07x0,1 =45.517.918,5 eur)  finansavimo nuo kategorijai skirtų lėšų.   Vidut. kaina kWh saugojimo apie 330 eur (330000 eur/MWh  https://www.irena.org/-/media/Files/IRENA/Agency/Publication/2017/Oct/IRENA_Electricity_Storage_Costs_2017_Summary.pdf  Darome prielaidą, kad administravimo išlaidos saulės energijos saugojimo projektams tokios pat kaip 2014-2020 VP  saulės elektrinių diegimui -  4,11 proc. ir jos išeliminuojamos iš rodiklių skaičiavimo. Už 45.517.918,5 eur  bus galima saugoti 45,5179185 MEUR/0,33 MEUR/MWh=~138 MWh. Darom prielaidą, kad iki 2024 m.bus investuota 30 proc., tuomet galima sukurti talpyklų, saugojančių 138,2x0,3 =~41,5 MWh </t>
    </r>
  </si>
  <si>
    <r>
      <rPr>
        <i/>
        <sz val="10"/>
        <color theme="1"/>
        <rFont val="Calibri"/>
        <family val="2"/>
        <scheme val="minor"/>
      </rPr>
      <t>Calculation of indicators based on 22 percent of  funding intensity to maintain the same funding model as for small scale solar power plants promotion in 2014-2020 OP.</t>
    </r>
    <r>
      <rPr>
        <sz val="10"/>
        <color theme="1"/>
        <rFont val="Calibri"/>
        <family val="2"/>
        <scheme val="minor"/>
      </rPr>
      <t xml:space="preserve"> </t>
    </r>
    <r>
      <rPr>
        <u/>
        <sz val="10"/>
        <color theme="1"/>
        <rFont val="Calibri"/>
        <family val="2"/>
        <scheme val="minor"/>
      </rPr>
      <t>Target 2029: 1</t>
    </r>
    <r>
      <rPr>
        <sz val="10"/>
        <color theme="1"/>
        <rFont val="Calibri"/>
        <family val="2"/>
        <scheme val="minor"/>
      </rPr>
      <t xml:space="preserve">0 percent funds (455.179.185,07x0,1 =45.517.918,5 eur)  will be allocated to storage of energy produced in solar power plants.An average  1 kWh storage capacity costs about 330 eur (1 MWh=330000 eur, https://www.irena.org/-/media/Files/IRENA/Agency/Publication/2017/Oct/IRENA_Electricity_Storage_Costs_2017_Summary.pdf ). </t>
    </r>
    <r>
      <rPr>
        <i/>
        <sz val="10"/>
        <color theme="1"/>
        <rFont val="Calibri"/>
        <family val="2"/>
        <charset val="186"/>
        <scheme val="minor"/>
      </rPr>
      <t xml:space="preserve">We assume that administrative costs will be the same  as in 2014-2020 OP for solar PP projects' administration 4,11 percent and those costs are not included int calculation of indicators. </t>
    </r>
    <r>
      <rPr>
        <sz val="10"/>
        <color theme="1"/>
        <rFont val="Calibri"/>
        <family val="2"/>
        <scheme val="minor"/>
      </rPr>
      <t xml:space="preserve">With 455179185 eur would be possible to store 45,5179185 MEUR/0,33 MEUR/MWh=~138 MWh energy produced by solar PP. </t>
    </r>
    <r>
      <rPr>
        <u/>
        <sz val="10"/>
        <color theme="1"/>
        <rFont val="Calibri"/>
        <family val="2"/>
        <scheme val="minor"/>
      </rPr>
      <t>Milestone 2024:</t>
    </r>
    <r>
      <rPr>
        <sz val="10"/>
        <color theme="1"/>
        <rFont val="Calibri"/>
        <family val="2"/>
        <scheme val="minor"/>
      </rPr>
      <t xml:space="preserve"> we assume that 30 percent funds will be invested by 2024, then  138,2x0,3 =~41,5 MWh  could be stored by 2024. </t>
    </r>
    <r>
      <rPr>
        <i/>
        <sz val="10"/>
        <color theme="1"/>
        <rFont val="Calibri"/>
        <family val="2"/>
        <scheme val="minor"/>
      </rPr>
      <t xml:space="preserve">Since RCO105 indicator could be applied only for 2PO2.3, then special output indicator  for energy storage (identical to RCO105) proposed  for 2PO 2.2 actions. We seek to promote prosumers to use RES and energy storage solutions as a package (separate options will also be available). </t>
    </r>
  </si>
  <si>
    <r>
      <rPr>
        <i/>
        <sz val="10"/>
        <color theme="1"/>
        <rFont val="Calibri"/>
        <family val="2"/>
        <scheme val="minor"/>
      </rPr>
      <t>Calculation of indicators based on 22 percent of  funding intensity to maintain the same funding model as in 2014-2020 OP</t>
    </r>
    <r>
      <rPr>
        <sz val="10"/>
        <color theme="1"/>
        <rFont val="Calibri"/>
        <family val="2"/>
        <scheme val="minor"/>
      </rPr>
      <t xml:space="preserve">.We assume that administrative costs will be the same  as in 2014-2020 OP for solar PP projects' administration 4,11 percent and those costs are not included int calculation of indicators. </t>
    </r>
    <r>
      <rPr>
        <u/>
        <sz val="10"/>
        <color theme="1"/>
        <rFont val="Calibri"/>
        <family val="2"/>
        <scheme val="minor"/>
      </rPr>
      <t>Target 2029:</t>
    </r>
    <r>
      <rPr>
        <sz val="10"/>
        <color theme="1"/>
        <rFont val="Calibri"/>
        <family val="2"/>
        <scheme val="minor"/>
      </rPr>
      <t xml:space="preserve"> 90 percent funds(455.179.185,07x0,9 =409.661.266,56 eur) will be allocated to installation of small scale solar power plants (solar PP).  An average  installation of 1 kW solar PP costs 1467,78 eur ( according to fixed rate study under 2014-2020 OP).With 409.661.266,56 eur  would be possible to install  409.661.266,56 eur  /1467,78/1000=~279 MWe of solar PP.</t>
    </r>
    <r>
      <rPr>
        <u/>
        <sz val="10"/>
        <color theme="1"/>
        <rFont val="Calibri"/>
        <family val="2"/>
        <scheme val="minor"/>
      </rPr>
      <t>Milestone 2024</t>
    </r>
    <r>
      <rPr>
        <sz val="10"/>
        <color theme="1"/>
        <rFont val="Calibri"/>
        <family val="2"/>
        <scheme val="minor"/>
      </rPr>
      <t>: we assume that 30 percent funds will be invested by 2024, then  279x0,3=  ~84 MWe. of solar PP could be installed.</t>
    </r>
  </si>
  <si>
    <r>
      <rPr>
        <i/>
        <sz val="10"/>
        <color rgb="FF7030A0"/>
        <rFont val="Calibri"/>
        <family val="2"/>
        <scheme val="minor"/>
      </rPr>
      <t>Skaičiavimuose taikomas paramos intensyvumas 50 proc., siekiant išlaikyti tokį patį finansavimo modelį kaip ir 2014-2020 m.</t>
    </r>
    <r>
      <rPr>
        <sz val="10"/>
        <color theme="1"/>
        <rFont val="Calibri"/>
        <family val="2"/>
        <scheme val="minor"/>
      </rPr>
      <t xml:space="preserve">  </t>
    </r>
    <r>
      <rPr>
        <i/>
        <sz val="10"/>
        <color theme="1"/>
        <rFont val="Calibri"/>
        <family val="2"/>
        <charset val="186"/>
        <scheme val="minor"/>
      </rPr>
      <t xml:space="preserve">Darom prielaidą, kad administravimo išlaidos sudarys 4,11 proc. t.y.  tiek pat, kiek 2014-2020 VP katilų keitimui  ir jos išeliminuojamos iš rodiklių skaičiavimo.  </t>
    </r>
    <r>
      <rPr>
        <sz val="10"/>
        <color theme="1"/>
        <rFont val="Calibri"/>
        <family val="2"/>
        <scheme val="minor"/>
      </rPr>
      <t>Pagal 2014–2020 metų VP priemonės „Katilų keitimas namų ūkiuose“ faktinius rezultatus, statomų biokuro katilų vidut. galia  19 kW ir kaina apie 3000 EUR (1kW=150 eurų, ESFA fiksuotų įkainių studija). Tad investavus 36365576,12 EUR,galima būtų įrengti apie 36365576,12/3000=</t>
    </r>
    <r>
      <rPr>
        <sz val="10"/>
        <color theme="1"/>
        <rFont val="Calibri"/>
        <family val="2"/>
        <charset val="186"/>
      </rPr>
      <t>~</t>
    </r>
    <r>
      <rPr>
        <sz val="10"/>
        <color theme="1"/>
        <rFont val="Calibri"/>
        <family val="2"/>
        <scheme val="minor"/>
      </rPr>
      <t>12122 įrenginių, kurių bendras pajėgumas būtų 12122x19kW/1000=~</t>
    </r>
    <r>
      <rPr>
        <b/>
        <sz val="10"/>
        <color theme="1"/>
        <rFont val="Calibri"/>
        <family val="2"/>
        <scheme val="minor"/>
      </rPr>
      <t>230 MWš</t>
    </r>
    <r>
      <rPr>
        <sz val="10"/>
        <color theme="1"/>
        <rFont val="Calibri"/>
        <family val="2"/>
        <scheme val="minor"/>
      </rPr>
      <t xml:space="preserve">. Daroma prielaida, kad iki 2024 m. bus investuota apie 30 proc. lėšų, tad galima būtų įrengti apie </t>
    </r>
    <r>
      <rPr>
        <b/>
        <sz val="10"/>
        <color theme="1"/>
        <rFont val="Calibri"/>
        <family val="2"/>
        <scheme val="minor"/>
      </rPr>
      <t>69 MWš.</t>
    </r>
  </si>
  <si>
    <r>
      <t xml:space="preserve">
</t>
    </r>
    <r>
      <rPr>
        <i/>
        <sz val="10"/>
        <color rgb="FF7030A0"/>
        <rFont val="Calibri"/>
        <family val="2"/>
        <scheme val="minor"/>
      </rPr>
      <t>Veiklai rodiklių skaičiavimai atlikti su 22 proc. paramos intensyvumu, siekiant išlaikyti tą pačią pasiteisinusią finansavimo schemą kaip ir 2014-2020 m. perspektyvoje bei siekiant paskatinti kuo daugiau gaminančių vartotojų.</t>
    </r>
    <r>
      <rPr>
        <sz val="10"/>
        <color theme="1"/>
        <rFont val="Calibri"/>
        <family val="2"/>
        <scheme val="minor"/>
      </rPr>
      <t xml:space="preserve"> Darom prielaidą, kad administravimo išlaidos sudarys 4,11 proc. t.y.  tiek pat, kiek 2014-2020 VP  saulės elektrinėms ir jos išeliminuojamos iš rodiklių skaičiavimo.Saulės elektrinių namų ūkiams įrengimui/įsigijimui bus skiriama 90 proc. kategorijos lėšų (455.179.185,07x0,9 =409.661.266,56 eur). Už  409.661.266,56 eur  bus galima įdiegti 409.661.266,56/1467,78/1000=~</t>
    </r>
    <r>
      <rPr>
        <b/>
        <sz val="10"/>
        <color theme="1"/>
        <rFont val="Calibri"/>
        <family val="2"/>
        <charset val="186"/>
        <scheme val="minor"/>
      </rPr>
      <t>279 MWe</t>
    </r>
    <r>
      <rPr>
        <sz val="10"/>
        <color theme="1"/>
        <rFont val="Calibri"/>
        <family val="2"/>
        <scheme val="minor"/>
      </rPr>
      <t xml:space="preserve">, kur 1 kW saulės jėgainės įrengimo kaina yra 1467,78 Eur (pagal 2014-2020 m. VP 114,115 priemonių įkainį, nustatytą VšĮ ESFA). Iki 2024 m., darant prielaidą, kad investuota 30 proc. lėšų, gali būti įrengta apie 279x0,3= </t>
    </r>
    <r>
      <rPr>
        <b/>
        <sz val="10"/>
        <color theme="1"/>
        <rFont val="Calibri"/>
        <family val="2"/>
        <charset val="186"/>
      </rPr>
      <t>~</t>
    </r>
    <r>
      <rPr>
        <b/>
        <sz val="10"/>
        <color theme="1"/>
        <rFont val="Calibri"/>
        <family val="2"/>
        <charset val="186"/>
        <scheme val="minor"/>
      </rPr>
      <t>84 MWe</t>
    </r>
    <r>
      <rPr>
        <b/>
        <i/>
        <sz val="10"/>
        <color rgb="FF7030A0"/>
        <rFont val="Calibri"/>
        <family val="2"/>
        <charset val="186"/>
        <scheme val="minor"/>
      </rPr>
      <t>.</t>
    </r>
    <r>
      <rPr>
        <i/>
        <sz val="10"/>
        <color rgb="FF7030A0"/>
        <rFont val="Calibri"/>
        <family val="2"/>
        <scheme val="minor"/>
      </rPr>
      <t xml:space="preserve">
</t>
    </r>
  </si>
  <si>
    <r>
      <rPr>
        <u/>
        <sz val="10"/>
        <color theme="1"/>
        <rFont val="Calibri"/>
        <family val="2"/>
        <scheme val="minor"/>
      </rPr>
      <t>Pradinė CO2 reikšmė</t>
    </r>
    <r>
      <rPr>
        <sz val="10"/>
        <color theme="1"/>
        <rFont val="Calibri"/>
        <family val="2"/>
        <scheme val="minor"/>
      </rPr>
      <t xml:space="preserve">: ESO duomenimis  vidut. 1 MW saulės elektrinės pagamina apie 1000 MWh/metus, tai iki 2029 m. su 279 MW bus pagaminta 279 x1000= 279000 MWh/metus, CO2 bus 279000 MWh/metus x0,42 tCO2/MWh (elektros energijos taršos faktorius)  = 117180 tCO2ekv./metus. </t>
    </r>
  </si>
  <si>
    <r>
      <rPr>
        <u/>
        <sz val="10"/>
        <color theme="1"/>
        <rFont val="Calibri"/>
        <family val="2"/>
        <scheme val="minor"/>
      </rPr>
      <t>Baseline</t>
    </r>
    <r>
      <rPr>
        <sz val="10"/>
        <color theme="1"/>
        <rFont val="Calibri"/>
        <family val="2"/>
        <scheme val="minor"/>
      </rPr>
      <t xml:space="preserve">: 1MW small scale solar PP generates 1000MWh/year, then 279 MW would generate 279000 MWh/year.  279000 MWh/year x0,42 tCO2/MWh (electricity polution factor according to Technical Regulation of Buildings)  = 117180 tCO2ekv./year. </t>
    </r>
    <r>
      <rPr>
        <u/>
        <sz val="10"/>
        <color theme="1"/>
        <rFont val="Calibri"/>
        <family val="2"/>
        <scheme val="minor"/>
      </rPr>
      <t>Target 2029: 279000x0</t>
    </r>
    <r>
      <rPr>
        <sz val="10"/>
        <color theme="1"/>
        <rFont val="Calibri"/>
        <family val="2"/>
        <scheme val="minor"/>
      </rPr>
      <t>=0, because solar energy pollution factor is 0.</t>
    </r>
  </si>
  <si>
    <t xml:space="preserve">2.1.1. To improve energy efficiency in households not connected to DH (83.000.000 eur) </t>
  </si>
  <si>
    <t>CO2 savings</t>
  </si>
  <si>
    <t xml:space="preserve">2.1.4. To improve energy efficiency of district heating, cooling and  hot water supply systems and develop systems    (26913232,1 eur) </t>
  </si>
  <si>
    <r>
      <rPr>
        <i/>
        <sz val="10"/>
        <color rgb="FF7030A0"/>
        <rFont val="Calibri"/>
        <family val="2"/>
        <scheme val="minor"/>
      </rPr>
      <t xml:space="preserve">Rodikliai skaičiuojami su 70 proc. intensyvumu, išlaikant tą pačią finansavimo schemą kaip ir 2014-2020 m. </t>
    </r>
    <r>
      <rPr>
        <sz val="10"/>
        <color theme="1"/>
        <rFont val="Calibri"/>
        <family val="2"/>
        <scheme val="minor"/>
      </rPr>
      <t xml:space="preserve">Pagal 2014–2020 metų VP) įgyvendinimą ir gautų projektų informaciją, vid. investicijų poreikis pastato atnaujinimui siekia 345 Eur/m², tad su intervencijų kategorijai numatyta bendra lėšų suma,  galima būtų atnaujinti apie 88571428,6 / 345 = ~ 256,7 tūkst. m²;  Daroma prielaida, kad iki 2024 m. bus investuota   apie 10 proc. lėšų ir atnaujinta apie 25,6 tūkst m²pastatų ploto. </t>
    </r>
  </si>
  <si>
    <r>
      <rPr>
        <u/>
        <sz val="10"/>
        <color theme="1"/>
        <rFont val="Calibri"/>
        <family val="2"/>
        <scheme val="minor"/>
      </rPr>
      <t xml:space="preserve">Pradinė reikšmė: </t>
    </r>
    <r>
      <rPr>
        <sz val="10"/>
        <color theme="1"/>
        <rFont val="Calibri"/>
        <family val="2"/>
        <charset val="186"/>
        <scheme val="minor"/>
      </rPr>
      <t xml:space="preserve">pastatai, kurių plotas </t>
    </r>
    <r>
      <rPr>
        <sz val="10"/>
        <color theme="1"/>
        <rFont val="Calibri"/>
        <family val="2"/>
        <scheme val="minor"/>
      </rPr>
      <t xml:space="preserve"> 256700 m2, sunaudos pirminės energijos 256700 m2x220kWh/m²/metus= 56474MWh/metus (kur 220 kWh/m²/metus - VšĮ LEA paskaičiuotas energijos sąnaudų vidurkis iš pastatų sertifikatų) . </t>
    </r>
    <r>
      <rPr>
        <u/>
        <sz val="10"/>
        <color theme="1"/>
        <rFont val="Calibri"/>
        <family val="2"/>
        <scheme val="minor"/>
      </rPr>
      <t xml:space="preserve">Galutinė reikšmė </t>
    </r>
    <r>
      <rPr>
        <sz val="10"/>
        <color theme="1"/>
        <rFont val="Calibri"/>
        <family val="2"/>
        <scheme val="minor"/>
      </rPr>
      <t>apskaičiuota, siekiant sutaupyti atnaujintuose pastatuose ne mažiau kaip 40 proc.  pirminės energijos: 56474MWh/metus x 60 % = 33884 MWh/metus</t>
    </r>
  </si>
  <si>
    <r>
      <rPr>
        <u/>
        <sz val="10"/>
        <color theme="1"/>
        <rFont val="Calibri"/>
        <family val="2"/>
        <scheme val="minor"/>
      </rPr>
      <t>Pradinė reikšmė:</t>
    </r>
    <r>
      <rPr>
        <sz val="10"/>
        <color theme="1"/>
        <rFont val="Calibri"/>
        <family val="2"/>
        <scheme val="minor"/>
      </rPr>
      <t xml:space="preserve"> 56474 000 kWh/metus x 0,1 kgCO2/kWh (taršos faktorius)= 5647400 kgCO2, t.y.  ~ 5647 tCO2/metus. </t>
    </r>
    <r>
      <rPr>
        <u/>
        <sz val="10"/>
        <color theme="1"/>
        <rFont val="Calibri"/>
        <family val="2"/>
        <charset val="186"/>
        <scheme val="minor"/>
      </rPr>
      <t>Galutinė reikšmė</t>
    </r>
    <r>
      <rPr>
        <sz val="10"/>
        <color theme="1"/>
        <rFont val="Calibri"/>
        <family val="2"/>
        <scheme val="minor"/>
      </rPr>
      <t>:  33884 000 kWh/metus x 0,1kg CO2/kWh = 3388400 kgCO2/metus, t.y  ~ 3388 tCO2/metus.</t>
    </r>
  </si>
  <si>
    <r>
      <rPr>
        <i/>
        <sz val="10"/>
        <color rgb="FF7030A0"/>
        <rFont val="Calibri"/>
        <family val="2"/>
        <scheme val="minor"/>
      </rPr>
      <t>Rodikliai skaičiuojami su 70 proc. intensyvumu, darant prielaidą, kad projektams bus teikiama subsidija ( iki 40 proc.) ir ilgalaikė paskola (apie 30 proc.). Paskola ilgalaikė, tad grįžtančių lėšų efektas rodikliams pasijus po 2029 metų.</t>
    </r>
    <r>
      <rPr>
        <sz val="10"/>
        <color rgb="FF7030A0"/>
        <rFont val="Calibri"/>
        <family val="2"/>
        <charset val="186"/>
        <scheme val="minor"/>
      </rPr>
      <t xml:space="preserve"> </t>
    </r>
    <r>
      <rPr>
        <sz val="10"/>
        <rFont val="Calibri"/>
        <family val="2"/>
        <charset val="186"/>
        <scheme val="minor"/>
      </rPr>
      <t>50 proc. Lėšų (9642857,15 EUR) bus investuojama į CŠT pritaikymą darbui žematemperatūriu režimu.Pagal vykdomus projektus vidut. 1 m. vamzdyno pritaikymo/modernizavimo darbų kaina - 450 eurų, tai už  9 642 857,15 EUR galima modernizuoti/pritaikyti 9642857,15/450= ~21 km CŠT vamzdyno. Darom prielaidą, kad iki 2024 m. bus investuota 30 proc. lėšų, tad bus modernizuota ~ 6km.</t>
    </r>
  </si>
  <si>
    <r>
      <rPr>
        <i/>
        <sz val="10"/>
        <color rgb="FF7030A0"/>
        <rFont val="Calibri"/>
        <family val="2"/>
        <scheme val="minor"/>
      </rPr>
      <t xml:space="preserve">Rodikliai skaičiuojami su 70 proc. intensyvumu, darant prielaidą, kad projektams bus teikiama subsidija ( iki 40 proc.) ir ilgalaikė paskola (apie 30 proc.). Paskola ilgalaikė, tad grįžtančių lėšų efektas rodikliams pasijus po 2029 metų. </t>
    </r>
    <r>
      <rPr>
        <sz val="10"/>
        <color theme="1"/>
        <rFont val="Calibri"/>
        <family val="2"/>
        <scheme val="minor"/>
      </rPr>
      <t xml:space="preserve">50 proc.lėšų (9642857,15 EUR) bus investuojama į CŠT pritaikymą darbui žematemperatūriu režimu.Pagal vykdomus projektus vidut. 1 m. vamzdyno pritaikymo/modernizavimo darbų kaina - 450 eurų, tai už  9 642 857,15 EUR galima modernizuoti/pritaikyti 9642857,15/450= </t>
    </r>
    <r>
      <rPr>
        <sz val="10"/>
        <color theme="1"/>
        <rFont val="Calibri"/>
        <family val="2"/>
        <charset val="186"/>
      </rPr>
      <t>~</t>
    </r>
    <r>
      <rPr>
        <sz val="10"/>
        <color theme="1"/>
        <rFont val="Calibri"/>
        <family val="2"/>
        <scheme val="minor"/>
      </rPr>
      <t xml:space="preserve">21 km CŠT vamzdyno. Darom prielaidą, kad iki 2024 m. bus investuota 30 proc. lėšų, tad bus modernizuota </t>
    </r>
    <r>
      <rPr>
        <sz val="10"/>
        <color theme="1"/>
        <rFont val="Calibri"/>
        <family val="2"/>
        <charset val="186"/>
      </rPr>
      <t>~</t>
    </r>
    <r>
      <rPr>
        <sz val="8"/>
        <color theme="1"/>
        <rFont val="Calibri"/>
        <family val="2"/>
      </rPr>
      <t xml:space="preserve"> </t>
    </r>
    <r>
      <rPr>
        <sz val="10"/>
        <color theme="1"/>
        <rFont val="Calibri"/>
        <family val="2"/>
        <scheme val="minor"/>
      </rPr>
      <t>6km.</t>
    </r>
  </si>
  <si>
    <r>
      <t>50 proc. numatytų lėšų (9642857,15 EUR) bus investuojama bendrai į šilumos, karšto vandens apskaitos prietaisų modernizavimą ir valdymo sistemas. Daroma prielaida, kad po  50 proc. (po 4821428 EUR)  investicijų bus skirta šilumos apskaitos modernizavimui bei karšto vandens skaitiklių modernizavimui. Vadovaujantis LŠTA duomenimis, 1 įvadinio šilumos skaitiklio įrengimas/modernizavimas su visa nuotoline sistema kainuoja apie 1500 eur, karšto vandens skaitiklio įrengimas su visa nuotoline sistema kainuoja 100 eurų. Tad iki 2029 m. bendrai galima įrengti/modernizuoti (4821428/1500)+(4821428/100)</t>
    </r>
    <r>
      <rPr>
        <sz val="10"/>
        <rFont val="Calibri"/>
        <family val="2"/>
      </rPr>
      <t>=51428 vnt</t>
    </r>
    <r>
      <rPr>
        <sz val="10"/>
        <rFont val="Calibri"/>
        <family val="2"/>
        <scheme val="minor"/>
      </rPr>
      <t>. Daroma prielaida, kad iki 2024 m. bus investuota apie 30 proc. lėšų, atitinkamai bus įrengta apie (51428x0,3)=15428 vnt.</t>
    </r>
  </si>
  <si>
    <t>50 proc. numatytų lėšų (9642857,15 EUR) bus investuojama bendrai į šilumos, karšto vandens apskaitos prietaisų modernizavimą ir valdymo sistemas. Daroma prielaida, kad po  50 proc. (po 4821428 EUR)  investicijų bus skirta šilumos apskaitos modernizavimui bei karšto vandens skaitiklių modernizavimui. Vadovaujantis LŠTA duomenimis, 1 įvadinio šilumos skaitiklio įrengimas/modernizavimas su visa nuotoline sistema kainuoja apie 1500 eur, karšto vandens skaitiklio įrengimas su visa nuotoline sistema kainuoja 100 eurų. Tad iki 2029 m. bendrai galima įrengti/modernizuoti (4821428/1500)+(4821428/100)=51428 vnt. Daroma prielaida, kad iki 2024 m. bus investuota apie 30 proc. lėšų, atitinkamai bus įrengta apie (51428x0,3)=15428 vnt.</t>
  </si>
  <si>
    <r>
      <t>Rodiklio pradinė ir galutinė reikšmės sudaryta iš suvartojimo, diegiant šilumos apskaitos prietaisus bei karšto vandens skaitiklius ir iš suvartojimo, pritaikant CŠT tinklą žematemperatūriui režimui.                                                                                                                                                 50 proc. numatytų lėšų (9 642 857,15 EUR) bus investuojama bendrai į CŠT efektyvinimą/pritaikymą žematemperatūriam darbo režimui. Investavus 9 642 857,15 EUR, pervesti prie žematemperatūrio režimo galima 21 km CŠT vamzdynų.   Vadovaujantis  VERT šilumos nuostolių skaičiuoklę, 1km sąlyginio vamzdyno perėjimas prie žematemperatūrinio šildymo taupo api</t>
    </r>
    <r>
      <rPr>
        <sz val="10"/>
        <rFont val="Calibri"/>
        <family val="2"/>
        <charset val="186"/>
        <scheme val="minor"/>
      </rPr>
      <t>e 50</t>
    </r>
    <r>
      <rPr>
        <sz val="10"/>
        <color theme="1"/>
        <rFont val="Calibri"/>
        <family val="2"/>
        <scheme val="minor"/>
      </rPr>
      <t xml:space="preserve"> 100MWh energijos per metus, tad pritaikius 21 km vamzdynų žematemperatūriam režimui, kasmet būtų taupoma </t>
    </r>
    <r>
      <rPr>
        <sz val="10"/>
        <rFont val="Calibri"/>
        <family val="2"/>
        <charset val="186"/>
        <scheme val="minor"/>
      </rPr>
      <t xml:space="preserve">50x21= 1050 MWh.                                                                                                                                                                                                                                                            </t>
    </r>
    <r>
      <rPr>
        <u/>
        <sz val="10"/>
        <rFont val="Calibri"/>
        <family val="2"/>
        <charset val="186"/>
        <scheme val="minor"/>
      </rPr>
      <t>Pradinė  reikšmė</t>
    </r>
    <r>
      <rPr>
        <sz val="10"/>
        <rFont val="Calibri"/>
        <family val="2"/>
        <charset val="186"/>
        <scheme val="minor"/>
      </rPr>
      <t xml:space="preserve">: Vadovaujantis LŠTA šilumos tiekimo įmonių ūkinės veiklos apžvalga 2019,  1 km CŠT tinklo šilumos nuostoliai  siekia 400  MWh/metus,  tuomet iki modernizavimo 21 km CŠT suvartoja 21x400 = 8400  MWh/ metus (2019 m.), o 2029 m.  modernizuotas 21 km tinklas suvartos 8400-1050 = 7350 MWh/ metus.       </t>
    </r>
    <r>
      <rPr>
        <b/>
        <sz val="10"/>
        <rFont val="Calibri"/>
        <family val="2"/>
        <charset val="186"/>
        <scheme val="minor"/>
      </rPr>
      <t xml:space="preserve">                                                                                                                                                                                                        </t>
    </r>
    <r>
      <rPr>
        <sz val="10"/>
        <rFont val="Calibri"/>
        <family val="2"/>
        <charset val="186"/>
        <scheme val="minor"/>
      </rPr>
      <t xml:space="preserve"> Įvadinė apskaita+karšto vandens skaitikliai:  pagal LŠTA statistiką 2019 m. per 10000 vnt. įvadinės apskaitos prietaisus praėjo apie 3 500 000 MWh šilumos kiekio vartotojams per metus nenuskaitant jos nuotoliniu būdu, t.y. pro 1 įvadinį  šilum</t>
    </r>
    <r>
      <rPr>
        <sz val="10"/>
        <color theme="1"/>
        <rFont val="Calibri"/>
        <family val="2"/>
        <scheme val="minor"/>
      </rPr>
      <t>os apskaitos prietaisą praėjo vidut.  350 MWh šiluminės energijos per metus nenuskaitant jos nuotoliniu būdu. Investavus 9642857,15 EUR (dalinant po lygiai šilumos apskaitai ir karšto vandnes apskaitai), būtų įdiegta  4821428/1500 = 3214  vnt išmanių įvadinės šilumos apskaitos prietaisų ir 4821428/100=48214 vnt karšto vandens skaitiklių su nuotoliniu duomenu nuskaitymo funkcija.Iki modernizavimo  per</t>
    </r>
    <r>
      <rPr>
        <b/>
        <sz val="10"/>
        <color theme="1"/>
        <rFont val="Calibri"/>
        <family val="2"/>
        <scheme val="minor"/>
      </rPr>
      <t xml:space="preserve"> </t>
    </r>
    <r>
      <rPr>
        <sz val="10"/>
        <color theme="1"/>
        <rFont val="Calibri"/>
        <family val="2"/>
        <charset val="186"/>
        <scheme val="minor"/>
      </rPr>
      <t xml:space="preserve">3214  </t>
    </r>
    <r>
      <rPr>
        <sz val="10"/>
        <color theme="1"/>
        <rFont val="Calibri"/>
        <family val="2"/>
        <scheme val="minor"/>
      </rPr>
      <t>šilumos apskaitos prietaisus praeina 3214x350=</t>
    </r>
    <r>
      <rPr>
        <sz val="10"/>
        <color theme="1"/>
        <rFont val="Calibri"/>
        <family val="2"/>
        <charset val="186"/>
        <scheme val="minor"/>
      </rPr>
      <t>1 124 900 MWh/metus šilumos</t>
    </r>
    <r>
      <rPr>
        <b/>
        <sz val="10"/>
        <color theme="1"/>
        <rFont val="Calibri"/>
        <family val="2"/>
        <scheme val="minor"/>
      </rPr>
      <t xml:space="preserve">.  </t>
    </r>
    <r>
      <rPr>
        <sz val="10"/>
        <color theme="1"/>
        <rFont val="Calibri"/>
        <family val="2"/>
        <charset val="186"/>
        <scheme val="minor"/>
      </rPr>
      <t>Įdiegus/modernizavus šilumos apskaitą bei atsiskaitomuosius karšto vandens skaitiklius su nuotoliniu duomenų nuskaitymu, taupoma apie 1 proc. pirminės energijos/metus, .t.y . bus sutaupyta apie  1 124 900 MWh/metus x 0,01=11249 MWh/metus. G</t>
    </r>
    <r>
      <rPr>
        <u/>
        <sz val="10"/>
        <color theme="1"/>
        <rFont val="Calibri"/>
        <family val="2"/>
        <charset val="186"/>
        <scheme val="minor"/>
      </rPr>
      <t>a</t>
    </r>
    <r>
      <rPr>
        <u/>
        <sz val="10"/>
        <color theme="1"/>
        <rFont val="Calibri"/>
        <family val="2"/>
        <scheme val="minor"/>
      </rPr>
      <t>lutinė reikšmė 2029 m</t>
    </r>
    <r>
      <rPr>
        <sz val="10"/>
        <color theme="1"/>
        <rFont val="Calibri"/>
        <family val="2"/>
        <scheme val="minor"/>
      </rPr>
      <t>.: po įvadinės apskaitos ir atsiskaitomųjų skaitiklių modernizavimo šilumos praeitų  1124900-11249=</t>
    </r>
    <r>
      <rPr>
        <sz val="10"/>
        <color theme="1"/>
        <rFont val="Calibri"/>
        <family val="2"/>
        <charset val="186"/>
        <scheme val="minor"/>
      </rPr>
      <t xml:space="preserve">1113651 MWh/metus. </t>
    </r>
    <r>
      <rPr>
        <b/>
        <u/>
        <sz val="10"/>
        <color theme="1"/>
        <rFont val="Calibri"/>
        <family val="2"/>
        <charset val="186"/>
        <scheme val="minor"/>
      </rPr>
      <t>Bendra pradinė reikš</t>
    </r>
    <r>
      <rPr>
        <b/>
        <u/>
        <sz val="10"/>
        <rFont val="Calibri"/>
        <family val="2"/>
        <charset val="186"/>
        <scheme val="minor"/>
      </rPr>
      <t>mė</t>
    </r>
    <r>
      <rPr>
        <u/>
        <sz val="10"/>
        <rFont val="Calibri"/>
        <family val="2"/>
        <charset val="186"/>
        <scheme val="minor"/>
      </rPr>
      <t xml:space="preserve">  </t>
    </r>
    <r>
      <rPr>
        <sz val="10"/>
        <rFont val="Calibri"/>
        <family val="2"/>
        <charset val="186"/>
        <scheme val="minor"/>
      </rPr>
      <t>8400</t>
    </r>
    <r>
      <rPr>
        <sz val="10"/>
        <color theme="1"/>
        <rFont val="Calibri"/>
        <family val="2"/>
        <scheme val="minor"/>
      </rPr>
      <t>+1 124 900 =</t>
    </r>
    <r>
      <rPr>
        <b/>
        <sz val="10"/>
        <rFont val="Calibri"/>
        <family val="2"/>
        <charset val="186"/>
        <scheme val="minor"/>
      </rPr>
      <t>1 133 300</t>
    </r>
    <r>
      <rPr>
        <b/>
        <sz val="10"/>
        <color rgb="FFFF0000"/>
        <rFont val="Calibri"/>
        <family val="2"/>
        <charset val="186"/>
        <scheme val="minor"/>
      </rPr>
      <t xml:space="preserve"> </t>
    </r>
    <r>
      <rPr>
        <b/>
        <sz val="10"/>
        <color theme="1"/>
        <rFont val="Calibri"/>
        <family val="2"/>
        <scheme val="minor"/>
      </rPr>
      <t>MWh/me</t>
    </r>
    <r>
      <rPr>
        <sz val="10"/>
        <color theme="1"/>
        <rFont val="Calibri"/>
        <family val="2"/>
        <scheme val="minor"/>
      </rPr>
      <t xml:space="preserve">tus, </t>
    </r>
    <r>
      <rPr>
        <b/>
        <u/>
        <sz val="10"/>
        <color theme="1"/>
        <rFont val="Calibri"/>
        <family val="2"/>
        <charset val="186"/>
        <scheme val="minor"/>
      </rPr>
      <t>bendra galutinė reikšmė:</t>
    </r>
    <r>
      <rPr>
        <u/>
        <sz val="10"/>
        <color theme="1"/>
        <rFont val="Calibri"/>
        <family val="2"/>
        <scheme val="minor"/>
      </rPr>
      <t xml:space="preserve">  </t>
    </r>
    <r>
      <rPr>
        <sz val="10"/>
        <color theme="1"/>
        <rFont val="Calibri"/>
        <family val="2"/>
        <charset val="186"/>
        <scheme val="minor"/>
      </rPr>
      <t xml:space="preserve">   </t>
    </r>
    <r>
      <rPr>
        <sz val="10"/>
        <rFont val="Calibri"/>
        <family val="2"/>
        <charset val="186"/>
        <scheme val="minor"/>
      </rPr>
      <t xml:space="preserve">7350+1113651= </t>
    </r>
    <r>
      <rPr>
        <b/>
        <sz val="10"/>
        <rFont val="Calibri"/>
        <family val="2"/>
        <charset val="186"/>
        <scheme val="minor"/>
      </rPr>
      <t>1121001</t>
    </r>
    <r>
      <rPr>
        <sz val="10"/>
        <color rgb="FFFF0000"/>
        <rFont val="Calibri"/>
        <family val="2"/>
        <charset val="186"/>
        <scheme val="minor"/>
      </rPr>
      <t xml:space="preserve"> </t>
    </r>
    <r>
      <rPr>
        <b/>
        <sz val="10"/>
        <color theme="1"/>
        <rFont val="Calibri"/>
        <family val="2"/>
        <scheme val="minor"/>
      </rPr>
      <t>MWh/metus.</t>
    </r>
  </si>
  <si>
    <r>
      <t xml:space="preserve">Rodiklio pradinė ir galutinė reikšmės sudaryta iš suvartojimo, diegiant šilumos apskaitos prietaisus bei karšto vandens skaitiklius ir iš suvartojimo, pritaikant CŠT tinklą žematemperatūriui režimui.                                                                                                                                                 50 proc. numatytų lėšų (9 642 857,15 EUR) bus investuojama bendrai į CŠT efektyvinimą/pritaikymą žematemperatūriam darbo režimui. Investavus 9 642 857,15 EUR, pervesti prie žematemperatūrio režimo galima 21 km CŠT vamzdynų.   Vadovaujantis  VERT šilumos nuostolių skaičiuoklę, 1km sąlyginio vamzdyno perėjimas prie žematemperatūrinio šildymo taupo apie 50 100MWh energijos per metus, tad pritaikius 21 km vamzdynų žematemperatūriam režimui, kasmet būtų taupoma 50x21= 1050 MWh.                                                                                                                                                                                                                                                            Pradinė  reikšmė: Vadovaujantis LŠTA šilumos tiekimo įmonių ūkinės veiklos apžvalga 2019,  1 km CŠT tinklo šilumos nuostoliai  siekia 400  MWh/metus,  tuomet iki modernizavimo 21 km CŠT suvartoja 21x400 = 8400  MWh/ metus (2019 m.), o 2029 m.  modernizuotas 21 km tinklas suvartos 8400-1050 = 7350 MWh/ metus.                                                                                                                                                                                                                Įvadinė apskaita+karšto vandens skaitikliai:  pagal LŠTA statistiką 2019 m. per 10000 vnt. įvadinės apskaitos prietaisus praėjo apie 3 500 000 MWh šilumos kiekio vartotojams per metus nenuskaitant jos nuotoliniu būdu, t.y. pro 1 įvadinį  šilumos apskaitos prietaisą praėjo vidut.  350 MWh šiluminės energijos per metus nenuskaitant jos nuotoliniu būdu. Investavus 9642857,15 EUR (dalinant po lygiai šilumos apskaitai ir karšto vandnes apskaitai), būtų įdiegta  4821428/1500 = 3214  vnt išmanių įvadinės šilumos apskaitos prietaisų ir 4821428/100=48214 vnt karšto vandens skaitiklių su nuotoliniu duomenu nuskaitymo funkcija.Iki modernizavimo  per 3214  šilumos apskaitos prietaisus praeina 3214x350=1 124 900 MWh/metus šilumos.  Įdiegus/modernizavus šilumos apskaitą bei atsiskaitomuosius karšto vandens skaitiklius su nuotoliniu duomenų nuskaitymu, taupoma apie 1 proc. pirminės energijos/metus, .t.y . bus sutaupyta apie  1 124 900 MWh/metus x 0,01=11249 MWh/metus. Galutinė reikšmė 2029 m.: po įvadinės apskaitos ir atsiskaitomųjų skaitiklių modernizavimo šilumos praeitų  1124900-11249=1113651 MWh/metus. </t>
    </r>
    <r>
      <rPr>
        <u/>
        <sz val="10"/>
        <color theme="1"/>
        <rFont val="Calibri"/>
        <family val="2"/>
        <charset val="186"/>
        <scheme val="minor"/>
      </rPr>
      <t>Bendra pradinė reikšmė</t>
    </r>
    <r>
      <rPr>
        <sz val="10"/>
        <color theme="1"/>
        <rFont val="Calibri"/>
        <family val="2"/>
        <scheme val="minor"/>
      </rPr>
      <t xml:space="preserve">  8400+1 124 900 =</t>
    </r>
    <r>
      <rPr>
        <b/>
        <sz val="10"/>
        <color theme="1"/>
        <rFont val="Calibri"/>
        <family val="2"/>
        <charset val="186"/>
        <scheme val="minor"/>
      </rPr>
      <t>1 133 300 MWh/metus</t>
    </r>
    <r>
      <rPr>
        <sz val="10"/>
        <color theme="1"/>
        <rFont val="Calibri"/>
        <family val="2"/>
        <scheme val="minor"/>
      </rPr>
      <t xml:space="preserve">, </t>
    </r>
    <r>
      <rPr>
        <u/>
        <sz val="10"/>
        <color theme="1"/>
        <rFont val="Calibri"/>
        <family val="2"/>
        <charset val="186"/>
        <scheme val="minor"/>
      </rPr>
      <t>bendra galutinė reikšmė 2029</t>
    </r>
    <r>
      <rPr>
        <sz val="10"/>
        <color theme="1"/>
        <rFont val="Calibri"/>
        <family val="2"/>
        <scheme val="minor"/>
      </rPr>
      <t xml:space="preserve">:  7350+1113651= </t>
    </r>
    <r>
      <rPr>
        <b/>
        <sz val="10"/>
        <color theme="1"/>
        <rFont val="Calibri"/>
        <family val="2"/>
        <charset val="186"/>
        <scheme val="minor"/>
      </rPr>
      <t>1121001 MWh/metus.</t>
    </r>
  </si>
  <si>
    <r>
      <rPr>
        <u/>
        <sz val="10"/>
        <color theme="1"/>
        <rFont val="Calibri"/>
        <family val="2"/>
        <charset val="186"/>
        <scheme val="minor"/>
      </rPr>
      <t>Pradinė reikšmė</t>
    </r>
    <r>
      <rPr>
        <sz val="10"/>
        <color theme="1"/>
        <rFont val="Calibri"/>
        <family val="2"/>
        <scheme val="minor"/>
      </rPr>
      <t xml:space="preserve">: 1133300 MWh/metus x  0,1 tCO2/MWh (taršos koeficientas šilumai iš CŠT)  = </t>
    </r>
    <r>
      <rPr>
        <b/>
        <sz val="10"/>
        <color theme="1"/>
        <rFont val="Calibri"/>
        <family val="2"/>
        <charset val="186"/>
        <scheme val="minor"/>
      </rPr>
      <t>113330  tCO2ekvivalentu/metus</t>
    </r>
    <r>
      <rPr>
        <sz val="10"/>
        <color theme="1"/>
        <rFont val="Calibri"/>
        <family val="2"/>
        <scheme val="minor"/>
      </rPr>
      <t xml:space="preserve"> ;  </t>
    </r>
    <r>
      <rPr>
        <u/>
        <sz val="10"/>
        <color theme="1"/>
        <rFont val="Calibri"/>
        <family val="2"/>
        <charset val="186"/>
        <scheme val="minor"/>
      </rPr>
      <t xml:space="preserve"> Galutinė reikšmė:</t>
    </r>
    <r>
      <rPr>
        <sz val="10"/>
        <color theme="1"/>
        <rFont val="Calibri"/>
        <family val="2"/>
        <scheme val="minor"/>
      </rPr>
      <t xml:space="preserve">  1121001 MWh/metus x  0,1 tCO2/MWh  = </t>
    </r>
    <r>
      <rPr>
        <b/>
        <sz val="10"/>
        <rFont val="Calibri"/>
        <family val="2"/>
        <charset val="186"/>
        <scheme val="minor"/>
      </rPr>
      <t xml:space="preserve">112100  tCO2ekvivalentu/metus  </t>
    </r>
    <r>
      <rPr>
        <sz val="10"/>
        <color theme="1"/>
        <rFont val="Calibri"/>
        <family val="2"/>
        <scheme val="minor"/>
      </rPr>
      <t xml:space="preserve">   </t>
    </r>
  </si>
  <si>
    <t xml:space="preserve">Pradinė reikšmė: 1133300 MWh/metus x  0,1 tCO2/MWh (taršos koeficientas šilumai iš CŠT)  = 113330  tCO2ekvivalentu/metus ;   Galutinė reikšmė:  1121001 MWh/metus x  0,1 tCO2/MWh  = 112100  tCO2ekvivalentu/metus        </t>
  </si>
  <si>
    <t xml:space="preserve">Action </t>
  </si>
  <si>
    <r>
      <rPr>
        <i/>
        <sz val="10"/>
        <color rgb="FF7030A0"/>
        <rFont val="Calibri"/>
        <family val="2"/>
        <scheme val="minor"/>
      </rPr>
      <t xml:space="preserve">Rodikliai skaičiuojami su 50 proc. intensyvumu, išlaikant tą pačią finansavimo schemą kaip ir 2014-2020 m. </t>
    </r>
    <r>
      <rPr>
        <i/>
        <sz val="10"/>
        <rFont val="Calibri"/>
        <family val="2"/>
        <charset val="186"/>
        <scheme val="minor"/>
      </rPr>
      <t>Administravimo kaštai 4,11 proc. yra tokie patys  kaip 2014-2020 m. VP. Jie išeliminuojami skaičiuojant rodiklių reikšmes.</t>
    </r>
    <r>
      <rPr>
        <i/>
        <sz val="10"/>
        <color rgb="FF7030A0"/>
        <rFont val="Calibri"/>
        <family val="2"/>
        <scheme val="minor"/>
      </rPr>
      <t xml:space="preserve"> </t>
    </r>
    <r>
      <rPr>
        <sz val="10"/>
        <color theme="1"/>
        <rFont val="Calibri"/>
        <family val="2"/>
        <scheme val="minor"/>
      </rPr>
      <t>Pagal 2014–2020 metų VP įgyvendinimo rezultatus vienam namų ūkiui, t.y. 1 šilumos gamybos įrenginiui tenkanti vidut. šilumos galia yra 11 kW ir jo vid. kaina 3696 eur (1 kW kaina 336 eur). Investavus 79 588 700 eur,  užtikrinsime energijos efektyvumo rodiklių pagerinimą  79 588 700/3696=</t>
    </r>
    <r>
      <rPr>
        <sz val="10"/>
        <color theme="1"/>
        <rFont val="Calibri"/>
        <family val="2"/>
        <charset val="186"/>
      </rPr>
      <t>~</t>
    </r>
    <r>
      <rPr>
        <b/>
        <sz val="10"/>
        <color theme="1"/>
        <rFont val="Calibri"/>
        <family val="2"/>
        <charset val="186"/>
        <scheme val="minor"/>
      </rPr>
      <t>21534 namų ūkių (būstų).</t>
    </r>
    <r>
      <rPr>
        <sz val="10"/>
        <color theme="1"/>
        <rFont val="Calibri"/>
        <family val="2"/>
        <scheme val="minor"/>
      </rPr>
      <t xml:space="preserve"> Daroma prielaida, kad iki 2024 m. pab. bus investuota apie 30 proc. lėšų, tad tarpinė reikšmė 21534x0,3</t>
    </r>
    <r>
      <rPr>
        <sz val="10"/>
        <color theme="1"/>
        <rFont val="Calibri"/>
        <family val="2"/>
      </rPr>
      <t>=</t>
    </r>
    <r>
      <rPr>
        <b/>
        <sz val="10"/>
        <color theme="1"/>
        <rFont val="Calibri"/>
        <family val="2"/>
        <charset val="186"/>
      </rPr>
      <t>6460</t>
    </r>
  </si>
  <si>
    <r>
      <rPr>
        <i/>
        <sz val="10"/>
        <color rgb="FF7030A0"/>
        <rFont val="Calibri"/>
        <family val="2"/>
        <scheme val="minor"/>
      </rPr>
      <t>Rodikliai skaičiuojami su 50 proc. intensyvumu, išlaikant tą pačią finansavimo schemą kaip ir 2014-2020 m. Administravimo kaštai 4,11 proc. yra tokie patys  kaip 2014-2020 m. VP. Jie išeliminuojami skaičiuojant rodiklių reikšmes.</t>
    </r>
    <r>
      <rPr>
        <sz val="10"/>
        <rFont val="Calibri"/>
        <family val="2"/>
        <charset val="186"/>
        <scheme val="minor"/>
      </rPr>
      <t xml:space="preserve"> Pagal 2014–2020 metų VP įgyvendinimo rezultatus vienam namų ūkiui, t.y. 1 šilumos gamybos įrenginiui tenkanti vidut. šilumos galia yra 11 kW ir jo vid. kaina 3696 eur (1 kW kaina 336 eur). Investavus 79 588 700 eur,  užtikrinsime energijos efektyvumo rodiklių pagerinimą  79 588 700/3696=~</t>
    </r>
    <r>
      <rPr>
        <b/>
        <sz val="10"/>
        <rFont val="Calibri"/>
        <family val="2"/>
        <charset val="186"/>
        <scheme val="minor"/>
      </rPr>
      <t xml:space="preserve">21534 namų ūkių </t>
    </r>
    <r>
      <rPr>
        <sz val="10"/>
        <rFont val="Calibri"/>
        <family val="2"/>
        <charset val="186"/>
        <scheme val="minor"/>
      </rPr>
      <t>(būstų). Daroma prielaida, kad iki 2024 m. pab. bus investuota apie 30 proc. lėšų, tad tarpinė reikšmė 21534x0,3=</t>
    </r>
    <r>
      <rPr>
        <b/>
        <sz val="10"/>
        <rFont val="Calibri"/>
        <family val="2"/>
        <charset val="186"/>
        <scheme val="minor"/>
      </rPr>
      <t>6460</t>
    </r>
  </si>
  <si>
    <r>
      <rPr>
        <u/>
        <sz val="10"/>
        <color theme="1"/>
        <rFont val="Calibri"/>
        <family val="2"/>
        <scheme val="minor"/>
      </rPr>
      <t>Pradinė reikšmė:</t>
    </r>
    <r>
      <rPr>
        <sz val="10"/>
        <color theme="1"/>
        <rFont val="Calibri"/>
        <family val="2"/>
        <scheme val="minor"/>
      </rPr>
      <t xml:space="preserve"> senas neefektyvus šilumos gamybos įrenginys per metus sunaudoja vidut. 5,7 TNE pirminio kuro energijos, t.y. 5,7x11,628=66,28 MWh (konversijos koeficientas 1 TNE = 11,628 MWh.). 21534  namų ūkių įrenginių suvartoja 21534 x66,28=</t>
    </r>
    <r>
      <rPr>
        <b/>
        <sz val="10"/>
        <color theme="1"/>
        <rFont val="Calibri"/>
        <family val="2"/>
        <charset val="186"/>
        <scheme val="minor"/>
      </rPr>
      <t>1 427 274 MWh/metus</t>
    </r>
    <r>
      <rPr>
        <sz val="10"/>
        <color theme="1"/>
        <rFont val="Calibri"/>
        <family val="2"/>
        <scheme val="minor"/>
      </rPr>
      <t xml:space="preserve">. </t>
    </r>
    <r>
      <rPr>
        <u/>
        <sz val="10"/>
        <color theme="1"/>
        <rFont val="Calibri"/>
        <family val="2"/>
        <scheme val="minor"/>
      </rPr>
      <t>Galutinė reikšmė:</t>
    </r>
    <r>
      <rPr>
        <sz val="10"/>
        <color theme="1"/>
        <rFont val="Calibri"/>
        <family val="2"/>
        <scheme val="minor"/>
      </rPr>
      <t xml:space="preserve"> naujas šilumos gamybos įrenginys per metus vidutiniškai sunaudoja 1,8 TNE pirminio kuro energijos arba 1,8x11,628=20,9 MWh. 21534 namų ūkių įrenginių suvartos 21534x20,9=</t>
    </r>
    <r>
      <rPr>
        <b/>
        <sz val="10"/>
        <color theme="1"/>
        <rFont val="Calibri"/>
        <family val="2"/>
        <charset val="186"/>
        <scheme val="minor"/>
      </rPr>
      <t>450 061 MWh/metus.</t>
    </r>
  </si>
  <si>
    <r>
      <t xml:space="preserve">Pradinė reikšmė: </t>
    </r>
    <r>
      <rPr>
        <sz val="10"/>
        <color theme="1"/>
        <rFont val="Calibri"/>
        <family val="2"/>
        <charset val="186"/>
        <scheme val="minor"/>
      </rPr>
      <t xml:space="preserve">  1427274  MWh/metus x  0,04 tCO2/MWh taršos koeficientas  = </t>
    </r>
    <r>
      <rPr>
        <b/>
        <sz val="10"/>
        <color theme="1"/>
        <rFont val="Calibri"/>
        <family val="2"/>
        <charset val="186"/>
        <scheme val="minor"/>
      </rPr>
      <t>57091 t CO2ekvivalentu/metus</t>
    </r>
    <r>
      <rPr>
        <sz val="10"/>
        <color theme="1"/>
        <rFont val="Calibri"/>
        <family val="2"/>
        <charset val="186"/>
        <scheme val="minor"/>
      </rPr>
      <t>. G</t>
    </r>
    <r>
      <rPr>
        <u/>
        <sz val="10"/>
        <color theme="1"/>
        <rFont val="Calibri"/>
        <family val="2"/>
        <scheme val="minor"/>
      </rPr>
      <t xml:space="preserve">alutinė reikšmė:  </t>
    </r>
    <r>
      <rPr>
        <sz val="10"/>
        <color theme="1"/>
        <rFont val="Calibri"/>
        <family val="2"/>
        <charset val="186"/>
        <scheme val="minor"/>
      </rPr>
      <t>iš 450061 MWh/metus 20 % šio kiekio suvartojama pakeistais naujais biokuro katilais (jiems taikomas taršos faktorius 0,04 tCO2/MWh); 80 % energijos suvartojama šilumos siurbliais. Šilumos siurbliais pagaminama šilumos energija 75 % laikoma AEI energija, todėl tokiai energijos daliai taršos faktorius netaikomas. Likusiai energijos daliai pritaikytas elektros taršos faktorius 0,42 tCO2/MWh. (450061  MWh/metus * 0,2*0,04 tCO2/MWh)+( 450061 MWh/metus*0,8*0,25* 0,42 tCO2/MWh) =  3600+37805 =</t>
    </r>
    <r>
      <rPr>
        <b/>
        <sz val="10"/>
        <color theme="1"/>
        <rFont val="Calibri"/>
        <family val="2"/>
        <charset val="186"/>
        <scheme val="minor"/>
      </rPr>
      <t xml:space="preserve"> 41405 t CO2ekvivalentu/metus. </t>
    </r>
  </si>
  <si>
    <t>034 - High efficiency co-generation, district heating and cooling</t>
  </si>
  <si>
    <t>040 - Energy efficiency renovation of existing housing stock, demonstration projects and supporting measures</t>
  </si>
  <si>
    <t xml:space="preserve">2.1.3.To improve energy efficiency of district heating, cooling and  hot water supply systems and develop systems  (27.000.000 eur) </t>
  </si>
  <si>
    <t>Dwellings</t>
  </si>
  <si>
    <t>MWh/ year</t>
  </si>
  <si>
    <t>044- Energy efficiency renovation or energy efficiency measures regarding public infrastructure, demonstration projects and supporting measures compliant with energy efficiency criteria</t>
  </si>
  <si>
    <t>EU Amount (EUR)</t>
  </si>
  <si>
    <t xml:space="preserve">Milestone 2024 </t>
  </si>
  <si>
    <t>code</t>
  </si>
  <si>
    <t>name</t>
  </si>
  <si>
    <r>
      <t>Amount (EU+ national)(Eur.)</t>
    </r>
    <r>
      <rPr>
        <i/>
        <sz val="10"/>
        <color rgb="FFFF0000"/>
        <rFont val="Calibri"/>
        <family val="2"/>
        <scheme val="minor"/>
      </rPr>
      <t xml:space="preserve">                  </t>
    </r>
    <r>
      <rPr>
        <b/>
        <sz val="10"/>
        <rFont val="Calibri"/>
        <family val="2"/>
        <scheme val="minor"/>
      </rPr>
      <t xml:space="preserve"> </t>
    </r>
  </si>
  <si>
    <t>Ministry of energy</t>
  </si>
  <si>
    <t>Mid-West Region</t>
  </si>
  <si>
    <t>MWR</t>
  </si>
  <si>
    <t xml:space="preserve"> RCO23</t>
  </si>
  <si>
    <t>Digital management systems for smart energy systems (pažangiųjų energetikos sistemų skaitmeninio valdymo sistemos)</t>
  </si>
  <si>
    <t>end users/ year</t>
  </si>
  <si>
    <t>Indicator code</t>
  </si>
  <si>
    <t>Indicator name</t>
  </si>
  <si>
    <t>Indicator M.U.</t>
  </si>
  <si>
    <t>Indicator baseline value</t>
  </si>
  <si>
    <t>Indicator baseline year</t>
  </si>
  <si>
    <t>2.3.1. Smart solutions  for  electricity distribution networks to integrate and manage  decentralised RES  generation and energy storage (Diegti išmaniuosius sprendimus į elektros skirstomąjį tinklą paskirstytosios gamybos iš AEI ir energijos kaupimo integravimui ir valdymui)</t>
  </si>
  <si>
    <r>
      <rPr>
        <b/>
        <sz val="10"/>
        <color theme="1"/>
        <rFont val="Calibri"/>
        <family val="2"/>
        <charset val="186"/>
        <scheme val="minor"/>
      </rPr>
      <t>053</t>
    </r>
    <r>
      <rPr>
        <sz val="10"/>
        <color theme="1"/>
        <rFont val="Calibri"/>
        <family val="2"/>
        <scheme val="minor"/>
      </rPr>
      <t xml:space="preserve"> - Smart Energy Systems (including smart grids and ICT systems) and related storage (Pažangios energijos sistemos (įskaitant pažangiuosius tinklus ir informacinių komunikacinių technologijų sistemas) ir susijęs kaupimas)</t>
    </r>
  </si>
  <si>
    <t xml:space="preserve">Users benefiting  from higher quality electricity supply </t>
  </si>
  <si>
    <t>Users benefiting  from higher quality electricity supply (Vartotojai, kuriems pagerėjo tiekiamos elektros energijos kokybė)</t>
  </si>
  <si>
    <t>Row ID</t>
  </si>
  <si>
    <t>Field</t>
  </si>
  <si>
    <t>Indicator metadata</t>
  </si>
  <si>
    <t>R.S.</t>
  </si>
  <si>
    <t>Type of indicator</t>
  </si>
  <si>
    <t>result</t>
  </si>
  <si>
    <t>not required</t>
  </si>
  <si>
    <t>&gt;0</t>
  </si>
  <si>
    <t>Policy objective</t>
  </si>
  <si>
    <t>PO2 Greener Europe</t>
  </si>
  <si>
    <t>Specific objective</t>
  </si>
  <si>
    <t>SO2.3  Developing smart energy systems, grids and storage at outside TEN-E</t>
  </si>
  <si>
    <t>Definition and concepts</t>
  </si>
  <si>
    <t>Data collection</t>
  </si>
  <si>
    <t>Time measurement achieved</t>
  </si>
  <si>
    <t>One year after the completion of the output in the supported projects.</t>
  </si>
  <si>
    <t>Aggregation issues</t>
  </si>
  <si>
    <t>Reporting</t>
  </si>
  <si>
    <t>References</t>
  </si>
  <si>
    <t>Corresponding corporate indicator</t>
  </si>
  <si>
    <t>Notes</t>
  </si>
  <si>
    <t>Examples</t>
  </si>
  <si>
    <r>
      <t xml:space="preserve">
</t>
    </r>
    <r>
      <rPr>
        <u/>
        <sz val="10"/>
        <rFont val="Calibri"/>
        <family val="2"/>
        <charset val="186"/>
        <scheme val="minor"/>
      </rPr>
      <t xml:space="preserve">Target: </t>
    </r>
    <r>
      <rPr>
        <sz val="10"/>
        <rFont val="Calibri"/>
        <family val="2"/>
        <charset val="186"/>
        <scheme val="minor"/>
      </rPr>
      <t xml:space="preserve">13  primary substation (PS) (35 kV/10 kV), 7 PS (110/35/10 kV), 1.294 secondary substation (SS) (10/0,4 kV 10/0,4 kV) will be modernised and 1 information system will be installed with 48 MEUR.   
According to Distribution System Operator an average 1.275 users are connected to the one 35 kV/10 kV  PS, 4.859 users are connected  to one 110/35/10 kV PS and 19 users are connected to 10/0,4 kV 10/0,4 kV secondary substation (SS). 
Then total  amount of </t>
    </r>
    <r>
      <rPr>
        <b/>
        <sz val="10"/>
        <rFont val="Calibri"/>
        <family val="2"/>
        <charset val="186"/>
        <scheme val="minor"/>
      </rPr>
      <t>end</t>
    </r>
    <r>
      <rPr>
        <sz val="10"/>
        <rFont val="Calibri"/>
        <family val="2"/>
        <charset val="186"/>
        <scheme val="minor"/>
      </rPr>
      <t xml:space="preserve"> users </t>
    </r>
    <r>
      <rPr>
        <b/>
        <sz val="10"/>
        <rFont val="Calibri"/>
        <family val="2"/>
        <charset val="186"/>
        <scheme val="minor"/>
      </rPr>
      <t>annually</t>
    </r>
    <r>
      <rPr>
        <sz val="10"/>
        <rFont val="Calibri"/>
        <family val="2"/>
        <charset val="186"/>
        <scheme val="minor"/>
      </rPr>
      <t xml:space="preserve"> benefiting from higher quality of electricity supply  will be (13x1.275)+(7x4.859)+(19x1.294)=~75.174.  Baseline: equal 0 because only after modernisation of electricity distribution grids </t>
    </r>
    <r>
      <rPr>
        <b/>
        <sz val="10"/>
        <rFont val="Calibri"/>
        <family val="2"/>
        <charset val="186"/>
        <scheme val="minor"/>
      </rPr>
      <t xml:space="preserve">end </t>
    </r>
    <r>
      <rPr>
        <sz val="10"/>
        <rFont val="Calibri"/>
        <family val="2"/>
        <charset val="186"/>
        <scheme val="minor"/>
      </rPr>
      <t>users will benefit from better quality of electricity supply.</t>
    </r>
  </si>
  <si>
    <r>
      <t xml:space="preserve">Target: 32 primary substation (PS) (35 kV/10 kV), 18 PS (110/35/10 kV), 2.950 secondary substation (SS) (10/0,4 kV 10/0,4 kV) will be modernised and 1 information system will be installed with 48 MEUR.   According to Distribution System Operator an average 1.275 users are connected to the one 35 kV/10 kV  PS, 4.859 users are connected  to one 110/35/10 kV PS and 19 users are connected to 10/0,4 kV 10/0,4 kV secondary substation (SS). 
Then total  amount of </t>
    </r>
    <r>
      <rPr>
        <b/>
        <sz val="10"/>
        <rFont val="Calibri"/>
        <family val="2"/>
        <charset val="186"/>
        <scheme val="minor"/>
      </rPr>
      <t xml:space="preserve">end </t>
    </r>
    <r>
      <rPr>
        <sz val="10"/>
        <rFont val="Calibri"/>
        <family val="2"/>
        <charset val="186"/>
        <scheme val="minor"/>
      </rPr>
      <t xml:space="preserve">users </t>
    </r>
    <r>
      <rPr>
        <b/>
        <sz val="10"/>
        <rFont val="Calibri"/>
        <family val="2"/>
        <charset val="186"/>
        <scheme val="minor"/>
      </rPr>
      <t>annually</t>
    </r>
    <r>
      <rPr>
        <sz val="10"/>
        <rFont val="Calibri"/>
        <family val="2"/>
        <charset val="186"/>
        <scheme val="minor"/>
      </rPr>
      <t xml:space="preserve"> benefiting from higher quality of electricity supply  will be  (32x1275)+(18x4.859)+(19x2.900)= ~ 183.362 .
Baseline: equal 0 because only after modernisation of electricity distribution grids</t>
    </r>
    <r>
      <rPr>
        <b/>
        <sz val="10"/>
        <rFont val="Calibri"/>
        <family val="2"/>
        <charset val="186"/>
        <scheme val="minor"/>
      </rPr>
      <t xml:space="preserve"> end</t>
    </r>
    <r>
      <rPr>
        <sz val="10"/>
        <rFont val="Calibri"/>
        <family val="2"/>
        <charset val="186"/>
        <scheme val="minor"/>
      </rPr>
      <t xml:space="preserve"> users will benefit from better quality of electricity supply.</t>
    </r>
  </si>
  <si>
    <t xml:space="preserve">Annual end users benefiting  from higher quality electricity supply from smart electricity distribution grids supported by the projects. End users may include private and collective households, enterprises etc. For an existing electricity distribution grids  which are modernised, the baseline is 0. The achieved value is the number of annual users in the year following the completion of the physical investment.                                                                                                                                                                           </t>
  </si>
  <si>
    <t>Policy objective - 2. A greener, low-carbon transitioning towards a net zero carbon economy and resilient Europe by promoting clean and fair energy transition, green and blue investment, the circular economy, climate change mitigation and adaptation, risk prevention and management, and sustainable urban mobility</t>
  </si>
  <si>
    <t>specific result</t>
  </si>
  <si>
    <t xml:space="preserve">Calculation of indicators based on the 50 percent of funding intensity to maintain the same financial model as in 2014-2020 ( 04.4.1-LVPA-K-106 measure „Modernisation and development of electricity distribution network“) (EU amount- 24.000.000 Eur +  co-financing rate (Eur.) - 24.000.000 Total - 48.000.000 Eur.).
Target 2029:  According to DSO data modernization cost of one 35kV/10 kV PS  is about 0,55 MEUR, modernization cost of one 110/35/10 kV PS is 1,7 MEUR and modernization cost of one SS  would be around 0,022 MEUR. 
According to DSO market analysis an average  ~0,5 MEUR could be needed to develop and install an information system, the rest of funds  will be divided as follows: 
15 percent (7,125MEUR) will be invested into modernization of  35 kV/10 kV PS:  7,125/0,55 = 13 TP, 
25 percent of funds (11,9  MEUR) will be invested into modernisation of 110/35/10 kV PS: 11,9/1,7= 7 PS, 
60 percent of funds will be invested to modernization of  10/0,4 kV secondary substations (SS): 28,475/0,022= 1.294.   Total smart energy systems' components will be: (1+13+7+1.294)=1.315. The intermediate value for 2024 is set to 0, as it is assumed that  projects will start in 2023 and will not be completed in 2024 ( according to the implemented similar projects duration of such kind of projects is approx. 2-3 years) </t>
  </si>
  <si>
    <t>Calculation of indicators based on the 50 percent of funding intensity to maintain the same financial model as in 2014-2020 ( 04.4.1-LVPA-K-106 measure „Modernisation and development of electricity distribution network“) (EU amount- 56.000.000 Eur +  co-financing rate (Eur.) - 56.000.000 Total -112.000.000 Eur.).
Target:  According to DSO data modernization cost of one 35kV/10 kV PS  is about 0,55 MEUR, modernization cost of one 110/35/10 kV PS is about 1,7 MEUR and modernization cost of one SS  would be around 0,022 MEUR. Investments  will be divided as follows: 
16 percent (17,9 MEUR) will be invested into modernization of  35 kV/10 kV PS:  17,9/0,55= 32 PS, 
27 percent of funds (30,2  MEUR) will be invested into modernisation of 110/35/10 kV PS: 30,2/1,7= 18 PS, 
57 percent of funds (63,8MEUR) will be invested to modernization of  10/0,4 kV secondary substations (SS): 63,8/0,022= 2.900.   Total smart energy systems' components will be: 32+18+2.900= 2.950.  The intermediate value for 2024 is set to 0, as it is assumed that  projects will start in 2023 and will not be completed in 2024 ( according to the implemented similar projects duration of such kind of projects is approx. 2-3 years) 
The EU amount - 1.250.000+ co-financing rate (Eur.) - 187.500. Total 1.437.500 is not covered by indicator.</t>
  </si>
  <si>
    <t>end users/ year
(galutiniai vartotojai per metus)</t>
  </si>
  <si>
    <t>projects data</t>
  </si>
  <si>
    <t>System components (sistemos sudedamosios dalys)</t>
  </si>
  <si>
    <t>Specific objective - 2.3. Developing smart energy systems, grids and storage outside the Trans-European Energy Network (TEN-E) (Plėtoti pažangiąsias elektros energijos sistemas, tinklus ir energijos kaupimo ne transeuropiniame energetikos tinkle (TEN-E) sprendimus)</t>
  </si>
  <si>
    <t>General comments 2025-12</t>
  </si>
  <si>
    <t>The co-financing rate has been revised, but the calculation of the indicator targets is still based on the previous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</si>
</sst>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57"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b/>
      <sz val="11"/>
      <name val="Calibri"/>
      <family val="2"/>
      <charset val="186"/>
      <scheme val="minor"/>
    </font>
    <font>
      <sz val="10"/>
      <color theme="1"/>
      <name val="Calibri"/>
      <family val="2"/>
      <scheme val="minor"/>
    </font>
    <font>
      <sz val="8"/>
      <name val="Calibri"/>
      <family val="2"/>
      <scheme val="minor"/>
    </font>
    <font>
      <sz val="11"/>
      <color theme="1"/>
      <name val="Calibri"/>
      <family val="2"/>
    </font>
    <font>
      <sz val="11"/>
      <name val="Calibri"/>
      <family val="2"/>
      <scheme val="minor"/>
    </font>
    <font>
      <b/>
      <sz val="16"/>
      <color rgb="FF00B050"/>
      <name val="Calibri"/>
      <family val="2"/>
      <charset val="186"/>
      <scheme val="minor"/>
    </font>
    <font>
      <b/>
      <sz val="14"/>
      <color rgb="FF00B050"/>
      <name val="Calibri"/>
      <family val="2"/>
      <charset val="186"/>
      <scheme val="minor"/>
    </font>
    <font>
      <b/>
      <sz val="10"/>
      <color theme="1"/>
      <name val="Calibri"/>
      <family val="2"/>
      <charset val="186"/>
      <scheme val="minor"/>
    </font>
    <font>
      <sz val="10"/>
      <color theme="1"/>
      <name val="Calibri"/>
      <family val="2"/>
      <charset val="186"/>
      <scheme val="minor"/>
    </font>
    <font>
      <b/>
      <sz val="10"/>
      <color theme="1"/>
      <name val="Calibri"/>
      <family val="2"/>
      <scheme val="minor"/>
    </font>
    <font>
      <sz val="10"/>
      <name val="Calibri"/>
      <family val="2"/>
      <scheme val="minor"/>
    </font>
    <font>
      <sz val="10"/>
      <name val="Calibri"/>
      <family val="2"/>
    </font>
    <font>
      <sz val="10"/>
      <color theme="1"/>
      <name val="Calibri"/>
      <family val="2"/>
    </font>
    <font>
      <b/>
      <sz val="10"/>
      <color theme="1"/>
      <name val="Calibri"/>
      <family val="2"/>
      <charset val="186"/>
    </font>
    <font>
      <sz val="10"/>
      <name val="Calibri"/>
      <family val="2"/>
      <charset val="186"/>
      <scheme val="minor"/>
    </font>
    <font>
      <sz val="10"/>
      <color rgb="FF000000"/>
      <name val="Calibri"/>
      <family val="2"/>
      <charset val="186"/>
      <scheme val="minor"/>
    </font>
    <font>
      <i/>
      <sz val="10"/>
      <color rgb="FFFF0000"/>
      <name val="Calibri"/>
      <family val="2"/>
      <charset val="186"/>
      <scheme val="minor"/>
    </font>
    <font>
      <sz val="10"/>
      <color theme="1"/>
      <name val="Calibri"/>
      <family val="2"/>
      <charset val="186"/>
    </font>
    <font>
      <b/>
      <sz val="10"/>
      <color rgb="FF00B050"/>
      <name val="Calibri"/>
      <family val="2"/>
      <charset val="186"/>
      <scheme val="minor"/>
    </font>
    <font>
      <b/>
      <sz val="10"/>
      <color theme="1"/>
      <name val="Times New Roman"/>
      <family val="1"/>
      <charset val="186"/>
    </font>
    <font>
      <b/>
      <sz val="10"/>
      <name val="Calibri"/>
      <family val="2"/>
      <charset val="186"/>
      <scheme val="minor"/>
    </font>
    <font>
      <i/>
      <sz val="10"/>
      <color rgb="FF00B050"/>
      <name val="Calibri"/>
      <family val="2"/>
      <charset val="186"/>
      <scheme val="minor"/>
    </font>
    <font>
      <sz val="10"/>
      <color rgb="FF00B050"/>
      <name val="Calibri"/>
      <family val="2"/>
      <scheme val="minor"/>
    </font>
    <font>
      <i/>
      <sz val="10"/>
      <color theme="1"/>
      <name val="Calibri"/>
      <family val="2"/>
      <charset val="186"/>
      <scheme val="minor"/>
    </font>
    <font>
      <sz val="10"/>
      <name val="Calibri"/>
      <family val="2"/>
      <charset val="186"/>
    </font>
    <font>
      <i/>
      <sz val="10"/>
      <color rgb="FF7030A0"/>
      <name val="Calibri"/>
      <family val="2"/>
      <scheme val="minor"/>
    </font>
    <font>
      <u/>
      <sz val="10"/>
      <color theme="1"/>
      <name val="Calibri"/>
      <family val="2"/>
      <charset val="186"/>
      <scheme val="minor"/>
    </font>
    <font>
      <i/>
      <sz val="10"/>
      <color rgb="FF00B050"/>
      <name val="Calibri"/>
      <family val="2"/>
      <scheme val="minor"/>
    </font>
    <font>
      <u/>
      <sz val="10"/>
      <color theme="1"/>
      <name val="Calibri"/>
      <family val="2"/>
      <scheme val="minor"/>
    </font>
    <font>
      <u/>
      <sz val="10"/>
      <name val="Calibri"/>
      <family val="2"/>
      <charset val="186"/>
      <scheme val="minor"/>
    </font>
    <font>
      <i/>
      <sz val="10"/>
      <name val="Calibri"/>
      <family val="2"/>
      <charset val="186"/>
      <scheme val="minor"/>
    </font>
    <font>
      <i/>
      <sz val="10"/>
      <color theme="1"/>
      <name val="Calibri"/>
      <family val="2"/>
      <scheme val="minor"/>
    </font>
    <font>
      <i/>
      <sz val="10"/>
      <name val="Calibri"/>
      <family val="2"/>
      <scheme val="minor"/>
    </font>
    <font>
      <b/>
      <sz val="10"/>
      <name val="Calibri"/>
      <family val="2"/>
      <scheme val="minor"/>
    </font>
    <font>
      <i/>
      <sz val="10"/>
      <name val="Calibri"/>
      <family val="2"/>
      <charset val="186"/>
    </font>
    <font>
      <b/>
      <sz val="10"/>
      <color rgb="FFFF0000"/>
      <name val="Calibri"/>
      <family val="2"/>
      <scheme val="minor"/>
    </font>
    <font>
      <b/>
      <i/>
      <sz val="10"/>
      <color rgb="FF7030A0"/>
      <name val="Calibri"/>
      <family val="2"/>
      <charset val="186"/>
      <scheme val="minor"/>
    </font>
    <font>
      <i/>
      <sz val="11"/>
      <color theme="1"/>
      <name val="Calibri"/>
      <family val="2"/>
      <charset val="186"/>
    </font>
    <font>
      <b/>
      <sz val="10"/>
      <color rgb="FFFF0000"/>
      <name val="Calibri"/>
      <family val="2"/>
      <charset val="186"/>
      <scheme val="minor"/>
    </font>
    <font>
      <sz val="10"/>
      <color rgb="FFFF0000"/>
      <name val="Calibri"/>
      <family val="2"/>
      <charset val="186"/>
      <scheme val="minor"/>
    </font>
    <font>
      <sz val="8"/>
      <color theme="1"/>
      <name val="Calibri"/>
      <family val="2"/>
    </font>
    <font>
      <sz val="10"/>
      <color rgb="FF7030A0"/>
      <name val="Calibri"/>
      <family val="2"/>
      <charset val="186"/>
      <scheme val="minor"/>
    </font>
    <font>
      <b/>
      <u/>
      <sz val="10"/>
      <color theme="1"/>
      <name val="Calibri"/>
      <family val="2"/>
      <charset val="186"/>
      <scheme val="minor"/>
    </font>
    <font>
      <b/>
      <u/>
      <sz val="10"/>
      <name val="Calibri"/>
      <family val="2"/>
      <charset val="186"/>
      <scheme val="minor"/>
    </font>
    <font>
      <b/>
      <sz val="12"/>
      <color rgb="FF00B050"/>
      <name val="Calibri"/>
      <family val="2"/>
      <charset val="186"/>
      <scheme val="minor"/>
    </font>
    <font>
      <i/>
      <sz val="10"/>
      <color rgb="FFFF0000"/>
      <name val="Calibri"/>
      <family val="2"/>
      <scheme val="minor"/>
    </font>
    <font>
      <sz val="11"/>
      <color rgb="FFFF0000"/>
      <name val="Calibri"/>
      <family val="2"/>
      <scheme val="minor"/>
    </font>
    <font>
      <sz val="12"/>
      <color theme="1"/>
      <name val="Calibri"/>
      <family val="2"/>
      <scheme val="minor"/>
    </font>
    <font>
      <sz val="12"/>
      <name val="Calibri"/>
      <family val="2"/>
      <scheme val="minor"/>
    </font>
    <font>
      <i/>
      <sz val="12"/>
      <color theme="1"/>
      <name val="Calibri"/>
      <family val="2"/>
      <scheme val="minor"/>
    </font>
    <font>
      <strike/>
      <sz val="11"/>
      <color rgb="FFFF0000"/>
      <name val="Calibri"/>
      <family val="2"/>
      <scheme val="minor"/>
    </font>
    <font>
      <sz val="9"/>
      <color indexed="81"/>
      <name val="Tahoma"/>
      <family val="2"/>
      <charset val="186"/>
    </font>
    <font>
      <b/>
      <sz val="9"/>
      <color indexed="81"/>
      <name val="Tahoma"/>
      <family val="2"/>
      <charset val="186"/>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bottom style="thin">
        <color indexed="64"/>
      </bottom>
      <diagonal/>
    </border>
    <border>
      <left/>
      <right/>
      <top style="medium">
        <color indexed="64"/>
      </top>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s>
  <cellStyleXfs count="1">
    <xf numFmtId="0" fontId="0" fillId="0" borderId="0"/>
  </cellStyleXfs>
  <cellXfs count="493">
    <xf numFmtId="0" fontId="0" fillId="0" borderId="0" xfId="0"/>
    <xf numFmtId="0" fontId="0" fillId="0" borderId="0" xfId="0" applyAlignment="1">
      <alignment vertical="center" wrapText="1"/>
    </xf>
    <xf numFmtId="0" fontId="0" fillId="2" borderId="0" xfId="0" applyFill="1" applyAlignment="1">
      <alignment horizontal="center" vertical="center" wrapText="1"/>
    </xf>
    <xf numFmtId="0" fontId="0" fillId="0" borderId="0" xfId="0" applyAlignment="1">
      <alignment horizontal="center" vertical="top" wrapText="1"/>
    </xf>
    <xf numFmtId="0" fontId="7" fillId="0" borderId="0" xfId="0" applyFont="1" applyAlignment="1">
      <alignment horizontal="center" vertical="center" wrapText="1"/>
    </xf>
    <xf numFmtId="0" fontId="7" fillId="0" borderId="0" xfId="0" applyFont="1" applyAlignment="1">
      <alignment wrapText="1"/>
    </xf>
    <xf numFmtId="0" fontId="0" fillId="0" borderId="0" xfId="0" applyAlignment="1">
      <alignment wrapText="1"/>
    </xf>
    <xf numFmtId="0" fontId="0" fillId="0" borderId="0" xfId="0" applyAlignment="1">
      <alignment vertical="top" wrapText="1"/>
    </xf>
    <xf numFmtId="4" fontId="0" fillId="0" borderId="0" xfId="0" applyNumberFormat="1" applyAlignment="1">
      <alignment vertical="center"/>
    </xf>
    <xf numFmtId="0" fontId="0" fillId="0" borderId="0" xfId="0" applyAlignment="1">
      <alignment vertical="center"/>
    </xf>
    <xf numFmtId="0" fontId="0" fillId="0" borderId="8" xfId="0" applyBorder="1"/>
    <xf numFmtId="164" fontId="0" fillId="0" borderId="0" xfId="0" applyNumberFormat="1"/>
    <xf numFmtId="0" fontId="3" fillId="0" borderId="10" xfId="0" applyFont="1" applyBorder="1" applyAlignment="1">
      <alignment horizontal="center" vertical="center"/>
    </xf>
    <xf numFmtId="0" fontId="3" fillId="2" borderId="10" xfId="0" applyFont="1" applyFill="1" applyBorder="1" applyAlignment="1">
      <alignment horizontal="center" vertical="center" wrapText="1"/>
    </xf>
    <xf numFmtId="0" fontId="3" fillId="0" borderId="18" xfId="0" applyFont="1" applyBorder="1" applyAlignment="1">
      <alignment horizontal="center" vertical="center" wrapText="1"/>
    </xf>
    <xf numFmtId="164" fontId="0" fillId="0" borderId="0" xfId="0" applyNumberFormat="1" applyAlignment="1">
      <alignment vertical="center" wrapText="1"/>
    </xf>
    <xf numFmtId="0" fontId="0" fillId="0" borderId="0" xfId="0" applyAlignment="1">
      <alignment horizontal="center" vertical="center"/>
    </xf>
    <xf numFmtId="0" fontId="2" fillId="0" borderId="0" xfId="0" applyFont="1"/>
    <xf numFmtId="0" fontId="2" fillId="0" borderId="1" xfId="0" applyFont="1" applyBorder="1" applyAlignment="1">
      <alignment horizontal="center" vertical="center" wrapText="1"/>
    </xf>
    <xf numFmtId="0" fontId="2" fillId="0" borderId="25" xfId="0" applyFont="1" applyBorder="1"/>
    <xf numFmtId="0" fontId="9" fillId="0" borderId="0" xfId="0" applyFont="1"/>
    <xf numFmtId="0" fontId="5" fillId="0" borderId="0" xfId="0" applyFont="1"/>
    <xf numFmtId="0" fontId="2" fillId="0" borderId="0" xfId="0" applyFont="1" applyAlignment="1">
      <alignment wrapText="1"/>
    </xf>
    <xf numFmtId="0" fontId="14" fillId="0" borderId="1" xfId="0" applyFont="1" applyBorder="1" applyAlignment="1">
      <alignment horizontal="center" vertical="center" wrapText="1"/>
    </xf>
    <xf numFmtId="4" fontId="14" fillId="0" borderId="1" xfId="0" applyNumberFormat="1" applyFont="1" applyBorder="1" applyAlignment="1">
      <alignment horizontal="center" vertical="center" wrapText="1"/>
    </xf>
    <xf numFmtId="0" fontId="14" fillId="0" borderId="1" xfId="0" applyFont="1" applyBorder="1" applyAlignment="1">
      <alignment vertical="center" wrapText="1"/>
    </xf>
    <xf numFmtId="0" fontId="18" fillId="0" borderId="1" xfId="0" applyFont="1" applyBorder="1" applyAlignment="1">
      <alignment horizontal="center" vertical="center" wrapText="1"/>
    </xf>
    <xf numFmtId="0" fontId="14" fillId="0" borderId="10" xfId="0" applyFont="1" applyBorder="1" applyAlignment="1">
      <alignment horizontal="center" vertical="center" wrapText="1"/>
    </xf>
    <xf numFmtId="0" fontId="0" fillId="0" borderId="28" xfId="0" applyBorder="1"/>
    <xf numFmtId="0" fontId="5" fillId="0" borderId="0" xfId="0" applyFont="1" applyAlignment="1">
      <alignment vertical="center" wrapText="1"/>
    </xf>
    <xf numFmtId="0" fontId="22" fillId="0" borderId="0" xfId="0" applyFont="1"/>
    <xf numFmtId="0" fontId="12" fillId="0" borderId="0" xfId="0" applyFont="1"/>
    <xf numFmtId="0" fontId="12" fillId="0" borderId="0" xfId="0" applyFont="1" applyAlignment="1">
      <alignment horizontal="center" vertical="center"/>
    </xf>
    <xf numFmtId="0" fontId="12" fillId="0" borderId="11" xfId="0" applyFont="1" applyBorder="1" applyAlignment="1">
      <alignment horizontal="center" vertical="center"/>
    </xf>
    <xf numFmtId="0" fontId="12" fillId="0" borderId="11" xfId="0" applyFont="1" applyBorder="1" applyAlignment="1">
      <alignment vertical="center" wrapText="1"/>
    </xf>
    <xf numFmtId="0" fontId="11" fillId="0" borderId="1" xfId="0" applyFont="1" applyBorder="1" applyAlignment="1">
      <alignment horizontal="center" vertical="center" wrapText="1"/>
    </xf>
    <xf numFmtId="164" fontId="18" fillId="0" borderId="1" xfId="0" applyNumberFormat="1" applyFont="1" applyBorder="1" applyAlignment="1">
      <alignment horizontal="center" vertical="center"/>
    </xf>
    <xf numFmtId="164" fontId="14" fillId="0" borderId="1" xfId="0" applyNumberFormat="1" applyFont="1" applyBorder="1" applyAlignment="1">
      <alignment horizontal="center" vertical="center"/>
    </xf>
    <xf numFmtId="0" fontId="26" fillId="0" borderId="0" xfId="0" applyFont="1"/>
    <xf numFmtId="0" fontId="12" fillId="0" borderId="1" xfId="0" applyFont="1" applyBorder="1" applyAlignment="1">
      <alignment horizontal="center" vertical="center"/>
    </xf>
    <xf numFmtId="164" fontId="11" fillId="0" borderId="2" xfId="0" applyNumberFormat="1" applyFont="1" applyBorder="1" applyAlignment="1">
      <alignment horizontal="center" vertical="center" wrapText="1"/>
    </xf>
    <xf numFmtId="0" fontId="12" fillId="0" borderId="1" xfId="0" applyFont="1" applyBorder="1" applyAlignment="1">
      <alignment horizontal="center" vertical="center" wrapText="1"/>
    </xf>
    <xf numFmtId="3" fontId="14" fillId="0" borderId="1" xfId="0" applyNumberFormat="1" applyFont="1" applyBorder="1" applyAlignment="1">
      <alignment horizontal="center" vertical="center" wrapText="1"/>
    </xf>
    <xf numFmtId="164" fontId="12" fillId="0" borderId="0" xfId="0" applyNumberFormat="1" applyFont="1"/>
    <xf numFmtId="164" fontId="11" fillId="0" borderId="12" xfId="0" applyNumberFormat="1" applyFont="1" applyBorder="1" applyAlignment="1">
      <alignment horizontal="left" vertical="center" wrapText="1"/>
    </xf>
    <xf numFmtId="0" fontId="12" fillId="0" borderId="0" xfId="0" applyFont="1" applyAlignment="1">
      <alignment horizontal="center"/>
    </xf>
    <xf numFmtId="164" fontId="11" fillId="0" borderId="1" xfId="0" applyNumberFormat="1" applyFont="1" applyBorder="1" applyAlignment="1">
      <alignment horizontal="center" vertical="center" wrapText="1"/>
    </xf>
    <xf numFmtId="0" fontId="19" fillId="0" borderId="1" xfId="0" applyFont="1" applyBorder="1" applyAlignment="1">
      <alignment horizontal="center" vertical="center" wrapText="1"/>
    </xf>
    <xf numFmtId="3" fontId="18" fillId="0" borderId="1" xfId="0" applyNumberFormat="1" applyFont="1" applyBorder="1" applyAlignment="1">
      <alignment horizontal="center" vertical="center"/>
    </xf>
    <xf numFmtId="164" fontId="18" fillId="0" borderId="1" xfId="0" applyNumberFormat="1" applyFont="1" applyBorder="1" applyAlignment="1">
      <alignment horizontal="center" vertical="center" wrapText="1"/>
    </xf>
    <xf numFmtId="0" fontId="11" fillId="0" borderId="2" xfId="0" applyFont="1" applyBorder="1" applyAlignment="1">
      <alignment horizontal="center" vertical="center"/>
    </xf>
    <xf numFmtId="3" fontId="12" fillId="0" borderId="1" xfId="0" applyNumberFormat="1" applyFont="1" applyBorder="1" applyAlignment="1">
      <alignment horizontal="center" vertical="center" wrapText="1"/>
    </xf>
    <xf numFmtId="164" fontId="12" fillId="0" borderId="1" xfId="0" applyNumberFormat="1" applyFont="1" applyBorder="1" applyAlignment="1">
      <alignment horizontal="center" vertical="center" wrapText="1"/>
    </xf>
    <xf numFmtId="0" fontId="12" fillId="0" borderId="1" xfId="0" applyFont="1" applyBorder="1" applyAlignment="1">
      <alignment horizontal="center" wrapText="1"/>
    </xf>
    <xf numFmtId="0" fontId="18" fillId="0" borderId="1" xfId="0" applyFont="1" applyBorder="1" applyAlignment="1">
      <alignment horizontal="center" vertical="center"/>
    </xf>
    <xf numFmtId="164" fontId="12" fillId="0" borderId="1" xfId="0" applyNumberFormat="1" applyFont="1" applyBorder="1" applyAlignment="1">
      <alignment horizontal="center" vertical="center"/>
    </xf>
    <xf numFmtId="0" fontId="12" fillId="0" borderId="2" xfId="0" applyFont="1" applyBorder="1" applyAlignment="1">
      <alignment horizontal="center" vertical="center" wrapText="1"/>
    </xf>
    <xf numFmtId="164" fontId="12" fillId="0" borderId="2" xfId="0" applyNumberFormat="1" applyFont="1" applyBorder="1" applyAlignment="1">
      <alignment horizontal="center" vertical="center" wrapText="1"/>
    </xf>
    <xf numFmtId="0" fontId="12" fillId="2" borderId="1" xfId="0" applyFont="1" applyFill="1" applyBorder="1" applyAlignment="1">
      <alignment horizontal="center" vertical="center" wrapText="1"/>
    </xf>
    <xf numFmtId="0" fontId="4" fillId="0" borderId="18" xfId="0" applyFont="1" applyBorder="1" applyAlignment="1">
      <alignment horizontal="left" vertical="center" wrapText="1"/>
    </xf>
    <xf numFmtId="0" fontId="5" fillId="0" borderId="1" xfId="0" applyFont="1" applyBorder="1" applyAlignment="1">
      <alignment horizontal="center" vertical="center"/>
    </xf>
    <xf numFmtId="0" fontId="15" fillId="0" borderId="1" xfId="0" applyFont="1" applyBorder="1" applyAlignment="1">
      <alignment horizontal="center" vertical="center"/>
    </xf>
    <xf numFmtId="0" fontId="14" fillId="0" borderId="1" xfId="0" applyFont="1" applyBorder="1" applyAlignment="1">
      <alignment horizontal="center" vertical="center"/>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28" fillId="0" borderId="1" xfId="0" applyFont="1" applyBorder="1" applyAlignment="1">
      <alignment horizontal="center" vertical="center"/>
    </xf>
    <xf numFmtId="0" fontId="15" fillId="0" borderId="2" xfId="0" applyFont="1" applyBorder="1" applyAlignment="1">
      <alignment horizontal="center" vertical="center"/>
    </xf>
    <xf numFmtId="0" fontId="5" fillId="0" borderId="1" xfId="0" applyFont="1" applyBorder="1" applyAlignment="1">
      <alignment vertical="top" wrapText="1"/>
    </xf>
    <xf numFmtId="0" fontId="12" fillId="0" borderId="1" xfId="0" applyFont="1" applyBorder="1" applyAlignment="1">
      <alignment vertical="center" wrapText="1"/>
    </xf>
    <xf numFmtId="0" fontId="12" fillId="0" borderId="1" xfId="0" applyFont="1" applyBorder="1" applyAlignment="1">
      <alignment horizontal="left" vertical="center" wrapText="1"/>
    </xf>
    <xf numFmtId="0" fontId="5" fillId="0" borderId="1" xfId="0" applyFont="1" applyBorder="1" applyAlignment="1">
      <alignment horizontal="left" vertical="center" wrapText="1"/>
    </xf>
    <xf numFmtId="0" fontId="12" fillId="0" borderId="11" xfId="0" applyFont="1" applyBorder="1" applyAlignment="1">
      <alignment horizontal="center" vertical="center" wrapText="1"/>
    </xf>
    <xf numFmtId="0" fontId="11" fillId="0" borderId="2" xfId="0" applyFont="1" applyBorder="1" applyAlignment="1">
      <alignment horizontal="center" vertical="center" wrapText="1"/>
    </xf>
    <xf numFmtId="4" fontId="18" fillId="0" borderId="1" xfId="0" applyNumberFormat="1" applyFont="1" applyBorder="1" applyAlignment="1">
      <alignment horizontal="center" vertical="center" wrapText="1"/>
    </xf>
    <xf numFmtId="164" fontId="14" fillId="0" borderId="1"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4" fontId="5" fillId="0" borderId="8" xfId="0" applyNumberFormat="1" applyFont="1" applyBorder="1" applyAlignment="1">
      <alignment horizontal="center" vertical="center" wrapText="1"/>
    </xf>
    <xf numFmtId="0" fontId="0" fillId="2" borderId="0" xfId="0" applyFill="1" applyAlignment="1">
      <alignment horizontal="center" vertical="top" wrapText="1"/>
    </xf>
    <xf numFmtId="4" fontId="0" fillId="0" borderId="0" xfId="0" applyNumberFormat="1" applyAlignment="1">
      <alignment horizontal="center" vertical="center"/>
    </xf>
    <xf numFmtId="0" fontId="16" fillId="0" borderId="2" xfId="0" applyFont="1" applyBorder="1" applyAlignment="1">
      <alignment horizontal="center" vertical="center" wrapText="1"/>
    </xf>
    <xf numFmtId="0" fontId="16" fillId="0" borderId="11" xfId="0" applyFont="1" applyBorder="1" applyAlignment="1">
      <alignment horizontal="center" vertical="center" wrapText="1"/>
    </xf>
    <xf numFmtId="0" fontId="5" fillId="0" borderId="2" xfId="0" applyFont="1" applyBorder="1" applyAlignment="1">
      <alignment vertical="top" wrapText="1"/>
    </xf>
    <xf numFmtId="0" fontId="19" fillId="0" borderId="2" xfId="0" applyFont="1" applyBorder="1" applyAlignment="1">
      <alignment horizontal="center" vertical="center" wrapText="1"/>
    </xf>
    <xf numFmtId="0" fontId="14" fillId="0" borderId="2" xfId="0" applyFont="1" applyBorder="1" applyAlignment="1">
      <alignment horizontal="center" vertical="center"/>
    </xf>
    <xf numFmtId="0" fontId="14" fillId="0" borderId="11" xfId="0" applyFont="1" applyBorder="1" applyAlignment="1">
      <alignment horizontal="center" vertical="center"/>
    </xf>
    <xf numFmtId="0" fontId="16" fillId="0" borderId="1" xfId="0" applyFont="1" applyBorder="1" applyAlignment="1">
      <alignment horizontal="center" vertical="center"/>
    </xf>
    <xf numFmtId="0" fontId="14" fillId="0" borderId="1" xfId="0" applyFont="1" applyBorder="1" applyAlignment="1">
      <alignment vertical="top" wrapText="1"/>
    </xf>
    <xf numFmtId="4" fontId="5" fillId="0" borderId="6" xfId="0" applyNumberFormat="1" applyFont="1" applyBorder="1" applyAlignment="1">
      <alignment horizontal="center" vertical="center" wrapText="1"/>
    </xf>
    <xf numFmtId="0" fontId="18" fillId="0" borderId="1" xfId="0" applyFont="1" applyBorder="1" applyAlignment="1">
      <alignment horizontal="left" vertical="center" wrapText="1"/>
    </xf>
    <xf numFmtId="4" fontId="5" fillId="0" borderId="1" xfId="0" applyNumberFormat="1" applyFont="1" applyBorder="1" applyAlignment="1">
      <alignment horizontal="center" vertical="center" wrapText="1"/>
    </xf>
    <xf numFmtId="0" fontId="12" fillId="0" borderId="1" xfId="0" applyFont="1" applyBorder="1" applyAlignment="1">
      <alignment horizontal="left" vertical="top" wrapText="1"/>
    </xf>
    <xf numFmtId="0" fontId="0" fillId="0" borderId="0" xfId="0" applyAlignment="1">
      <alignment horizontal="left" vertical="top"/>
    </xf>
    <xf numFmtId="0" fontId="5" fillId="0" borderId="1" xfId="0" applyFont="1" applyBorder="1" applyAlignment="1">
      <alignment horizontal="left" vertical="top" wrapText="1"/>
    </xf>
    <xf numFmtId="0" fontId="5" fillId="0" borderId="1" xfId="0" applyFont="1" applyBorder="1" applyAlignment="1">
      <alignment horizontal="left" wrapText="1"/>
    </xf>
    <xf numFmtId="0" fontId="5" fillId="0" borderId="3" xfId="0" applyFont="1" applyBorder="1" applyAlignment="1">
      <alignment horizontal="left" vertical="center" wrapText="1"/>
    </xf>
    <xf numFmtId="0" fontId="5" fillId="0" borderId="24" xfId="0" applyFont="1" applyBorder="1" applyAlignment="1">
      <alignment horizontal="left" vertical="center" wrapText="1"/>
    </xf>
    <xf numFmtId="0" fontId="5" fillId="0" borderId="3" xfId="0" applyFont="1" applyBorder="1" applyAlignment="1">
      <alignment horizontal="left" vertical="top" wrapText="1"/>
    </xf>
    <xf numFmtId="0" fontId="5" fillId="0" borderId="18" xfId="0" applyFont="1" applyBorder="1" applyAlignment="1">
      <alignment horizontal="left" vertical="top" wrapText="1"/>
    </xf>
    <xf numFmtId="0" fontId="5" fillId="0" borderId="3" xfId="0" applyFont="1" applyBorder="1" applyAlignment="1">
      <alignment vertical="center" wrapText="1"/>
    </xf>
    <xf numFmtId="0" fontId="5" fillId="0" borderId="3" xfId="0" applyFont="1" applyBorder="1" applyAlignment="1">
      <alignment horizontal="left" wrapText="1"/>
    </xf>
    <xf numFmtId="0" fontId="5" fillId="0" borderId="1" xfId="0" applyFont="1" applyBorder="1" applyAlignment="1">
      <alignment wrapText="1"/>
    </xf>
    <xf numFmtId="0" fontId="12" fillId="0" borderId="1" xfId="0" applyFont="1" applyBorder="1" applyAlignment="1">
      <alignment vertical="top" wrapText="1"/>
    </xf>
    <xf numFmtId="0" fontId="18" fillId="0" borderId="1" xfId="0" applyFont="1" applyBorder="1" applyAlignment="1">
      <alignment vertical="top" wrapText="1"/>
    </xf>
    <xf numFmtId="0" fontId="5" fillId="0" borderId="3" xfId="0" applyFont="1" applyBorder="1" applyAlignment="1">
      <alignment vertical="top" wrapText="1"/>
    </xf>
    <xf numFmtId="0" fontId="28"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28" fillId="0" borderId="24"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11" xfId="0" applyFont="1" applyBorder="1" applyAlignment="1">
      <alignment horizontal="center" vertical="center"/>
    </xf>
    <xf numFmtId="0" fontId="15" fillId="0" borderId="11" xfId="0" applyFont="1" applyBorder="1" applyAlignment="1">
      <alignment horizontal="center" vertical="center"/>
    </xf>
    <xf numFmtId="0" fontId="14" fillId="0" borderId="6" xfId="0" applyFont="1" applyBorder="1" applyAlignment="1">
      <alignment horizontal="center" vertical="center"/>
    </xf>
    <xf numFmtId="0" fontId="28" fillId="0" borderId="6" xfId="0" applyFont="1" applyBorder="1" applyAlignment="1">
      <alignment horizontal="center" vertical="center" wrapText="1"/>
    </xf>
    <xf numFmtId="0" fontId="28" fillId="0" borderId="6" xfId="0" applyFont="1" applyBorder="1" applyAlignment="1">
      <alignment horizontal="center" vertical="center"/>
    </xf>
    <xf numFmtId="0" fontId="18" fillId="0" borderId="6" xfId="0" applyFont="1" applyBorder="1" applyAlignment="1">
      <alignment horizontal="center" vertical="center" wrapText="1"/>
    </xf>
    <xf numFmtId="0" fontId="18" fillId="0" borderId="24" xfId="0" applyFont="1" applyBorder="1" applyAlignment="1">
      <alignment horizontal="left" vertical="center" wrapText="1"/>
    </xf>
    <xf numFmtId="0" fontId="18" fillId="0" borderId="11" xfId="0" applyFont="1" applyBorder="1" applyAlignment="1">
      <alignment horizontal="center" vertical="center" wrapText="1"/>
    </xf>
    <xf numFmtId="0" fontId="18" fillId="0" borderId="1" xfId="0" applyFont="1" applyBorder="1" applyAlignment="1">
      <alignment vertical="center" wrapText="1"/>
    </xf>
    <xf numFmtId="0" fontId="24" fillId="0" borderId="1" xfId="0" applyFont="1" applyBorder="1" applyAlignment="1">
      <alignment horizontal="center" vertical="center" wrapText="1"/>
    </xf>
    <xf numFmtId="3" fontId="14" fillId="0" borderId="11" xfId="0" applyNumberFormat="1" applyFont="1" applyBorder="1" applyAlignment="1">
      <alignment horizontal="center" vertical="center"/>
    </xf>
    <xf numFmtId="3" fontId="14" fillId="0" borderId="1" xfId="0" applyNumberFormat="1" applyFont="1" applyBorder="1" applyAlignment="1">
      <alignment horizontal="center" vertical="center"/>
    </xf>
    <xf numFmtId="0" fontId="14" fillId="0" borderId="10" xfId="0" applyFont="1" applyBorder="1" applyAlignment="1">
      <alignment horizontal="center" vertical="center"/>
    </xf>
    <xf numFmtId="0" fontId="36" fillId="0" borderId="2" xfId="0" applyFont="1" applyBorder="1" applyAlignment="1">
      <alignment horizontal="center" vertical="center" wrapText="1"/>
    </xf>
    <xf numFmtId="0" fontId="14" fillId="0" borderId="6" xfId="0" applyFont="1" applyBorder="1" applyAlignment="1">
      <alignment horizontal="center" vertical="center" wrapText="1"/>
    </xf>
    <xf numFmtId="0" fontId="15" fillId="0" borderId="1" xfId="0" applyFont="1" applyBorder="1" applyAlignment="1">
      <alignment horizontal="left" vertical="center" wrapText="1"/>
    </xf>
    <xf numFmtId="0" fontId="5" fillId="0" borderId="11" xfId="0" applyFont="1" applyBorder="1" applyAlignment="1">
      <alignment horizontal="center" vertical="center" wrapText="1"/>
    </xf>
    <xf numFmtId="0" fontId="14" fillId="0" borderId="8" xfId="0" applyFont="1" applyBorder="1" applyAlignment="1">
      <alignment horizontal="center" vertical="center"/>
    </xf>
    <xf numFmtId="0" fontId="5" fillId="0" borderId="17" xfId="0" applyFont="1" applyBorder="1" applyAlignment="1">
      <alignment vertical="top" wrapText="1"/>
    </xf>
    <xf numFmtId="0" fontId="5" fillId="0" borderId="24" xfId="0" applyFont="1" applyBorder="1" applyAlignment="1">
      <alignment vertical="top" wrapText="1"/>
    </xf>
    <xf numFmtId="0" fontId="5" fillId="0" borderId="18" xfId="0" applyFont="1" applyBorder="1" applyAlignment="1">
      <alignment vertical="top" wrapText="1"/>
    </xf>
    <xf numFmtId="0" fontId="14" fillId="0" borderId="17" xfId="0" applyFont="1" applyBorder="1" applyAlignment="1">
      <alignment horizontal="left" vertical="top" wrapText="1"/>
    </xf>
    <xf numFmtId="0" fontId="14" fillId="0" borderId="18" xfId="0" applyFont="1" applyBorder="1" applyAlignment="1">
      <alignment vertical="top" wrapText="1"/>
    </xf>
    <xf numFmtId="0" fontId="13" fillId="2" borderId="10" xfId="0" applyFont="1" applyFill="1" applyBorder="1" applyAlignment="1">
      <alignment horizontal="center" vertical="center" wrapText="1"/>
    </xf>
    <xf numFmtId="0" fontId="13" fillId="0" borderId="18" xfId="0" applyFont="1" applyBorder="1" applyAlignment="1">
      <alignment horizontal="center" vertical="center" wrapText="1"/>
    </xf>
    <xf numFmtId="0" fontId="37" fillId="0" borderId="10"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0" xfId="0" applyFont="1" applyBorder="1" applyAlignment="1">
      <alignment horizontal="center" vertical="center"/>
    </xf>
    <xf numFmtId="0" fontId="1" fillId="0" borderId="1" xfId="0" applyFont="1" applyBorder="1" applyAlignment="1">
      <alignment horizontal="center" vertical="center" wrapText="1"/>
    </xf>
    <xf numFmtId="0" fontId="0" fillId="0" borderId="25" xfId="0" applyBorder="1" applyAlignment="1">
      <alignment horizontal="left" vertical="top"/>
    </xf>
    <xf numFmtId="0" fontId="5" fillId="0" borderId="12" xfId="0" applyFont="1" applyBorder="1" applyAlignment="1">
      <alignment horizontal="left" vertical="top" wrapText="1"/>
    </xf>
    <xf numFmtId="0" fontId="0" fillId="0" borderId="26" xfId="0" applyBorder="1"/>
    <xf numFmtId="0" fontId="5" fillId="0" borderId="14" xfId="0" applyFont="1" applyBorder="1" applyAlignment="1">
      <alignment horizontal="left" vertical="top" wrapText="1"/>
    </xf>
    <xf numFmtId="0" fontId="5" fillId="0" borderId="15" xfId="0" applyFont="1" applyBorder="1" applyAlignment="1">
      <alignment horizontal="left" vertical="top" wrapText="1"/>
    </xf>
    <xf numFmtId="0" fontId="5" fillId="0" borderId="24" xfId="0" applyFont="1" applyBorder="1" applyAlignment="1">
      <alignment horizontal="left" vertical="top" wrapText="1"/>
    </xf>
    <xf numFmtId="0" fontId="5" fillId="0" borderId="6" xfId="0" applyFont="1" applyBorder="1" applyAlignment="1">
      <alignment horizontal="center" vertical="center" wrapText="1"/>
    </xf>
    <xf numFmtId="0" fontId="5" fillId="0" borderId="17" xfId="0" applyFont="1" applyBorder="1" applyAlignment="1">
      <alignment horizontal="left" vertical="top" wrapText="1"/>
    </xf>
    <xf numFmtId="0" fontId="2" fillId="0" borderId="26" xfId="0" applyFont="1" applyBorder="1"/>
    <xf numFmtId="165" fontId="2" fillId="0" borderId="1" xfId="0" applyNumberFormat="1" applyFont="1" applyBorder="1" applyAlignment="1">
      <alignment horizontal="center" vertical="center" wrapText="1"/>
    </xf>
    <xf numFmtId="0" fontId="12" fillId="0" borderId="15" xfId="0" applyFont="1" applyBorder="1" applyAlignment="1">
      <alignment horizontal="left" vertical="top" wrapText="1"/>
    </xf>
    <xf numFmtId="0" fontId="12" fillId="0" borderId="12" xfId="0" applyFont="1" applyBorder="1" applyAlignment="1">
      <alignment horizontal="left" vertical="top" wrapText="1"/>
    </xf>
    <xf numFmtId="3" fontId="18" fillId="0" borderId="1" xfId="0" applyNumberFormat="1" applyFont="1" applyBorder="1" applyAlignment="1">
      <alignment horizontal="center" vertical="center" wrapText="1"/>
    </xf>
    <xf numFmtId="0" fontId="18" fillId="0" borderId="2" xfId="0" applyFont="1" applyBorder="1" applyAlignment="1">
      <alignment horizontal="center" vertical="center" wrapText="1"/>
    </xf>
    <xf numFmtId="0" fontId="25" fillId="0" borderId="2" xfId="0" applyFont="1" applyBorder="1" applyAlignment="1">
      <alignment horizontal="center" vertical="center" wrapText="1"/>
    </xf>
    <xf numFmtId="3" fontId="14" fillId="0" borderId="2" xfId="0" applyNumberFormat="1" applyFont="1" applyBorder="1" applyAlignment="1">
      <alignment horizontal="center" vertical="center" wrapText="1"/>
    </xf>
    <xf numFmtId="4" fontId="18" fillId="0" borderId="2" xfId="0" applyNumberFormat="1" applyFont="1" applyBorder="1" applyAlignment="1">
      <alignment horizontal="center" vertical="center" wrapText="1"/>
    </xf>
    <xf numFmtId="0" fontId="14" fillId="0" borderId="12" xfId="0" applyFont="1" applyBorder="1" applyAlignment="1">
      <alignment vertical="top" wrapText="1"/>
    </xf>
    <xf numFmtId="0" fontId="22" fillId="0" borderId="0" xfId="0" applyFont="1" applyAlignment="1">
      <alignment horizontal="center"/>
    </xf>
    <xf numFmtId="0" fontId="24" fillId="0" borderId="12" xfId="0" applyFont="1" applyBorder="1" applyAlignment="1">
      <alignment horizontal="center" vertical="center" wrapText="1"/>
    </xf>
    <xf numFmtId="0" fontId="18" fillId="0" borderId="2" xfId="0" applyFont="1" applyBorder="1" applyAlignment="1">
      <alignment horizontal="left" vertical="center" wrapText="1"/>
    </xf>
    <xf numFmtId="3" fontId="18" fillId="0" borderId="2" xfId="0" applyNumberFormat="1" applyFont="1" applyBorder="1" applyAlignment="1">
      <alignment horizontal="center" vertical="center"/>
    </xf>
    <xf numFmtId="0" fontId="15" fillId="0" borderId="1" xfId="0" applyFont="1" applyBorder="1" applyAlignment="1">
      <alignment vertical="center" wrapText="1"/>
    </xf>
    <xf numFmtId="0" fontId="18" fillId="0" borderId="2" xfId="0" applyFont="1" applyBorder="1" applyAlignment="1">
      <alignment vertical="center" wrapText="1"/>
    </xf>
    <xf numFmtId="165" fontId="1" fillId="0" borderId="1" xfId="0" applyNumberFormat="1" applyFont="1" applyBorder="1" applyAlignment="1">
      <alignment horizontal="center" vertical="center" wrapText="1"/>
    </xf>
    <xf numFmtId="164" fontId="41" fillId="0" borderId="0" xfId="0" applyNumberFormat="1" applyFont="1" applyAlignment="1">
      <alignment wrapText="1"/>
    </xf>
    <xf numFmtId="0" fontId="41" fillId="0" borderId="0" xfId="0" applyFont="1" applyAlignment="1">
      <alignment wrapText="1"/>
    </xf>
    <xf numFmtId="164" fontId="27" fillId="0" borderId="0" xfId="0" applyNumberFormat="1" applyFont="1"/>
    <xf numFmtId="0" fontId="12" fillId="0" borderId="6" xfId="0" applyFont="1" applyBorder="1" applyAlignment="1">
      <alignment horizontal="center" vertical="center" wrapText="1"/>
    </xf>
    <xf numFmtId="0" fontId="5" fillId="3" borderId="1" xfId="0" applyFont="1" applyFill="1" applyBorder="1" applyAlignment="1">
      <alignment horizontal="left" vertical="top" wrapText="1"/>
    </xf>
    <xf numFmtId="0" fontId="12" fillId="0" borderId="6" xfId="0" applyFont="1" applyBorder="1" applyAlignment="1">
      <alignment horizontal="center" vertical="center"/>
    </xf>
    <xf numFmtId="0" fontId="12" fillId="0" borderId="6" xfId="0" applyFont="1" applyBorder="1" applyAlignment="1">
      <alignment vertical="center" wrapText="1"/>
    </xf>
    <xf numFmtId="0" fontId="5" fillId="0" borderId="6" xfId="0" applyFont="1" applyBorder="1" applyAlignment="1">
      <alignment horizontal="left" vertical="center" wrapText="1"/>
    </xf>
    <xf numFmtId="0" fontId="38" fillId="0" borderId="0" xfId="0" applyFont="1"/>
    <xf numFmtId="0" fontId="0" fillId="0" borderId="29" xfId="0" applyBorder="1"/>
    <xf numFmtId="0" fontId="32" fillId="0" borderId="3" xfId="0" applyFont="1" applyBorder="1" applyAlignment="1">
      <alignment horizontal="left" vertical="top" wrapText="1"/>
    </xf>
    <xf numFmtId="0" fontId="5" fillId="3" borderId="1" xfId="0" applyFont="1" applyFill="1" applyBorder="1" applyAlignment="1">
      <alignment vertical="top" wrapText="1"/>
    </xf>
    <xf numFmtId="0" fontId="12" fillId="3" borderId="1" xfId="0" applyFont="1" applyFill="1" applyBorder="1" applyAlignment="1">
      <alignment vertical="top" wrapText="1"/>
    </xf>
    <xf numFmtId="0" fontId="5" fillId="3" borderId="6" xfId="0" applyFont="1" applyFill="1" applyBorder="1" applyAlignment="1">
      <alignment vertical="top" wrapText="1"/>
    </xf>
    <xf numFmtId="0" fontId="18" fillId="3" borderId="1" xfId="0" applyFont="1" applyFill="1" applyBorder="1" applyAlignment="1">
      <alignment vertical="top" wrapText="1"/>
    </xf>
    <xf numFmtId="0" fontId="18" fillId="0" borderId="6" xfId="0" applyFont="1" applyBorder="1" applyAlignment="1">
      <alignment horizontal="center" vertical="center"/>
    </xf>
    <xf numFmtId="0" fontId="18" fillId="0" borderId="6" xfId="0" applyFont="1" applyBorder="1" applyAlignment="1">
      <alignment horizontal="left" vertical="center" wrapText="1"/>
    </xf>
    <xf numFmtId="4" fontId="18" fillId="0" borderId="6" xfId="0" applyNumberFormat="1" applyFont="1" applyBorder="1" applyAlignment="1">
      <alignment horizontal="center" vertical="center" wrapText="1"/>
    </xf>
    <xf numFmtId="0" fontId="5" fillId="0" borderId="6" xfId="0" applyFont="1" applyBorder="1" applyAlignment="1">
      <alignment horizontal="left" vertical="top" wrapText="1"/>
    </xf>
    <xf numFmtId="0" fontId="35" fillId="0" borderId="1" xfId="0" applyFont="1" applyBorder="1" applyAlignment="1">
      <alignment horizontal="left" wrapText="1"/>
    </xf>
    <xf numFmtId="0" fontId="5" fillId="3" borderId="1" xfId="0" applyFont="1" applyFill="1" applyBorder="1" applyAlignment="1">
      <alignment wrapText="1"/>
    </xf>
    <xf numFmtId="0" fontId="5" fillId="0" borderId="0" xfId="0" applyFont="1" applyAlignment="1">
      <alignment wrapText="1"/>
    </xf>
    <xf numFmtId="0" fontId="18" fillId="0" borderId="8" xfId="0" applyFont="1" applyBorder="1" applyAlignment="1">
      <alignment horizontal="center" vertical="center" wrapText="1"/>
    </xf>
    <xf numFmtId="164" fontId="18" fillId="0" borderId="6" xfId="0" applyNumberFormat="1" applyFont="1" applyBorder="1" applyAlignment="1">
      <alignment horizontal="center" vertical="center" wrapText="1"/>
    </xf>
    <xf numFmtId="0" fontId="18" fillId="0" borderId="11" xfId="0" applyFont="1" applyBorder="1" applyAlignment="1">
      <alignment horizontal="left" vertical="center" wrapText="1"/>
    </xf>
    <xf numFmtId="0" fontId="14" fillId="0" borderId="29" xfId="0" applyFont="1" applyBorder="1" applyAlignment="1">
      <alignment vertical="top" wrapText="1"/>
    </xf>
    <xf numFmtId="0" fontId="5" fillId="3" borderId="11" xfId="0" applyFont="1" applyFill="1" applyBorder="1" applyAlignment="1">
      <alignment vertical="top" wrapText="1"/>
    </xf>
    <xf numFmtId="164" fontId="18" fillId="0" borderId="6" xfId="0" applyNumberFormat="1" applyFont="1" applyBorder="1" applyAlignment="1">
      <alignment horizontal="center" vertical="center"/>
    </xf>
    <xf numFmtId="4" fontId="18" fillId="0" borderId="11" xfId="0" applyNumberFormat="1" applyFont="1" applyBorder="1" applyAlignment="1">
      <alignment horizontal="center" vertical="center" wrapText="1"/>
    </xf>
    <xf numFmtId="164" fontId="18" fillId="0" borderId="2" xfId="0" applyNumberFormat="1" applyFont="1" applyBorder="1" applyAlignment="1">
      <alignment horizontal="center" vertical="center" wrapText="1"/>
    </xf>
    <xf numFmtId="164" fontId="18" fillId="0" borderId="11" xfId="0" applyNumberFormat="1" applyFont="1" applyBorder="1" applyAlignment="1">
      <alignment horizontal="center" vertical="center" wrapText="1"/>
    </xf>
    <xf numFmtId="0" fontId="18" fillId="0" borderId="11" xfId="0" applyFont="1" applyBorder="1" applyAlignment="1">
      <alignment horizontal="center" vertical="center"/>
    </xf>
    <xf numFmtId="164" fontId="18" fillId="0" borderId="8" xfId="0" applyNumberFormat="1" applyFont="1" applyBorder="1" applyAlignment="1">
      <alignment horizontal="center" vertical="center" wrapText="1"/>
    </xf>
    <xf numFmtId="164" fontId="18" fillId="0" borderId="2" xfId="0" applyNumberFormat="1" applyFont="1" applyBorder="1" applyAlignment="1">
      <alignment horizontal="center" vertical="center"/>
    </xf>
    <xf numFmtId="164" fontId="18" fillId="0" borderId="11" xfId="0" applyNumberFormat="1" applyFont="1" applyBorder="1" applyAlignment="1">
      <alignment horizontal="center" vertical="center"/>
    </xf>
    <xf numFmtId="0" fontId="12" fillId="0" borderId="0" xfId="0" applyFont="1" applyAlignment="1">
      <alignment horizontal="left" vertical="top" wrapText="1"/>
    </xf>
    <xf numFmtId="0" fontId="5" fillId="0" borderId="0" xfId="0" applyFont="1" applyAlignment="1">
      <alignment horizontal="center" vertical="center" wrapText="1"/>
    </xf>
    <xf numFmtId="0" fontId="14" fillId="0" borderId="0" xfId="0" applyFont="1" applyAlignment="1">
      <alignment horizontal="center" vertical="center" wrapText="1"/>
    </xf>
    <xf numFmtId="0" fontId="18" fillId="0" borderId="0" xfId="0" applyFont="1" applyAlignment="1">
      <alignment horizontal="center" vertical="center" wrapText="1"/>
    </xf>
    <xf numFmtId="0" fontId="18" fillId="0" borderId="0" xfId="0" applyFont="1" applyAlignment="1">
      <alignment horizontal="center" vertical="center"/>
    </xf>
    <xf numFmtId="0" fontId="18" fillId="0" borderId="0" xfId="0" applyFont="1" applyAlignment="1">
      <alignment horizontal="justify" vertical="center" wrapText="1"/>
    </xf>
    <xf numFmtId="0" fontId="5" fillId="0" borderId="0" xfId="0" applyFont="1" applyAlignment="1">
      <alignment horizontal="center" vertical="center"/>
    </xf>
    <xf numFmtId="4" fontId="5" fillId="0" borderId="0" xfId="0" applyNumberFormat="1" applyFont="1"/>
    <xf numFmtId="3" fontId="18" fillId="0" borderId="0" xfId="0" applyNumberFormat="1" applyFont="1" applyAlignment="1">
      <alignment horizontal="center" vertical="center" wrapText="1"/>
    </xf>
    <xf numFmtId="0" fontId="4" fillId="0" borderId="1" xfId="0" applyFont="1" applyBorder="1" applyAlignment="1">
      <alignment horizontal="center" vertical="center" wrapText="1"/>
    </xf>
    <xf numFmtId="3" fontId="5" fillId="0" borderId="0" xfId="0" applyNumberFormat="1" applyFont="1"/>
    <xf numFmtId="0" fontId="5" fillId="0" borderId="0" xfId="0" applyFont="1" applyAlignment="1">
      <alignment horizontal="center"/>
    </xf>
    <xf numFmtId="0" fontId="0" fillId="0" borderId="0" xfId="0" applyAlignment="1">
      <alignment horizontal="center"/>
    </xf>
    <xf numFmtId="0" fontId="13" fillId="0" borderId="2" xfId="0" applyFont="1" applyBorder="1" applyAlignment="1">
      <alignment horizontal="center" vertical="center" wrapText="1"/>
    </xf>
    <xf numFmtId="164" fontId="13" fillId="0" borderId="12" xfId="0" applyNumberFormat="1" applyFont="1" applyBorder="1" applyAlignment="1">
      <alignment horizontal="left" vertical="center" wrapText="1"/>
    </xf>
    <xf numFmtId="0" fontId="37" fillId="0" borderId="12" xfId="0" applyFont="1" applyBorder="1" applyAlignment="1">
      <alignment horizontal="center" vertical="center" wrapText="1"/>
    </xf>
    <xf numFmtId="0" fontId="13" fillId="0" borderId="2" xfId="0" applyFont="1" applyBorder="1" applyAlignment="1">
      <alignment vertical="top" wrapText="1"/>
    </xf>
    <xf numFmtId="0" fontId="13" fillId="0" borderId="2" xfId="0" applyFont="1" applyBorder="1" applyAlignment="1">
      <alignment vertical="top"/>
    </xf>
    <xf numFmtId="3" fontId="18" fillId="0" borderId="6" xfId="0" applyNumberFormat="1" applyFont="1" applyBorder="1" applyAlignment="1">
      <alignment horizontal="center" vertical="center" wrapText="1"/>
    </xf>
    <xf numFmtId="0" fontId="18" fillId="0" borderId="10" xfId="0" applyFont="1" applyBorder="1" applyAlignment="1">
      <alignment horizontal="center" vertical="center"/>
    </xf>
    <xf numFmtId="3" fontId="18" fillId="0" borderId="10" xfId="0" applyNumberFormat="1" applyFont="1" applyBorder="1" applyAlignment="1">
      <alignment horizontal="center" vertical="center" wrapText="1"/>
    </xf>
    <xf numFmtId="4" fontId="18" fillId="0" borderId="10" xfId="0" applyNumberFormat="1" applyFont="1" applyBorder="1" applyAlignment="1">
      <alignment horizontal="center" vertical="center" wrapText="1"/>
    </xf>
    <xf numFmtId="0" fontId="51" fillId="0" borderId="1" xfId="0" applyFont="1" applyBorder="1" applyAlignment="1">
      <alignment horizontal="center" vertical="center" wrapText="1"/>
    </xf>
    <xf numFmtId="0" fontId="51" fillId="0" borderId="1" xfId="0" applyFont="1" applyBorder="1" applyAlignment="1">
      <alignment vertical="center" wrapText="1"/>
    </xf>
    <xf numFmtId="0" fontId="51" fillId="0" borderId="1" xfId="0" applyFont="1" applyBorder="1" applyAlignment="1">
      <alignment wrapText="1"/>
    </xf>
    <xf numFmtId="0" fontId="51" fillId="0" borderId="8" xfId="0" applyFont="1" applyBorder="1"/>
    <xf numFmtId="0" fontId="53" fillId="0" borderId="1" xfId="0" applyFont="1" applyBorder="1" applyAlignment="1">
      <alignment wrapText="1"/>
    </xf>
    <xf numFmtId="0" fontId="52" fillId="0" borderId="8" xfId="0" applyFont="1" applyBorder="1"/>
    <xf numFmtId="0" fontId="52" fillId="0" borderId="1" xfId="0" applyFont="1" applyBorder="1" applyAlignment="1">
      <alignment wrapText="1"/>
    </xf>
    <xf numFmtId="0" fontId="52" fillId="0" borderId="1" xfId="0" applyFont="1" applyBorder="1" applyAlignment="1">
      <alignment horizontal="left" wrapText="1"/>
    </xf>
    <xf numFmtId="0" fontId="52" fillId="0" borderId="1" xfId="0" applyFont="1" applyBorder="1" applyAlignment="1">
      <alignment vertical="center"/>
    </xf>
    <xf numFmtId="0" fontId="52" fillId="0" borderId="1" xfId="0" applyFont="1" applyBorder="1" applyAlignment="1">
      <alignment vertical="top" wrapText="1"/>
    </xf>
    <xf numFmtId="0" fontId="11" fillId="0" borderId="0" xfId="0" applyFont="1"/>
    <xf numFmtId="0" fontId="18" fillId="2" borderId="1" xfId="0" applyFont="1" applyFill="1" applyBorder="1" applyAlignment="1">
      <alignment horizontal="center" vertical="center" wrapText="1"/>
    </xf>
    <xf numFmtId="0" fontId="18" fillId="2" borderId="10" xfId="0" applyFont="1" applyFill="1" applyBorder="1" applyAlignment="1">
      <alignment horizontal="center" vertical="center" wrapText="1"/>
    </xf>
    <xf numFmtId="3" fontId="18" fillId="2" borderId="1" xfId="0" applyNumberFormat="1" applyFont="1" applyFill="1" applyBorder="1" applyAlignment="1">
      <alignment horizontal="center" vertical="center" wrapText="1"/>
    </xf>
    <xf numFmtId="0" fontId="18" fillId="0" borderId="10" xfId="0" applyFont="1" applyBorder="1" applyAlignment="1">
      <alignment horizontal="center" vertical="center" wrapText="1"/>
    </xf>
    <xf numFmtId="3" fontId="5" fillId="0" borderId="0" xfId="0" applyNumberFormat="1" applyFont="1" applyAlignment="1">
      <alignment horizontal="center" vertical="center" wrapText="1"/>
    </xf>
    <xf numFmtId="3" fontId="5" fillId="0" borderId="0" xfId="0" applyNumberFormat="1" applyFont="1" applyAlignment="1">
      <alignment horizontal="left" vertical="center" wrapText="1"/>
    </xf>
    <xf numFmtId="3" fontId="5" fillId="0" borderId="0" xfId="0" applyNumberFormat="1" applyFont="1" applyAlignment="1">
      <alignment horizontal="center" vertical="center"/>
    </xf>
    <xf numFmtId="0" fontId="18" fillId="0" borderId="0" xfId="0" applyFont="1"/>
    <xf numFmtId="164" fontId="12" fillId="0" borderId="2" xfId="0" applyNumberFormat="1" applyFont="1" applyBorder="1" applyAlignment="1">
      <alignment horizontal="center" vertical="center"/>
    </xf>
    <xf numFmtId="164" fontId="12" fillId="0" borderId="8" xfId="0" applyNumberFormat="1" applyFont="1" applyBorder="1" applyAlignment="1">
      <alignment horizontal="center" vertical="center"/>
    </xf>
    <xf numFmtId="164" fontId="12" fillId="0" borderId="11" xfId="0" applyNumberFormat="1" applyFont="1" applyBorder="1" applyAlignment="1">
      <alignment horizontal="center" vertical="center"/>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4" xfId="0" applyFont="1" applyBorder="1" applyAlignment="1">
      <alignment horizontal="center" vertical="center" wrapText="1"/>
    </xf>
    <xf numFmtId="164" fontId="12" fillId="0" borderId="6" xfId="0" applyNumberFormat="1" applyFont="1" applyBorder="1" applyAlignment="1">
      <alignment horizontal="center" vertical="center" wrapText="1"/>
    </xf>
    <xf numFmtId="164" fontId="12" fillId="0" borderId="1" xfId="0" applyNumberFormat="1" applyFont="1" applyBorder="1" applyAlignment="1">
      <alignment horizontal="center" vertical="center" wrapText="1"/>
    </xf>
    <xf numFmtId="0" fontId="12" fillId="0" borderId="6" xfId="0" applyFont="1" applyBorder="1" applyAlignment="1">
      <alignment horizontal="left" vertical="center" wrapText="1"/>
    </xf>
    <xf numFmtId="0" fontId="12" fillId="0" borderId="1" xfId="0" applyFont="1" applyBorder="1" applyAlignment="1">
      <alignment horizontal="left" vertical="center" wrapText="1"/>
    </xf>
    <xf numFmtId="164" fontId="12" fillId="0" borderId="2" xfId="0" applyNumberFormat="1" applyFont="1" applyBorder="1" applyAlignment="1">
      <alignment horizontal="center" vertical="center" wrapText="1"/>
    </xf>
    <xf numFmtId="164" fontId="12" fillId="0" borderId="8" xfId="0" applyNumberFormat="1" applyFont="1" applyBorder="1" applyAlignment="1">
      <alignment horizontal="center" vertical="center" wrapText="1"/>
    </xf>
    <xf numFmtId="164" fontId="12" fillId="0" borderId="11" xfId="0" applyNumberFormat="1" applyFont="1" applyBorder="1" applyAlignment="1">
      <alignment horizontal="center" vertical="center" wrapText="1"/>
    </xf>
    <xf numFmtId="0" fontId="18" fillId="3" borderId="2" xfId="0" applyFont="1" applyFill="1" applyBorder="1" applyAlignment="1">
      <alignment vertical="top" wrapText="1"/>
    </xf>
    <xf numFmtId="0" fontId="18" fillId="3" borderId="11" xfId="0" applyFont="1" applyFill="1" applyBorder="1" applyAlignment="1">
      <alignment vertical="top" wrapText="1"/>
    </xf>
    <xf numFmtId="0" fontId="12" fillId="0" borderId="2"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2" xfId="0" applyFont="1" applyBorder="1" applyAlignment="1">
      <alignment vertical="center" wrapText="1"/>
    </xf>
    <xf numFmtId="0" fontId="12" fillId="0" borderId="11" xfId="0" applyFont="1" applyBorder="1" applyAlignment="1">
      <alignment vertical="center" wrapText="1"/>
    </xf>
    <xf numFmtId="164" fontId="18" fillId="0" borderId="2" xfId="0" applyNumberFormat="1" applyFont="1" applyBorder="1" applyAlignment="1">
      <alignment horizontal="center" vertical="center" wrapText="1"/>
    </xf>
    <xf numFmtId="164" fontId="18" fillId="0" borderId="11" xfId="0" applyNumberFormat="1" applyFont="1" applyBorder="1" applyAlignment="1">
      <alignment horizontal="center" vertical="center" wrapText="1"/>
    </xf>
    <xf numFmtId="0" fontId="18" fillId="0" borderId="2" xfId="0" applyFont="1" applyBorder="1" applyAlignment="1">
      <alignment horizontal="center" vertical="center" wrapText="1"/>
    </xf>
    <xf numFmtId="0" fontId="18" fillId="0" borderId="11" xfId="0" applyFont="1" applyBorder="1" applyAlignment="1">
      <alignment horizontal="center" vertical="center" wrapText="1"/>
    </xf>
    <xf numFmtId="4" fontId="18" fillId="0" borderId="2" xfId="0" applyNumberFormat="1" applyFont="1" applyBorder="1" applyAlignment="1">
      <alignment horizontal="center" vertical="center" wrapText="1"/>
    </xf>
    <xf numFmtId="4" fontId="18" fillId="0" borderId="11" xfId="0" applyNumberFormat="1" applyFont="1" applyBorder="1" applyAlignment="1">
      <alignment horizontal="center" vertical="center" wrapText="1"/>
    </xf>
    <xf numFmtId="0" fontId="5" fillId="0" borderId="2" xfId="0" applyFont="1" applyBorder="1" applyAlignment="1">
      <alignment horizontal="left" vertical="center" wrapText="1"/>
    </xf>
    <xf numFmtId="0" fontId="5" fillId="0" borderId="11" xfId="0" applyFont="1" applyBorder="1" applyAlignment="1">
      <alignment horizontal="left" vertical="center" wrapText="1"/>
    </xf>
    <xf numFmtId="164" fontId="18" fillId="0" borderId="8" xfId="0" applyNumberFormat="1" applyFont="1" applyBorder="1" applyAlignment="1">
      <alignment horizontal="center" vertical="center" wrapText="1"/>
    </xf>
    <xf numFmtId="0" fontId="5" fillId="0" borderId="2" xfId="0" applyFont="1" applyBorder="1" applyAlignment="1">
      <alignment horizontal="left" vertical="top" wrapText="1"/>
    </xf>
    <xf numFmtId="0" fontId="5" fillId="0" borderId="8" xfId="0" applyFont="1" applyBorder="1" applyAlignment="1">
      <alignment horizontal="left" vertical="top" wrapText="1"/>
    </xf>
    <xf numFmtId="0" fontId="5" fillId="0" borderId="11" xfId="0" applyFont="1" applyBorder="1" applyAlignment="1">
      <alignment horizontal="left" vertical="top" wrapText="1"/>
    </xf>
    <xf numFmtId="0" fontId="12" fillId="3" borderId="2" xfId="0" applyFont="1" applyFill="1" applyBorder="1" applyAlignment="1">
      <alignment horizontal="left" vertical="top" wrapText="1"/>
    </xf>
    <xf numFmtId="0" fontId="12" fillId="3" borderId="8" xfId="0" applyFont="1" applyFill="1" applyBorder="1" applyAlignment="1">
      <alignment horizontal="left" vertical="top" wrapText="1"/>
    </xf>
    <xf numFmtId="0" fontId="5" fillId="3" borderId="11" xfId="0" applyFont="1" applyFill="1" applyBorder="1" applyAlignment="1">
      <alignment horizontal="left" vertical="top" wrapText="1"/>
    </xf>
    <xf numFmtId="164" fontId="12" fillId="0" borderId="7" xfId="0" applyNumberFormat="1" applyFont="1" applyBorder="1" applyAlignment="1">
      <alignment horizontal="center"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11" xfId="0" applyFont="1" applyBorder="1" applyAlignment="1">
      <alignment horizontal="left" vertical="center" wrapText="1"/>
    </xf>
    <xf numFmtId="0" fontId="12" fillId="0" borderId="1" xfId="0" applyFont="1" applyBorder="1" applyAlignment="1">
      <alignment horizontal="center" vertical="center" wrapText="1"/>
    </xf>
    <xf numFmtId="164" fontId="18"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12" fillId="0" borderId="2" xfId="0" applyFont="1" applyBorder="1" applyAlignment="1">
      <alignment horizontal="left" vertical="center" wrapText="1"/>
    </xf>
    <xf numFmtId="0" fontId="12" fillId="0" borderId="4" xfId="0" applyFont="1" applyBorder="1" applyAlignment="1">
      <alignment horizontal="left" vertical="center" wrapText="1"/>
    </xf>
    <xf numFmtId="164" fontId="12" fillId="0" borderId="4" xfId="0" applyNumberFormat="1" applyFont="1" applyBorder="1" applyAlignment="1">
      <alignment horizontal="center" vertical="center" wrapText="1"/>
    </xf>
    <xf numFmtId="4" fontId="5" fillId="0" borderId="2" xfId="0" applyNumberFormat="1" applyFont="1" applyBorder="1" applyAlignment="1">
      <alignment horizontal="center" vertical="center" wrapText="1"/>
    </xf>
    <xf numFmtId="4" fontId="5" fillId="0" borderId="8"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29" xfId="0" applyFont="1" applyBorder="1" applyAlignment="1">
      <alignment horizontal="center" vertical="center" wrapText="1"/>
    </xf>
    <xf numFmtId="0" fontId="24" fillId="0" borderId="1" xfId="0" applyFont="1" applyBorder="1" applyAlignment="1">
      <alignment horizontal="center" vertical="center" wrapText="1"/>
    </xf>
    <xf numFmtId="4" fontId="12" fillId="0" borderId="2" xfId="0" applyNumberFormat="1" applyFont="1" applyBorder="1" applyAlignment="1">
      <alignment horizontal="center" vertical="center" wrapText="1"/>
    </xf>
    <xf numFmtId="4" fontId="12" fillId="0" borderId="8" xfId="0" applyNumberFormat="1" applyFont="1" applyBorder="1" applyAlignment="1">
      <alignment horizontal="center" vertical="center" wrapText="1"/>
    </xf>
    <xf numFmtId="4" fontId="12" fillId="0" borderId="11" xfId="0" applyNumberFormat="1" applyFont="1" applyBorder="1" applyAlignment="1">
      <alignment horizontal="center" vertical="center" wrapText="1"/>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17" xfId="0" applyFont="1" applyBorder="1" applyAlignment="1">
      <alignment horizontal="center" vertical="center" wrapText="1"/>
    </xf>
    <xf numFmtId="0" fontId="11" fillId="0" borderId="22" xfId="0" applyFont="1" applyBorder="1" applyAlignment="1">
      <alignment horizontal="center" vertical="center" wrapText="1"/>
    </xf>
    <xf numFmtId="0" fontId="48" fillId="0" borderId="0" xfId="0" applyFont="1" applyAlignment="1">
      <alignment horizontal="left"/>
    </xf>
    <xf numFmtId="0" fontId="11" fillId="0" borderId="5" xfId="0" applyFont="1" applyBorder="1" applyAlignment="1">
      <alignment horizontal="center" vertical="center" wrapText="1"/>
    </xf>
    <xf numFmtId="0" fontId="11" fillId="0" borderId="13" xfId="0" applyFont="1" applyBorder="1" applyAlignment="1">
      <alignment horizontal="center" vertical="center" wrapText="1"/>
    </xf>
    <xf numFmtId="164" fontId="11" fillId="0" borderId="7" xfId="0" applyNumberFormat="1" applyFont="1" applyBorder="1" applyAlignment="1">
      <alignment horizontal="center" vertical="center" wrapText="1"/>
    </xf>
    <xf numFmtId="164" fontId="11" fillId="0" borderId="8" xfId="0" applyNumberFormat="1" applyFont="1" applyBorder="1" applyAlignment="1">
      <alignment horizontal="center" vertical="center" wrapText="1"/>
    </xf>
    <xf numFmtId="0" fontId="11" fillId="0" borderId="6"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6" xfId="0" applyFont="1" applyBorder="1" applyAlignment="1">
      <alignment horizontal="center" vertical="center"/>
    </xf>
    <xf numFmtId="0" fontId="23" fillId="0" borderId="6"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164" fontId="5" fillId="0" borderId="1" xfId="0" applyNumberFormat="1" applyFont="1" applyBorder="1" applyAlignment="1">
      <alignment horizontal="center" vertical="center" wrapText="1"/>
    </xf>
    <xf numFmtId="4" fontId="12" fillId="0" borderId="1" xfId="0" applyNumberFormat="1" applyFont="1" applyBorder="1" applyAlignment="1">
      <alignment horizontal="center" vertical="center" wrapText="1"/>
    </xf>
    <xf numFmtId="3" fontId="14" fillId="0" borderId="1"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4" fontId="14" fillId="0" borderId="1" xfId="0" applyNumberFormat="1" applyFont="1" applyBorder="1" applyAlignment="1">
      <alignment horizontal="center" vertical="center" wrapText="1"/>
    </xf>
    <xf numFmtId="0" fontId="5" fillId="0" borderId="1" xfId="0" applyFont="1" applyBorder="1" applyAlignment="1">
      <alignment horizontal="left" vertical="top" wrapText="1"/>
    </xf>
    <xf numFmtId="0" fontId="12" fillId="0" borderId="2" xfId="0" applyFont="1" applyBorder="1" applyAlignment="1">
      <alignment horizontal="left" vertical="top" wrapText="1"/>
    </xf>
    <xf numFmtId="0" fontId="14" fillId="0" borderId="1" xfId="0" applyFont="1" applyBorder="1" applyAlignment="1">
      <alignment horizontal="center" vertical="center" wrapText="1"/>
    </xf>
    <xf numFmtId="0" fontId="12" fillId="0" borderId="1" xfId="0" applyFont="1" applyBorder="1" applyAlignment="1">
      <alignment vertical="center" wrapText="1"/>
    </xf>
    <xf numFmtId="0" fontId="5" fillId="0" borderId="1" xfId="0" applyFont="1" applyBorder="1" applyAlignment="1">
      <alignment vertical="center" wrapText="1"/>
    </xf>
    <xf numFmtId="164"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164" fontId="14" fillId="0" borderId="1" xfId="0" applyNumberFormat="1" applyFont="1" applyBorder="1" applyAlignment="1">
      <alignment horizontal="center" vertical="center" wrapText="1"/>
    </xf>
    <xf numFmtId="4" fontId="18" fillId="0" borderId="1" xfId="0" applyNumberFormat="1" applyFont="1" applyBorder="1" applyAlignment="1">
      <alignment horizontal="center" vertical="center" wrapText="1"/>
    </xf>
    <xf numFmtId="0" fontId="18" fillId="0" borderId="1" xfId="0" applyFont="1" applyBorder="1" applyAlignment="1">
      <alignment vertical="top" wrapText="1"/>
    </xf>
    <xf numFmtId="4" fontId="12" fillId="0" borderId="11" xfId="0" applyNumberFormat="1" applyFont="1" applyBorder="1" applyAlignment="1">
      <alignment horizontal="center" vertical="center"/>
    </xf>
    <xf numFmtId="0" fontId="12" fillId="0" borderId="2" xfId="0" applyFont="1" applyBorder="1" applyAlignment="1">
      <alignment horizontal="center" vertical="center"/>
    </xf>
    <xf numFmtId="0" fontId="10" fillId="0" borderId="0" xfId="0" applyFont="1" applyAlignment="1">
      <alignment horizontal="left" wrapText="1"/>
    </xf>
    <xf numFmtId="0" fontId="3" fillId="0" borderId="5" xfId="0" applyFont="1" applyBorder="1" applyAlignment="1">
      <alignment horizontal="center" vertical="center" wrapText="1"/>
    </xf>
    <xf numFmtId="0" fontId="3" fillId="0" borderId="9" xfId="0" applyFont="1" applyBorder="1" applyAlignment="1">
      <alignment horizontal="center" vertical="center" wrapText="1"/>
    </xf>
    <xf numFmtId="164" fontId="3" fillId="0" borderId="6" xfId="0" applyNumberFormat="1" applyFont="1" applyBorder="1" applyAlignment="1">
      <alignment horizontal="center" vertical="center" wrapText="1"/>
    </xf>
    <xf numFmtId="164" fontId="3" fillId="0" borderId="10"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top"/>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164" fontId="0" fillId="0" borderId="11" xfId="0" applyNumberFormat="1" applyBorder="1" applyAlignment="1">
      <alignment horizontal="center" vertical="center" wrapText="1"/>
    </xf>
    <xf numFmtId="164" fontId="0" fillId="0" borderId="1" xfId="0" applyNumberFormat="1" applyBorder="1" applyAlignment="1">
      <alignment horizontal="center" vertical="center" wrapText="1"/>
    </xf>
    <xf numFmtId="0" fontId="0" fillId="0" borderId="11" xfId="0" applyBorder="1" applyAlignment="1">
      <alignment horizontal="center" vertical="center" wrapText="1"/>
    </xf>
    <xf numFmtId="0" fontId="0" fillId="0" borderId="1" xfId="0" applyBorder="1" applyAlignment="1">
      <alignment horizontal="center" vertical="center" wrapText="1"/>
    </xf>
    <xf numFmtId="4" fontId="0" fillId="0" borderId="11" xfId="0" applyNumberFormat="1" applyBorder="1" applyAlignment="1">
      <alignment horizontal="center" vertical="center" wrapText="1"/>
    </xf>
    <xf numFmtId="4" fontId="0" fillId="0" borderId="1" xfId="0" applyNumberFormat="1" applyBorder="1" applyAlignment="1">
      <alignment horizontal="center" vertical="center" wrapText="1"/>
    </xf>
    <xf numFmtId="4" fontId="0" fillId="0" borderId="11" xfId="0" applyNumberFormat="1" applyBorder="1" applyAlignment="1">
      <alignment horizontal="center" vertical="center"/>
    </xf>
    <xf numFmtId="4" fontId="0" fillId="0" borderId="1" xfId="0" applyNumberFormat="1" applyBorder="1" applyAlignment="1">
      <alignment horizontal="center" vertical="center"/>
    </xf>
    <xf numFmtId="4" fontId="0" fillId="0" borderId="2" xfId="0" applyNumberFormat="1" applyBorder="1" applyAlignment="1">
      <alignment horizontal="center" vertical="center" wrapText="1"/>
    </xf>
    <xf numFmtId="4" fontId="0" fillId="0" borderId="8" xfId="0" applyNumberFormat="1" applyBorder="1" applyAlignment="1">
      <alignment horizontal="center" vertical="center" wrapText="1"/>
    </xf>
    <xf numFmtId="4" fontId="0" fillId="0" borderId="4" xfId="0" applyNumberForma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 xfId="0" applyFont="1" applyBorder="1" applyAlignment="1">
      <alignment horizontal="center" vertical="center"/>
    </xf>
    <xf numFmtId="0" fontId="11" fillId="0" borderId="23" xfId="0" applyFont="1" applyBorder="1" applyAlignment="1">
      <alignment horizontal="center" vertical="center" wrapText="1"/>
    </xf>
    <xf numFmtId="0" fontId="11" fillId="0" borderId="21" xfId="0" applyFont="1" applyBorder="1" applyAlignment="1">
      <alignment horizontal="center" vertical="center" wrapText="1"/>
    </xf>
    <xf numFmtId="164" fontId="0" fillId="0" borderId="8" xfId="0" applyNumberFormat="1" applyBorder="1" applyAlignment="1">
      <alignment horizontal="center" vertical="center" wrapText="1"/>
    </xf>
    <xf numFmtId="0" fontId="1" fillId="0" borderId="8" xfId="0" applyFont="1" applyBorder="1" applyAlignment="1">
      <alignment horizontal="center" vertical="center" wrapText="1"/>
    </xf>
    <xf numFmtId="0" fontId="2" fillId="0" borderId="8" xfId="0" applyFont="1" applyBorder="1" applyAlignment="1">
      <alignment horizontal="center" vertical="center" wrapText="1"/>
    </xf>
    <xf numFmtId="0" fontId="0" fillId="0" borderId="8" xfId="0" applyBorder="1" applyAlignment="1">
      <alignment horizontal="center" vertical="center" wrapText="1"/>
    </xf>
    <xf numFmtId="164" fontId="0" fillId="0" borderId="2" xfId="0" applyNumberFormat="1" applyBorder="1" applyAlignment="1">
      <alignment horizontal="center" vertical="center" wrapText="1"/>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3" fillId="0" borderId="22" xfId="0" applyFont="1" applyBorder="1" applyAlignment="1">
      <alignment horizontal="center" vertical="center" wrapText="1"/>
    </xf>
    <xf numFmtId="0" fontId="16" fillId="0" borderId="8" xfId="0" applyFont="1" applyBorder="1" applyAlignment="1">
      <alignment horizontal="center" vertical="center" wrapText="1"/>
    </xf>
    <xf numFmtId="0" fontId="5" fillId="0" borderId="8"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1"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1" xfId="0" applyFont="1" applyBorder="1" applyAlignment="1">
      <alignment horizontal="center" vertical="center" wrapText="1"/>
    </xf>
    <xf numFmtId="0" fontId="0" fillId="0" borderId="2" xfId="0" applyBorder="1" applyAlignment="1">
      <alignment horizontal="center" vertical="center" wrapText="1"/>
    </xf>
    <xf numFmtId="4" fontId="14" fillId="0" borderId="2" xfId="0" applyNumberFormat="1" applyFont="1" applyBorder="1" applyAlignment="1">
      <alignment horizontal="center" vertical="center" wrapText="1"/>
    </xf>
    <xf numFmtId="4" fontId="14" fillId="0" borderId="8" xfId="0" applyNumberFormat="1" applyFont="1" applyBorder="1" applyAlignment="1">
      <alignment horizontal="center" vertical="center" wrapText="1"/>
    </xf>
    <xf numFmtId="4" fontId="14" fillId="0" borderId="11" xfId="0" applyNumberFormat="1" applyFont="1" applyBorder="1" applyAlignment="1">
      <alignment horizontal="center" vertical="center" wrapText="1"/>
    </xf>
    <xf numFmtId="0" fontId="5" fillId="0" borderId="8" xfId="0" applyFont="1" applyBorder="1" applyAlignment="1">
      <alignment vertical="top" wrapText="1"/>
    </xf>
    <xf numFmtId="0" fontId="5" fillId="0" borderId="11" xfId="0" applyFont="1" applyBorder="1" applyAlignment="1">
      <alignment vertical="top" wrapText="1"/>
    </xf>
    <xf numFmtId="0" fontId="14" fillId="0" borderId="2" xfId="0" applyFont="1" applyBorder="1" applyAlignment="1">
      <alignment horizontal="center" vertical="center" wrapText="1"/>
    </xf>
    <xf numFmtId="4" fontId="5" fillId="0" borderId="11" xfId="0" applyNumberFormat="1" applyFont="1" applyBorder="1" applyAlignment="1">
      <alignment horizontal="center" vertical="center" wrapText="1"/>
    </xf>
    <xf numFmtId="0" fontId="5" fillId="0" borderId="2" xfId="0" applyFont="1" applyBorder="1" applyAlignment="1">
      <alignment vertical="top" wrapText="1"/>
    </xf>
    <xf numFmtId="0" fontId="16" fillId="0" borderId="2" xfId="0" applyFont="1" applyBorder="1" applyAlignment="1">
      <alignment horizontal="center" vertical="center" wrapText="1"/>
    </xf>
    <xf numFmtId="0" fontId="5" fillId="0" borderId="4" xfId="0" applyFont="1" applyBorder="1" applyAlignment="1">
      <alignment horizontal="center" vertical="center" wrapText="1"/>
    </xf>
    <xf numFmtId="0" fontId="16" fillId="0" borderId="11"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11" xfId="0" applyFont="1" applyBorder="1" applyAlignment="1">
      <alignment horizontal="center" vertical="center" wrapText="1"/>
    </xf>
    <xf numFmtId="0" fontId="14" fillId="0" borderId="2" xfId="0" applyFont="1" applyBorder="1" applyAlignment="1">
      <alignment horizontal="center" vertical="center"/>
    </xf>
    <xf numFmtId="0" fontId="14" fillId="0" borderId="11" xfId="0" applyFont="1" applyBorder="1" applyAlignment="1">
      <alignment horizontal="center" vertical="center"/>
    </xf>
    <xf numFmtId="164" fontId="8" fillId="0" borderId="7" xfId="0" applyNumberFormat="1" applyFont="1" applyBorder="1" applyAlignment="1">
      <alignment horizontal="center" vertical="center" wrapText="1"/>
    </xf>
    <xf numFmtId="164" fontId="8" fillId="0" borderId="8" xfId="0" applyNumberFormat="1" applyFont="1" applyBorder="1" applyAlignment="1">
      <alignment horizontal="center" vertical="center" wrapText="1"/>
    </xf>
    <xf numFmtId="164" fontId="8" fillId="0" borderId="11" xfId="0" applyNumberFormat="1"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1" xfId="0" applyFont="1" applyBorder="1" applyAlignment="1">
      <alignment horizontal="center" vertical="center" wrapText="1"/>
    </xf>
    <xf numFmtId="164" fontId="0" fillId="0" borderId="7" xfId="0" applyNumberFormat="1" applyBorder="1" applyAlignment="1">
      <alignment horizontal="center" vertical="center" wrapText="1"/>
    </xf>
    <xf numFmtId="4" fontId="0" fillId="0" borderId="7" xfId="0" applyNumberFormat="1" applyBorder="1" applyAlignment="1">
      <alignment horizontal="center" vertical="center" wrapText="1"/>
    </xf>
    <xf numFmtId="4" fontId="8" fillId="0" borderId="7" xfId="0" applyNumberFormat="1" applyFont="1" applyBorder="1" applyAlignment="1">
      <alignment horizontal="center" vertical="center"/>
    </xf>
    <xf numFmtId="0" fontId="8" fillId="0" borderId="8" xfId="0" applyFont="1" applyBorder="1" applyAlignment="1">
      <alignment horizontal="center" vertical="center"/>
    </xf>
    <xf numFmtId="0" fontId="8" fillId="0" borderId="11" xfId="0" applyFont="1" applyBorder="1" applyAlignment="1">
      <alignment horizontal="center" vertical="center"/>
    </xf>
    <xf numFmtId="0" fontId="5" fillId="0" borderId="7" xfId="0" applyFont="1" applyBorder="1" applyAlignment="1">
      <alignment horizontal="left" vertical="top" wrapText="1"/>
    </xf>
    <xf numFmtId="0" fontId="5" fillId="0" borderId="8" xfId="0" applyFont="1" applyBorder="1" applyAlignment="1">
      <alignment horizontal="left" vertical="top"/>
    </xf>
    <xf numFmtId="0" fontId="5" fillId="0" borderId="11" xfId="0" applyFont="1" applyBorder="1" applyAlignment="1">
      <alignment horizontal="left" vertical="top"/>
    </xf>
    <xf numFmtId="0" fontId="14" fillId="0" borderId="4" xfId="0" applyFont="1" applyBorder="1" applyAlignment="1">
      <alignment horizontal="center" vertical="center" wrapText="1"/>
    </xf>
    <xf numFmtId="0" fontId="5" fillId="0" borderId="4" xfId="0" applyFont="1" applyBorder="1" applyAlignment="1">
      <alignment vertical="top" wrapText="1"/>
    </xf>
    <xf numFmtId="164" fontId="0" fillId="0" borderId="4" xfId="0" applyNumberFormat="1" applyBorder="1" applyAlignment="1">
      <alignment horizontal="center" vertical="center" wrapText="1"/>
    </xf>
    <xf numFmtId="0" fontId="0" fillId="0" borderId="4" xfId="0" applyBorder="1" applyAlignment="1">
      <alignment horizontal="center" vertical="center" wrapText="1"/>
    </xf>
    <xf numFmtId="164" fontId="8"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4" fontId="8" fillId="0" borderId="2" xfId="0" applyNumberFormat="1" applyFont="1" applyBorder="1" applyAlignment="1">
      <alignment horizontal="center" vertical="center"/>
    </xf>
    <xf numFmtId="164" fontId="14" fillId="0" borderId="2" xfId="0" applyNumberFormat="1" applyFont="1" applyBorder="1" applyAlignment="1">
      <alignment horizontal="center" vertical="center" wrapText="1"/>
    </xf>
    <xf numFmtId="164" fontId="14" fillId="0" borderId="8" xfId="0" applyNumberFormat="1" applyFont="1" applyBorder="1" applyAlignment="1">
      <alignment horizontal="center" vertical="center" wrapText="1"/>
    </xf>
    <xf numFmtId="164" fontId="14" fillId="0" borderId="11" xfId="0" applyNumberFormat="1" applyFont="1" applyBorder="1" applyAlignment="1">
      <alignment horizontal="center" vertical="center" wrapText="1"/>
    </xf>
    <xf numFmtId="164" fontId="5" fillId="0" borderId="2" xfId="0" applyNumberFormat="1" applyFont="1" applyBorder="1" applyAlignment="1">
      <alignment horizontal="center" vertical="center" wrapText="1"/>
    </xf>
    <xf numFmtId="164" fontId="5" fillId="0" borderId="8" xfId="0" applyNumberFormat="1" applyFont="1" applyBorder="1" applyAlignment="1">
      <alignment horizontal="center" vertical="center" wrapText="1"/>
    </xf>
    <xf numFmtId="164" fontId="5" fillId="0" borderId="11" xfId="0" applyNumberFormat="1" applyFont="1" applyBorder="1" applyAlignment="1">
      <alignment horizontal="center" vertical="center" wrapText="1"/>
    </xf>
    <xf numFmtId="0" fontId="12" fillId="0" borderId="11" xfId="0" applyFont="1" applyBorder="1" applyAlignment="1">
      <alignment horizontal="center" vertical="center"/>
    </xf>
    <xf numFmtId="0" fontId="0" fillId="2" borderId="0" xfId="0" applyFill="1" applyAlignment="1">
      <alignment horizontal="center" vertical="top" wrapText="1"/>
    </xf>
    <xf numFmtId="4" fontId="0" fillId="0" borderId="0" xfId="0" applyNumberFormat="1" applyAlignment="1">
      <alignment horizontal="center" vertical="center"/>
    </xf>
    <xf numFmtId="0" fontId="0" fillId="0" borderId="0" xfId="0" applyAlignment="1">
      <alignment horizontal="center" vertical="center"/>
    </xf>
    <xf numFmtId="0" fontId="15" fillId="0" borderId="2" xfId="0" applyFont="1" applyBorder="1" applyAlignment="1">
      <alignment horizontal="left" vertical="center" wrapText="1"/>
    </xf>
    <xf numFmtId="0" fontId="15" fillId="0" borderId="11" xfId="0" applyFont="1" applyBorder="1" applyAlignment="1">
      <alignment horizontal="left" vertical="center" wrapText="1"/>
    </xf>
    <xf numFmtId="4" fontId="8" fillId="0" borderId="1" xfId="0" applyNumberFormat="1" applyFont="1" applyBorder="1" applyAlignment="1">
      <alignment horizontal="center" vertical="center"/>
    </xf>
    <xf numFmtId="0" fontId="8" fillId="0" borderId="1" xfId="0" applyFont="1" applyBorder="1" applyAlignment="1">
      <alignment horizontal="center" vertical="center"/>
    </xf>
    <xf numFmtId="3" fontId="14" fillId="0" borderId="10" xfId="0" applyNumberFormat="1" applyFont="1" applyBorder="1" applyAlignment="1">
      <alignment horizontal="center" vertical="center" wrapText="1"/>
    </xf>
    <xf numFmtId="0" fontId="18" fillId="0" borderId="10" xfId="0" applyFont="1" applyBorder="1" applyAlignment="1">
      <alignment horizontal="center" vertical="center" wrapText="1"/>
    </xf>
    <xf numFmtId="0" fontId="14" fillId="0" borderId="10" xfId="0" applyFont="1" applyBorder="1" applyAlignment="1">
      <alignment horizontal="center" vertical="center" wrapText="1"/>
    </xf>
    <xf numFmtId="3" fontId="14" fillId="0" borderId="1" xfId="0" applyNumberFormat="1" applyFont="1" applyBorder="1" applyAlignment="1">
      <alignment horizontal="center" vertical="center"/>
    </xf>
    <xf numFmtId="3" fontId="14" fillId="0" borderId="10" xfId="0" applyNumberFormat="1" applyFont="1" applyBorder="1" applyAlignment="1">
      <alignment horizontal="center" vertical="center"/>
    </xf>
    <xf numFmtId="0" fontId="13" fillId="0" borderId="6" xfId="0" applyFont="1" applyBorder="1" applyAlignment="1">
      <alignment horizontal="center" vertical="top" wrapText="1"/>
    </xf>
    <xf numFmtId="0" fontId="13" fillId="0" borderId="2" xfId="0" applyFont="1" applyBorder="1" applyAlignment="1">
      <alignment horizontal="center" vertical="top" wrapText="1"/>
    </xf>
    <xf numFmtId="0" fontId="37" fillId="0" borderId="17" xfId="0" applyFont="1" applyBorder="1" applyAlignment="1">
      <alignment horizontal="center" vertical="center" wrapText="1"/>
    </xf>
    <xf numFmtId="0" fontId="37" fillId="0" borderId="12" xfId="0" applyFont="1" applyBorder="1" applyAlignment="1">
      <alignment horizontal="center" vertical="center" wrapText="1"/>
    </xf>
    <xf numFmtId="164" fontId="13" fillId="0" borderId="7" xfId="0" applyNumberFormat="1" applyFont="1" applyBorder="1" applyAlignment="1">
      <alignment horizontal="center" vertical="center" wrapText="1"/>
    </xf>
    <xf numFmtId="164" fontId="13" fillId="0" borderId="8" xfId="0" applyNumberFormat="1" applyFont="1" applyBorder="1" applyAlignment="1">
      <alignment horizontal="center" vertical="center" wrapText="1"/>
    </xf>
    <xf numFmtId="3" fontId="14" fillId="0" borderId="6" xfId="0" applyNumberFormat="1" applyFont="1" applyBorder="1" applyAlignment="1">
      <alignment horizontal="center" vertical="center" wrapText="1"/>
    </xf>
    <xf numFmtId="0" fontId="18" fillId="0" borderId="6" xfId="0" applyFont="1" applyBorder="1" applyAlignment="1">
      <alignment horizontal="center" vertical="center" wrapText="1"/>
    </xf>
    <xf numFmtId="0" fontId="14" fillId="0" borderId="6" xfId="0" applyFont="1" applyBorder="1" applyAlignment="1">
      <alignment horizontal="center" vertical="center" wrapText="1"/>
    </xf>
    <xf numFmtId="3" fontId="14" fillId="0" borderId="6" xfId="0" applyNumberFormat="1" applyFont="1" applyBorder="1" applyAlignment="1">
      <alignment horizontal="center" vertical="center"/>
    </xf>
    <xf numFmtId="0" fontId="13" fillId="0" borderId="6" xfId="0" applyFont="1" applyBorder="1" applyAlignment="1">
      <alignment horizontal="center" vertical="top"/>
    </xf>
    <xf numFmtId="0" fontId="13" fillId="0" borderId="2" xfId="0" applyFont="1" applyBorder="1" applyAlignment="1">
      <alignment horizontal="center" vertical="top"/>
    </xf>
    <xf numFmtId="0" fontId="20" fillId="0" borderId="0" xfId="0" applyFont="1" applyAlignment="1">
      <alignment horizontal="left" vertical="top"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9" xfId="0" applyFont="1" applyBorder="1" applyAlignment="1">
      <alignment horizontal="center" vertical="center" wrapText="1"/>
    </xf>
    <xf numFmtId="3" fontId="5" fillId="0" borderId="6"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0" fontId="12" fillId="2" borderId="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5" fillId="0" borderId="10"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17" xfId="0" applyFont="1" applyBorder="1" applyAlignment="1">
      <alignment horizontal="center" vertical="center"/>
    </xf>
    <xf numFmtId="0" fontId="13" fillId="0" borderId="22" xfId="0" applyFont="1" applyBorder="1" applyAlignment="1">
      <alignment horizontal="center" vertical="center"/>
    </xf>
    <xf numFmtId="0" fontId="13" fillId="0" borderId="27" xfId="0" applyFont="1" applyBorder="1" applyAlignment="1">
      <alignment horizontal="center" vertical="center" wrapText="1"/>
    </xf>
    <xf numFmtId="0" fontId="35" fillId="0" borderId="30"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9" xfId="0" applyFont="1" applyBorder="1" applyAlignment="1">
      <alignment horizontal="center" vertical="center" wrapText="1"/>
    </xf>
    <xf numFmtId="4" fontId="5" fillId="0" borderId="7" xfId="0" applyNumberFormat="1" applyFont="1" applyBorder="1" applyAlignment="1">
      <alignment horizontal="center" vertical="center" wrapText="1"/>
    </xf>
    <xf numFmtId="0" fontId="5" fillId="2" borderId="7" xfId="0" applyFont="1" applyFill="1" applyBorder="1" applyAlignment="1">
      <alignment horizontal="left" vertical="center" wrapText="1"/>
    </xf>
    <xf numFmtId="164" fontId="5" fillId="0" borderId="7" xfId="0" applyNumberFormat="1" applyFont="1" applyBorder="1" applyAlignment="1">
      <alignment horizontal="center" vertical="center" wrapText="1"/>
    </xf>
    <xf numFmtId="164" fontId="5" fillId="0" borderId="7" xfId="0" applyNumberFormat="1" applyFont="1" applyBorder="1" applyAlignment="1">
      <alignment horizontal="center" vertical="center"/>
    </xf>
    <xf numFmtId="0" fontId="5" fillId="0" borderId="4" xfId="0" applyFont="1" applyBorder="1" applyAlignment="1">
      <alignment horizontal="center" vertical="center"/>
    </xf>
    <xf numFmtId="0" fontId="13" fillId="0" borderId="7" xfId="0" applyFont="1" applyBorder="1" applyAlignment="1">
      <alignment horizontal="center" vertical="center"/>
    </xf>
    <xf numFmtId="0" fontId="13" fillId="0" borderId="4" xfId="0" applyFont="1" applyBorder="1" applyAlignment="1">
      <alignment horizontal="center" vertical="center"/>
    </xf>
    <xf numFmtId="0" fontId="5" fillId="0" borderId="20" xfId="0" applyFont="1" applyBorder="1" applyAlignment="1">
      <alignment horizontal="center" vertical="center" wrapText="1"/>
    </xf>
    <xf numFmtId="0" fontId="14" fillId="2" borderId="6" xfId="0" applyFont="1" applyFill="1" applyBorder="1" applyAlignment="1">
      <alignment horizontal="left" vertical="center" wrapText="1"/>
    </xf>
    <xf numFmtId="0" fontId="14" fillId="2" borderId="10" xfId="0" applyFont="1" applyFill="1" applyBorder="1" applyAlignment="1">
      <alignment horizontal="left" vertical="center" wrapText="1"/>
    </xf>
    <xf numFmtId="164" fontId="14" fillId="0" borderId="6" xfId="0" applyNumberFormat="1" applyFont="1" applyBorder="1" applyAlignment="1">
      <alignment horizontal="center" vertical="center" wrapText="1"/>
    </xf>
    <xf numFmtId="164" fontId="14" fillId="0" borderId="10" xfId="0" applyNumberFormat="1" applyFont="1" applyBorder="1" applyAlignment="1">
      <alignment horizontal="center" vertical="center" wrapText="1"/>
    </xf>
    <xf numFmtId="164" fontId="14" fillId="0" borderId="6" xfId="0" applyNumberFormat="1" applyFont="1" applyBorder="1" applyAlignment="1">
      <alignment horizontal="center" vertical="center"/>
    </xf>
    <xf numFmtId="164" fontId="14" fillId="0" borderId="10" xfId="0" applyNumberFormat="1" applyFont="1" applyBorder="1" applyAlignment="1">
      <alignment horizontal="center" vertical="center"/>
    </xf>
    <xf numFmtId="164" fontId="5" fillId="0" borderId="4" xfId="0" applyNumberFormat="1" applyFont="1" applyBorder="1" applyAlignment="1">
      <alignment horizontal="center" vertical="center" wrapText="1"/>
    </xf>
    <xf numFmtId="164" fontId="5" fillId="0" borderId="8" xfId="0" applyNumberFormat="1"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18" fillId="2" borderId="17"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18" fillId="2" borderId="18" xfId="0" applyFont="1" applyFill="1" applyBorder="1" applyAlignment="1">
      <alignment horizontal="left" vertical="center" wrapText="1"/>
    </xf>
    <xf numFmtId="0" fontId="50" fillId="0" borderId="1" xfId="0" applyFont="1" applyBorder="1" applyAlignment="1">
      <alignment vertical="center" wrapText="1"/>
    </xf>
    <xf numFmtId="0" fontId="0" fillId="0" borderId="1" xfId="0" applyBorder="1"/>
    <xf numFmtId="0" fontId="8" fillId="3" borderId="11" xfId="0" applyFont="1" applyFill="1" applyBorder="1" applyAlignment="1">
      <alignment vertical="center" wrapText="1"/>
    </xf>
    <xf numFmtId="0" fontId="12" fillId="0" borderId="28" xfId="0" applyFont="1" applyBorder="1"/>
    <xf numFmtId="0" fontId="4" fillId="2" borderId="1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54" fillId="0" borderId="10" xfId="0" applyFont="1" applyBorder="1" applyAlignment="1">
      <alignment vertical="center" wrapText="1"/>
    </xf>
  </cellXfs>
  <cellStyles count="1">
    <cellStyle name="Įprastas"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C38"/>
  <sheetViews>
    <sheetView zoomScale="81" zoomScaleNormal="81" workbookViewId="0">
      <selection activeCell="K37" sqref="K37"/>
    </sheetView>
  </sheetViews>
  <sheetFormatPr defaultRowHeight="15" x14ac:dyDescent="0.25"/>
  <cols>
    <col min="1" max="1" width="29.85546875" style="31" customWidth="1"/>
    <col min="2" max="2" width="25.42578125" style="43" customWidth="1"/>
    <col min="3" max="3" width="20.85546875" style="31" customWidth="1"/>
    <col min="4" max="4" width="24.140625" style="43" customWidth="1"/>
    <col min="5" max="5" width="22.85546875" style="32" customWidth="1"/>
    <col min="6" max="6" width="14.42578125" style="31" customWidth="1"/>
    <col min="7" max="7" width="11.5703125" style="31" customWidth="1"/>
    <col min="8" max="8" width="24.28515625" style="31" customWidth="1"/>
    <col min="9" max="9" width="24.5703125" style="31" customWidth="1"/>
    <col min="10" max="10" width="17.85546875" style="31" customWidth="1"/>
    <col min="11" max="11" width="24.42578125" style="31" customWidth="1"/>
    <col min="12" max="12" width="14.42578125" style="31" customWidth="1"/>
    <col min="13" max="13" width="14.85546875" style="31" customWidth="1"/>
    <col min="14" max="14" width="12.42578125" style="31" customWidth="1"/>
    <col min="15" max="15" width="12" style="31" bestFit="1" customWidth="1"/>
    <col min="16" max="16" width="12.5703125" style="32" customWidth="1"/>
    <col min="17" max="17" width="103.7109375" style="21" customWidth="1"/>
    <col min="18" max="18" width="84.42578125" style="21" customWidth="1"/>
  </cols>
  <sheetData>
    <row r="1" spans="1:107" ht="33.950000000000003" customHeight="1" x14ac:dyDescent="0.25">
      <c r="A1" s="299" t="s">
        <v>19</v>
      </c>
      <c r="B1" s="299"/>
      <c r="C1" s="299"/>
      <c r="D1" s="299"/>
      <c r="E1" s="299"/>
      <c r="F1" s="299"/>
    </row>
    <row r="2" spans="1:107" ht="15.75" thickBot="1" x14ac:dyDescent="0.3"/>
    <row r="3" spans="1:107" ht="32.25" customHeight="1" x14ac:dyDescent="0.25">
      <c r="A3" s="300" t="s">
        <v>235</v>
      </c>
      <c r="B3" s="302" t="s">
        <v>48</v>
      </c>
      <c r="C3" s="304" t="s">
        <v>2</v>
      </c>
      <c r="D3" s="297"/>
      <c r="E3" s="297"/>
      <c r="F3" s="304" t="s">
        <v>20</v>
      </c>
      <c r="G3" s="306" t="s">
        <v>111</v>
      </c>
      <c r="H3" s="306"/>
      <c r="I3" s="287" t="s">
        <v>21</v>
      </c>
      <c r="J3" s="295" t="s">
        <v>22</v>
      </c>
      <c r="K3" s="287" t="s">
        <v>4</v>
      </c>
      <c r="L3" s="297" t="s">
        <v>5</v>
      </c>
      <c r="M3" s="298"/>
      <c r="N3" s="287" t="s">
        <v>6</v>
      </c>
      <c r="O3" s="287" t="s">
        <v>7</v>
      </c>
      <c r="P3" s="287" t="s">
        <v>8</v>
      </c>
      <c r="Q3" s="289" t="s">
        <v>9</v>
      </c>
      <c r="R3" s="291" t="s">
        <v>61</v>
      </c>
    </row>
    <row r="4" spans="1:107" ht="54.75" customHeight="1" x14ac:dyDescent="0.25">
      <c r="A4" s="301"/>
      <c r="B4" s="303"/>
      <c r="C4" s="72" t="s">
        <v>10</v>
      </c>
      <c r="D4" s="44" t="s">
        <v>49</v>
      </c>
      <c r="E4" s="158" t="s">
        <v>46</v>
      </c>
      <c r="F4" s="305"/>
      <c r="G4" s="72" t="s">
        <v>113</v>
      </c>
      <c r="H4" s="72" t="s">
        <v>114</v>
      </c>
      <c r="I4" s="288"/>
      <c r="J4" s="296"/>
      <c r="K4" s="288"/>
      <c r="L4" s="50" t="s">
        <v>14</v>
      </c>
      <c r="M4" s="50" t="s">
        <v>15</v>
      </c>
      <c r="N4" s="288"/>
      <c r="O4" s="288"/>
      <c r="P4" s="288"/>
      <c r="Q4" s="290"/>
      <c r="R4" s="291"/>
    </row>
    <row r="5" spans="1:107" ht="103.5" customHeight="1" x14ac:dyDescent="0.25">
      <c r="A5" s="255" t="s">
        <v>221</v>
      </c>
      <c r="B5" s="250">
        <v>41500000</v>
      </c>
      <c r="C5" s="281" t="s">
        <v>241</v>
      </c>
      <c r="D5" s="250">
        <f>(B5-(B5*0.0411))*0.5/0.5</f>
        <v>39794350</v>
      </c>
      <c r="E5" s="250">
        <f>B5+D5</f>
        <v>81294350</v>
      </c>
      <c r="F5" s="292">
        <f>(B5-(B5*0.0411))+D5</f>
        <v>79588700</v>
      </c>
      <c r="G5" s="39" t="s">
        <v>25</v>
      </c>
      <c r="H5" s="68" t="s">
        <v>145</v>
      </c>
      <c r="I5" s="41" t="s">
        <v>199</v>
      </c>
      <c r="J5" s="39" t="s">
        <v>120</v>
      </c>
      <c r="K5" s="39" t="s">
        <v>243</v>
      </c>
      <c r="L5" s="36">
        <v>0</v>
      </c>
      <c r="M5" s="54" t="s">
        <v>47</v>
      </c>
      <c r="N5" s="36">
        <v>6460</v>
      </c>
      <c r="O5" s="49">
        <v>21534</v>
      </c>
      <c r="P5" s="73" t="s">
        <v>121</v>
      </c>
      <c r="Q5" s="98" t="s">
        <v>236</v>
      </c>
      <c r="R5" s="175" t="s">
        <v>209</v>
      </c>
    </row>
    <row r="6" spans="1:107" ht="87.75" customHeight="1" x14ac:dyDescent="0.25">
      <c r="A6" s="244"/>
      <c r="B6" s="251"/>
      <c r="C6" s="276"/>
      <c r="D6" s="251"/>
      <c r="E6" s="251"/>
      <c r="F6" s="293"/>
      <c r="G6" s="39" t="s">
        <v>23</v>
      </c>
      <c r="H6" s="68" t="s">
        <v>151</v>
      </c>
      <c r="I6" s="41" t="s">
        <v>199</v>
      </c>
      <c r="J6" s="39" t="s">
        <v>120</v>
      </c>
      <c r="K6" s="41" t="s">
        <v>150</v>
      </c>
      <c r="L6" s="36">
        <v>1427274</v>
      </c>
      <c r="M6" s="26">
        <v>2019</v>
      </c>
      <c r="N6" s="36" t="s">
        <v>37</v>
      </c>
      <c r="O6" s="36">
        <v>450061</v>
      </c>
      <c r="P6" s="73" t="s">
        <v>121</v>
      </c>
      <c r="Q6" s="98" t="s">
        <v>238</v>
      </c>
      <c r="R6" s="176" t="s">
        <v>72</v>
      </c>
    </row>
    <row r="7" spans="1:107" ht="96" customHeight="1" x14ac:dyDescent="0.25">
      <c r="A7" s="244"/>
      <c r="B7" s="252"/>
      <c r="C7" s="277"/>
      <c r="D7" s="252"/>
      <c r="E7" s="252"/>
      <c r="F7" s="294"/>
      <c r="G7" s="54" t="s">
        <v>36</v>
      </c>
      <c r="H7" s="69" t="s">
        <v>154</v>
      </c>
      <c r="I7" s="41" t="s">
        <v>199</v>
      </c>
      <c r="J7" s="39" t="s">
        <v>120</v>
      </c>
      <c r="K7" s="106" t="s">
        <v>198</v>
      </c>
      <c r="L7" s="194">
        <v>57091</v>
      </c>
      <c r="M7" s="26">
        <v>2019</v>
      </c>
      <c r="N7" s="54" t="s">
        <v>47</v>
      </c>
      <c r="O7" s="49">
        <v>41405</v>
      </c>
      <c r="P7" s="73" t="s">
        <v>121</v>
      </c>
      <c r="Q7" s="174" t="s">
        <v>239</v>
      </c>
      <c r="R7" s="168"/>
    </row>
    <row r="8" spans="1:107" ht="15" customHeight="1" x14ac:dyDescent="0.25">
      <c r="A8" s="244"/>
      <c r="B8" s="250">
        <v>41500000</v>
      </c>
      <c r="C8" s="281" t="s">
        <v>241</v>
      </c>
      <c r="D8" s="250">
        <f>(B8-(B8*0.0411))*0.5/0.5</f>
        <v>39794350</v>
      </c>
      <c r="E8" s="250">
        <f>B8+D8</f>
        <v>81294350</v>
      </c>
      <c r="F8" s="284">
        <f>(B8-(B8*0.0411))+D8</f>
        <v>79588700</v>
      </c>
      <c r="G8" s="278" t="s">
        <v>25</v>
      </c>
      <c r="H8" s="249" t="s">
        <v>145</v>
      </c>
      <c r="I8" s="278" t="s">
        <v>160</v>
      </c>
      <c r="J8" s="278" t="s">
        <v>144</v>
      </c>
      <c r="K8" s="278" t="s">
        <v>243</v>
      </c>
      <c r="L8" s="279">
        <v>0</v>
      </c>
      <c r="M8" s="280" t="s">
        <v>47</v>
      </c>
      <c r="N8" s="259">
        <v>6460</v>
      </c>
      <c r="O8" s="259">
        <v>21534</v>
      </c>
      <c r="P8" s="255" t="s">
        <v>121</v>
      </c>
      <c r="Q8" s="268" t="s">
        <v>237</v>
      </c>
      <c r="R8" s="271" t="s">
        <v>212</v>
      </c>
    </row>
    <row r="9" spans="1:107" ht="15" customHeight="1" x14ac:dyDescent="0.25">
      <c r="A9" s="244"/>
      <c r="B9" s="251"/>
      <c r="C9" s="276"/>
      <c r="D9" s="251"/>
      <c r="E9" s="251"/>
      <c r="F9" s="285"/>
      <c r="G9" s="278"/>
      <c r="H9" s="249"/>
      <c r="I9" s="278"/>
      <c r="J9" s="278"/>
      <c r="K9" s="278"/>
      <c r="L9" s="279"/>
      <c r="M9" s="280"/>
      <c r="N9" s="267"/>
      <c r="O9" s="267"/>
      <c r="P9" s="244"/>
      <c r="Q9" s="269"/>
      <c r="R9" s="272"/>
    </row>
    <row r="10" spans="1:107" ht="85.5" customHeight="1" x14ac:dyDescent="0.25">
      <c r="A10" s="244"/>
      <c r="B10" s="251"/>
      <c r="C10" s="276"/>
      <c r="D10" s="251"/>
      <c r="E10" s="251"/>
      <c r="F10" s="285"/>
      <c r="G10" s="278"/>
      <c r="H10" s="249"/>
      <c r="I10" s="278"/>
      <c r="J10" s="278"/>
      <c r="K10" s="278"/>
      <c r="L10" s="279"/>
      <c r="M10" s="280"/>
      <c r="N10" s="260"/>
      <c r="O10" s="260"/>
      <c r="P10" s="256"/>
      <c r="Q10" s="270"/>
      <c r="R10" s="273"/>
    </row>
    <row r="11" spans="1:107" s="28" customFormat="1" ht="87" customHeight="1" thickBot="1" x14ac:dyDescent="0.3">
      <c r="A11" s="244"/>
      <c r="B11" s="251"/>
      <c r="C11" s="276"/>
      <c r="D11" s="251"/>
      <c r="E11" s="251"/>
      <c r="F11" s="285"/>
      <c r="G11" s="39" t="s">
        <v>23</v>
      </c>
      <c r="H11" s="68" t="s">
        <v>151</v>
      </c>
      <c r="I11" s="41" t="s">
        <v>160</v>
      </c>
      <c r="J11" s="39" t="s">
        <v>144</v>
      </c>
      <c r="K11" s="41" t="s">
        <v>150</v>
      </c>
      <c r="L11" s="36">
        <v>1427274</v>
      </c>
      <c r="M11" s="26">
        <v>2019</v>
      </c>
      <c r="N11" s="36" t="s">
        <v>37</v>
      </c>
      <c r="O11" s="36">
        <v>450061</v>
      </c>
      <c r="P11" s="73" t="s">
        <v>121</v>
      </c>
      <c r="Q11" s="98" t="s">
        <v>238</v>
      </c>
      <c r="R11" s="176" t="s">
        <v>62</v>
      </c>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row>
    <row r="12" spans="1:107" ht="110.25" customHeight="1" thickBot="1" x14ac:dyDescent="0.3">
      <c r="A12" s="245"/>
      <c r="B12" s="283"/>
      <c r="C12" s="282"/>
      <c r="D12" s="283"/>
      <c r="E12" s="283"/>
      <c r="F12" s="286"/>
      <c r="G12" s="195" t="s">
        <v>36</v>
      </c>
      <c r="H12" s="69" t="s">
        <v>154</v>
      </c>
      <c r="I12" s="41" t="s">
        <v>160</v>
      </c>
      <c r="J12" s="39" t="s">
        <v>144</v>
      </c>
      <c r="K12" s="109" t="s">
        <v>198</v>
      </c>
      <c r="L12" s="194">
        <v>57091</v>
      </c>
      <c r="M12" s="26">
        <v>2019</v>
      </c>
      <c r="N12" s="54" t="s">
        <v>47</v>
      </c>
      <c r="O12" s="49">
        <v>41405</v>
      </c>
      <c r="P12" s="73" t="s">
        <v>121</v>
      </c>
      <c r="Q12" s="174" t="s">
        <v>239</v>
      </c>
      <c r="R12" s="168"/>
      <c r="S12" s="173"/>
      <c r="U12" s="172"/>
    </row>
    <row r="13" spans="1:107" ht="83.25" customHeight="1" thickBot="1" x14ac:dyDescent="0.3">
      <c r="A13" s="243" t="s">
        <v>195</v>
      </c>
      <c r="B13" s="274">
        <v>62000000</v>
      </c>
      <c r="C13" s="275" t="s">
        <v>245</v>
      </c>
      <c r="D13" s="274">
        <f>(B13*0.3)/0.7</f>
        <v>26571428.571428575</v>
      </c>
      <c r="E13" s="274">
        <f>B13+D13</f>
        <v>88571428.571428567</v>
      </c>
      <c r="F13" s="274">
        <f>E13</f>
        <v>88571428.571428567</v>
      </c>
      <c r="G13" s="169" t="s">
        <v>26</v>
      </c>
      <c r="H13" s="170" t="s">
        <v>147</v>
      </c>
      <c r="I13" s="167" t="s">
        <v>199</v>
      </c>
      <c r="J13" s="167" t="s">
        <v>120</v>
      </c>
      <c r="K13" s="167" t="s">
        <v>33</v>
      </c>
      <c r="L13" s="191">
        <v>0</v>
      </c>
      <c r="M13" s="179" t="s">
        <v>47</v>
      </c>
      <c r="N13" s="187">
        <v>25670</v>
      </c>
      <c r="O13" s="191">
        <v>256700</v>
      </c>
      <c r="P13" s="192" t="s">
        <v>121</v>
      </c>
      <c r="Q13" s="171" t="s">
        <v>224</v>
      </c>
      <c r="R13" s="177" t="s">
        <v>74</v>
      </c>
    </row>
    <row r="14" spans="1:107" ht="13.5" customHeight="1" x14ac:dyDescent="0.25">
      <c r="A14" s="244"/>
      <c r="B14" s="251"/>
      <c r="C14" s="276"/>
      <c r="D14" s="251"/>
      <c r="E14" s="251"/>
      <c r="F14" s="251"/>
      <c r="G14" s="255" t="s">
        <v>23</v>
      </c>
      <c r="H14" s="257" t="s">
        <v>151</v>
      </c>
      <c r="I14" s="243" t="s">
        <v>199</v>
      </c>
      <c r="J14" s="255" t="s">
        <v>120</v>
      </c>
      <c r="K14" s="255" t="s">
        <v>150</v>
      </c>
      <c r="L14" s="259">
        <v>56474</v>
      </c>
      <c r="M14" s="261">
        <v>2019</v>
      </c>
      <c r="N14" s="259" t="s">
        <v>37</v>
      </c>
      <c r="O14" s="259">
        <v>33884</v>
      </c>
      <c r="P14" s="263" t="s">
        <v>121</v>
      </c>
      <c r="Q14" s="265" t="s">
        <v>225</v>
      </c>
      <c r="R14" s="253" t="s">
        <v>73</v>
      </c>
    </row>
    <row r="15" spans="1:107" ht="79.5" customHeight="1" x14ac:dyDescent="0.25">
      <c r="A15" s="244"/>
      <c r="B15" s="251"/>
      <c r="C15" s="276"/>
      <c r="D15" s="251"/>
      <c r="E15" s="251"/>
      <c r="F15" s="251"/>
      <c r="G15" s="256"/>
      <c r="H15" s="258"/>
      <c r="I15" s="256"/>
      <c r="J15" s="256"/>
      <c r="K15" s="256"/>
      <c r="L15" s="260"/>
      <c r="M15" s="262"/>
      <c r="N15" s="260"/>
      <c r="O15" s="260"/>
      <c r="P15" s="264"/>
      <c r="Q15" s="266"/>
      <c r="R15" s="254"/>
    </row>
    <row r="16" spans="1:107" ht="61.5" customHeight="1" thickBot="1" x14ac:dyDescent="0.3">
      <c r="A16" s="245"/>
      <c r="B16" s="252"/>
      <c r="C16" s="277"/>
      <c r="D16" s="251"/>
      <c r="E16" s="251"/>
      <c r="F16" s="252"/>
      <c r="G16" s="39" t="s">
        <v>36</v>
      </c>
      <c r="H16" s="69" t="s">
        <v>154</v>
      </c>
      <c r="I16" s="41" t="s">
        <v>199</v>
      </c>
      <c r="J16" s="39" t="s">
        <v>120</v>
      </c>
      <c r="K16" s="41" t="s">
        <v>198</v>
      </c>
      <c r="L16" s="36">
        <v>5647</v>
      </c>
      <c r="M16" s="152">
        <v>2019</v>
      </c>
      <c r="N16" s="193" t="s">
        <v>37</v>
      </c>
      <c r="O16" s="197">
        <v>3388</v>
      </c>
      <c r="P16" s="73" t="s">
        <v>121</v>
      </c>
      <c r="Q16" s="98" t="s">
        <v>226</v>
      </c>
      <c r="R16" s="178" t="s">
        <v>78</v>
      </c>
    </row>
    <row r="17" spans="1:18" ht="302.25" customHeight="1" x14ac:dyDescent="0.25">
      <c r="A17" s="243" t="s">
        <v>242</v>
      </c>
      <c r="B17" s="246">
        <v>13500000</v>
      </c>
      <c r="C17" s="248" t="s">
        <v>240</v>
      </c>
      <c r="D17" s="246">
        <f>(B17*0.3)/0.7</f>
        <v>5785714.2857142864</v>
      </c>
      <c r="E17" s="246">
        <f>B17+D17</f>
        <v>19285714.285714287</v>
      </c>
      <c r="F17" s="246">
        <f>E17</f>
        <v>19285714.285714287</v>
      </c>
      <c r="G17" s="179" t="s">
        <v>23</v>
      </c>
      <c r="H17" s="180" t="s">
        <v>151</v>
      </c>
      <c r="I17" s="115" t="s">
        <v>199</v>
      </c>
      <c r="J17" s="115" t="s">
        <v>120</v>
      </c>
      <c r="K17" s="115" t="s">
        <v>150</v>
      </c>
      <c r="L17" s="187">
        <v>1133300</v>
      </c>
      <c r="M17" s="115">
        <v>2019</v>
      </c>
      <c r="N17" s="191" t="s">
        <v>37</v>
      </c>
      <c r="O17" s="187">
        <v>1121001</v>
      </c>
      <c r="P17" s="181" t="s">
        <v>121</v>
      </c>
      <c r="Q17" s="182" t="s">
        <v>231</v>
      </c>
      <c r="R17" s="177" t="s">
        <v>91</v>
      </c>
    </row>
    <row r="18" spans="1:18" ht="84.75" customHeight="1" x14ac:dyDescent="0.25">
      <c r="A18" s="244"/>
      <c r="B18" s="247"/>
      <c r="C18" s="249"/>
      <c r="D18" s="247"/>
      <c r="E18" s="247"/>
      <c r="F18" s="247"/>
      <c r="G18" s="54" t="s">
        <v>27</v>
      </c>
      <c r="H18" s="90" t="s">
        <v>149</v>
      </c>
      <c r="I18" s="26" t="s">
        <v>199</v>
      </c>
      <c r="J18" s="26" t="s">
        <v>120</v>
      </c>
      <c r="K18" s="54" t="s">
        <v>32</v>
      </c>
      <c r="L18" s="198">
        <v>0</v>
      </c>
      <c r="M18" s="54" t="s">
        <v>47</v>
      </c>
      <c r="N18" s="36">
        <v>6</v>
      </c>
      <c r="O18" s="49">
        <v>21</v>
      </c>
      <c r="P18" s="73" t="s">
        <v>121</v>
      </c>
      <c r="Q18" s="98" t="s">
        <v>228</v>
      </c>
      <c r="R18" s="184" t="s">
        <v>90</v>
      </c>
    </row>
    <row r="19" spans="1:18" ht="48.75" customHeight="1" x14ac:dyDescent="0.25">
      <c r="A19" s="244"/>
      <c r="B19" s="247"/>
      <c r="C19" s="249"/>
      <c r="D19" s="247"/>
      <c r="E19" s="247"/>
      <c r="F19" s="247"/>
      <c r="G19" s="54" t="s">
        <v>36</v>
      </c>
      <c r="H19" s="69" t="s">
        <v>154</v>
      </c>
      <c r="I19" s="26" t="s">
        <v>199</v>
      </c>
      <c r="J19" s="106" t="s">
        <v>120</v>
      </c>
      <c r="K19" s="106" t="s">
        <v>198</v>
      </c>
      <c r="L19" s="49">
        <v>113330</v>
      </c>
      <c r="M19" s="26">
        <v>2019</v>
      </c>
      <c r="N19" s="54" t="s">
        <v>47</v>
      </c>
      <c r="O19" s="49">
        <v>112100</v>
      </c>
      <c r="P19" s="73" t="s">
        <v>121</v>
      </c>
      <c r="Q19" s="67" t="s">
        <v>234</v>
      </c>
      <c r="R19" s="168"/>
    </row>
    <row r="20" spans="1:18" ht="100.5" customHeight="1" thickBot="1" x14ac:dyDescent="0.3">
      <c r="A20" s="244"/>
      <c r="B20" s="247"/>
      <c r="C20" s="249"/>
      <c r="D20" s="247"/>
      <c r="E20" s="247"/>
      <c r="F20" s="247"/>
      <c r="G20" s="117" t="s">
        <v>118</v>
      </c>
      <c r="H20" s="188" t="s">
        <v>200</v>
      </c>
      <c r="I20" s="26" t="s">
        <v>199</v>
      </c>
      <c r="J20" s="117" t="s">
        <v>120</v>
      </c>
      <c r="K20" s="117" t="s">
        <v>190</v>
      </c>
      <c r="L20" s="196">
        <v>0</v>
      </c>
      <c r="M20" s="186" t="s">
        <v>47</v>
      </c>
      <c r="N20" s="196">
        <v>15428</v>
      </c>
      <c r="O20" s="196">
        <v>51428</v>
      </c>
      <c r="P20" s="192" t="s">
        <v>121</v>
      </c>
      <c r="Q20" s="189" t="s">
        <v>229</v>
      </c>
      <c r="R20" s="190" t="s">
        <v>86</v>
      </c>
    </row>
    <row r="21" spans="1:18" ht="305.25" customHeight="1" x14ac:dyDescent="0.25">
      <c r="A21" s="244"/>
      <c r="B21" s="250">
        <v>13500000</v>
      </c>
      <c r="C21" s="248" t="s">
        <v>240</v>
      </c>
      <c r="D21" s="252">
        <f>(B21*0.3)/0.7</f>
        <v>5785714.2857142864</v>
      </c>
      <c r="E21" s="250">
        <f>B21+D21</f>
        <v>19285714.285714287</v>
      </c>
      <c r="F21" s="240">
        <f>E21</f>
        <v>19285714.285714287</v>
      </c>
      <c r="G21" s="54" t="s">
        <v>23</v>
      </c>
      <c r="H21" s="90" t="s">
        <v>151</v>
      </c>
      <c r="I21" s="26" t="s">
        <v>160</v>
      </c>
      <c r="J21" s="26" t="s">
        <v>144</v>
      </c>
      <c r="K21" s="26" t="s">
        <v>150</v>
      </c>
      <c r="L21" s="36">
        <v>1133300</v>
      </c>
      <c r="M21" s="26">
        <v>2019</v>
      </c>
      <c r="N21" s="36" t="s">
        <v>37</v>
      </c>
      <c r="O21" s="49">
        <v>1121001</v>
      </c>
      <c r="P21" s="73" t="s">
        <v>121</v>
      </c>
      <c r="Q21" s="94" t="s">
        <v>232</v>
      </c>
      <c r="R21" s="175" t="s">
        <v>92</v>
      </c>
    </row>
    <row r="22" spans="1:18" ht="92.25" customHeight="1" x14ac:dyDescent="0.25">
      <c r="A22" s="244"/>
      <c r="B22" s="251"/>
      <c r="C22" s="249"/>
      <c r="D22" s="247"/>
      <c r="E22" s="251"/>
      <c r="F22" s="241"/>
      <c r="G22" s="54" t="s">
        <v>27</v>
      </c>
      <c r="H22" s="90" t="s">
        <v>149</v>
      </c>
      <c r="I22" s="26" t="s">
        <v>160</v>
      </c>
      <c r="J22" s="26" t="s">
        <v>144</v>
      </c>
      <c r="K22" s="26" t="s">
        <v>32</v>
      </c>
      <c r="L22" s="36">
        <v>0</v>
      </c>
      <c r="M22" s="54" t="s">
        <v>47</v>
      </c>
      <c r="N22" s="36">
        <v>6</v>
      </c>
      <c r="O22" s="49">
        <v>21</v>
      </c>
      <c r="P22" s="73" t="s">
        <v>121</v>
      </c>
      <c r="Q22" s="183" t="s">
        <v>227</v>
      </c>
      <c r="R22" s="176" t="s">
        <v>63</v>
      </c>
    </row>
    <row r="23" spans="1:18" ht="137.25" customHeight="1" x14ac:dyDescent="0.25">
      <c r="A23" s="244"/>
      <c r="B23" s="251"/>
      <c r="C23" s="249"/>
      <c r="D23" s="247"/>
      <c r="E23" s="251"/>
      <c r="F23" s="241"/>
      <c r="G23" s="152" t="s">
        <v>118</v>
      </c>
      <c r="H23" s="90" t="s">
        <v>200</v>
      </c>
      <c r="I23" s="26" t="s">
        <v>160</v>
      </c>
      <c r="J23" s="26" t="s">
        <v>144</v>
      </c>
      <c r="K23" s="26" t="s">
        <v>190</v>
      </c>
      <c r="L23" s="49">
        <v>0</v>
      </c>
      <c r="M23" s="26" t="s">
        <v>47</v>
      </c>
      <c r="N23" s="49">
        <v>15428</v>
      </c>
      <c r="O23" s="49">
        <v>51428</v>
      </c>
      <c r="P23" s="155" t="s">
        <v>121</v>
      </c>
      <c r="Q23" s="25" t="s">
        <v>230</v>
      </c>
      <c r="R23" s="175" t="s">
        <v>85</v>
      </c>
    </row>
    <row r="24" spans="1:18" ht="49.5" customHeight="1" thickBot="1" x14ac:dyDescent="0.3">
      <c r="A24" s="245"/>
      <c r="B24" s="252"/>
      <c r="C24" s="249"/>
      <c r="D24" s="247"/>
      <c r="E24" s="252"/>
      <c r="F24" s="242"/>
      <c r="G24" s="54" t="s">
        <v>36</v>
      </c>
      <c r="H24" s="69" t="s">
        <v>154</v>
      </c>
      <c r="I24" s="26" t="s">
        <v>160</v>
      </c>
      <c r="J24" s="26" t="s">
        <v>144</v>
      </c>
      <c r="K24" s="106" t="s">
        <v>198</v>
      </c>
      <c r="L24" s="49">
        <v>113330</v>
      </c>
      <c r="M24" s="26">
        <v>2019</v>
      </c>
      <c r="N24" s="54" t="s">
        <v>47</v>
      </c>
      <c r="O24" s="49">
        <v>112100</v>
      </c>
      <c r="P24" s="73" t="s">
        <v>121</v>
      </c>
      <c r="Q24" s="103" t="s">
        <v>233</v>
      </c>
      <c r="R24" s="168"/>
    </row>
    <row r="25" spans="1:18" x14ac:dyDescent="0.25">
      <c r="A25" s="45"/>
      <c r="C25" s="32"/>
    </row>
    <row r="26" spans="1:18" x14ac:dyDescent="0.25">
      <c r="M26" s="38"/>
      <c r="Q26" s="29"/>
    </row>
    <row r="27" spans="1:18" ht="21.75" customHeight="1" x14ac:dyDescent="0.25">
      <c r="A27" s="72" t="s">
        <v>143</v>
      </c>
      <c r="B27" s="40" t="s">
        <v>142</v>
      </c>
      <c r="C27" s="72" t="s">
        <v>116</v>
      </c>
      <c r="D27" s="72" t="s">
        <v>140</v>
      </c>
      <c r="E27" s="72" t="s">
        <v>112</v>
      </c>
      <c r="F27" s="72" t="s">
        <v>115</v>
      </c>
      <c r="G27" s="72" t="s">
        <v>141</v>
      </c>
      <c r="H27" s="72" t="s">
        <v>124</v>
      </c>
      <c r="I27" s="72" t="s">
        <v>123</v>
      </c>
    </row>
    <row r="28" spans="1:18" ht="35.25" customHeight="1" x14ac:dyDescent="0.25">
      <c r="A28" s="41" t="s">
        <v>25</v>
      </c>
      <c r="B28" s="41" t="s">
        <v>145</v>
      </c>
      <c r="C28" s="39" t="s">
        <v>243</v>
      </c>
      <c r="D28" s="51">
        <v>0</v>
      </c>
      <c r="E28" s="39" t="s">
        <v>199</v>
      </c>
      <c r="F28" s="39" t="s">
        <v>120</v>
      </c>
      <c r="G28" s="39" t="s">
        <v>47</v>
      </c>
      <c r="H28" s="52">
        <f>SUM(N5)</f>
        <v>6460</v>
      </c>
      <c r="I28" s="52">
        <f>SUM(O5)</f>
        <v>21534</v>
      </c>
    </row>
    <row r="29" spans="1:18" ht="39" customHeight="1" x14ac:dyDescent="0.25">
      <c r="A29" s="41" t="s">
        <v>25</v>
      </c>
      <c r="B29" s="41" t="s">
        <v>145</v>
      </c>
      <c r="C29" s="39" t="s">
        <v>243</v>
      </c>
      <c r="D29" s="51">
        <v>0</v>
      </c>
      <c r="E29" s="41" t="s">
        <v>160</v>
      </c>
      <c r="F29" s="39" t="s">
        <v>144</v>
      </c>
      <c r="G29" s="39" t="s">
        <v>47</v>
      </c>
      <c r="H29" s="52">
        <f>N8</f>
        <v>6460</v>
      </c>
      <c r="I29" s="52">
        <f>O8</f>
        <v>21534</v>
      </c>
    </row>
    <row r="30" spans="1:18" ht="48.75" customHeight="1" x14ac:dyDescent="0.25">
      <c r="A30" s="41" t="s">
        <v>40</v>
      </c>
      <c r="B30" s="41" t="s">
        <v>147</v>
      </c>
      <c r="C30" s="39" t="s">
        <v>35</v>
      </c>
      <c r="D30" s="51">
        <v>0</v>
      </c>
      <c r="E30" s="39" t="s">
        <v>199</v>
      </c>
      <c r="F30" s="39" t="s">
        <v>120</v>
      </c>
      <c r="G30" s="39" t="s">
        <v>47</v>
      </c>
      <c r="H30" s="52">
        <f>SUM(N13)</f>
        <v>25670</v>
      </c>
      <c r="I30" s="52">
        <f>SUM(O13)</f>
        <v>256700</v>
      </c>
    </row>
    <row r="31" spans="1:18" ht="39" x14ac:dyDescent="0.25">
      <c r="A31" s="41" t="s">
        <v>27</v>
      </c>
      <c r="B31" s="53" t="s">
        <v>149</v>
      </c>
      <c r="C31" s="41" t="s">
        <v>32</v>
      </c>
      <c r="D31" s="51">
        <v>0</v>
      </c>
      <c r="E31" s="39" t="s">
        <v>199</v>
      </c>
      <c r="F31" s="39" t="s">
        <v>120</v>
      </c>
      <c r="G31" s="39" t="s">
        <v>47</v>
      </c>
      <c r="H31" s="36">
        <f>SUM(N18)</f>
        <v>6</v>
      </c>
      <c r="I31" s="36">
        <f>SUM(O18)</f>
        <v>21</v>
      </c>
    </row>
    <row r="32" spans="1:18" ht="39" x14ac:dyDescent="0.25">
      <c r="A32" s="41" t="s">
        <v>27</v>
      </c>
      <c r="B32" s="53" t="s">
        <v>149</v>
      </c>
      <c r="C32" s="41" t="s">
        <v>32</v>
      </c>
      <c r="D32" s="51">
        <v>0</v>
      </c>
      <c r="E32" s="41" t="s">
        <v>160</v>
      </c>
      <c r="F32" s="39" t="s">
        <v>144</v>
      </c>
      <c r="G32" s="39" t="s">
        <v>47</v>
      </c>
      <c r="H32" s="36">
        <f>SUM(N22)</f>
        <v>6</v>
      </c>
      <c r="I32" s="36">
        <f>SUM(O22)</f>
        <v>21</v>
      </c>
    </row>
    <row r="33" spans="1:9" ht="54" customHeight="1" x14ac:dyDescent="0.25">
      <c r="A33" s="41" t="s">
        <v>23</v>
      </c>
      <c r="B33" s="41" t="s">
        <v>151</v>
      </c>
      <c r="C33" s="41" t="s">
        <v>244</v>
      </c>
      <c r="D33" s="48">
        <f>SUM(L6+L14+L17)</f>
        <v>2617048</v>
      </c>
      <c r="E33" s="41" t="s">
        <v>199</v>
      </c>
      <c r="F33" s="39" t="s">
        <v>120</v>
      </c>
      <c r="G33" s="39">
        <v>2019</v>
      </c>
      <c r="H33" s="36" t="s">
        <v>47</v>
      </c>
      <c r="I33" s="49">
        <f>SUM(O6+O14+O17)</f>
        <v>1604946</v>
      </c>
    </row>
    <row r="34" spans="1:9" ht="53.1" customHeight="1" x14ac:dyDescent="0.25">
      <c r="A34" s="41" t="s">
        <v>23</v>
      </c>
      <c r="B34" s="41" t="s">
        <v>151</v>
      </c>
      <c r="C34" s="41" t="s">
        <v>244</v>
      </c>
      <c r="D34" s="48">
        <f>SUM(L11+L21)</f>
        <v>2560574</v>
      </c>
      <c r="E34" s="41" t="s">
        <v>160</v>
      </c>
      <c r="F34" s="39" t="s">
        <v>144</v>
      </c>
      <c r="G34" s="39">
        <v>2019</v>
      </c>
      <c r="H34" s="36" t="s">
        <v>47</v>
      </c>
      <c r="I34" s="49">
        <f>SUM(O11+O21)</f>
        <v>1571062</v>
      </c>
    </row>
    <row r="35" spans="1:9" ht="45.95" customHeight="1" x14ac:dyDescent="0.25">
      <c r="A35" s="41" t="s">
        <v>36</v>
      </c>
      <c r="B35" s="41" t="s">
        <v>154</v>
      </c>
      <c r="C35" s="47" t="s">
        <v>198</v>
      </c>
      <c r="D35" s="48">
        <f>SUM(L7+L16+L19)</f>
        <v>176068</v>
      </c>
      <c r="E35" s="41" t="s">
        <v>199</v>
      </c>
      <c r="F35" s="39" t="s">
        <v>120</v>
      </c>
      <c r="G35" s="39">
        <v>2019</v>
      </c>
      <c r="H35" s="36" t="s">
        <v>47</v>
      </c>
      <c r="I35" s="36">
        <f>SUM(O16+O19+O7)</f>
        <v>156893</v>
      </c>
    </row>
    <row r="36" spans="1:9" ht="58.5" customHeight="1" x14ac:dyDescent="0.25">
      <c r="A36" s="41" t="s">
        <v>36</v>
      </c>
      <c r="B36" s="41" t="s">
        <v>154</v>
      </c>
      <c r="C36" s="47" t="s">
        <v>198</v>
      </c>
      <c r="D36" s="48">
        <f>SUM(L12+L24)</f>
        <v>170421</v>
      </c>
      <c r="E36" s="41" t="s">
        <v>160</v>
      </c>
      <c r="F36" s="39" t="s">
        <v>144</v>
      </c>
      <c r="G36" s="39">
        <v>2019</v>
      </c>
      <c r="H36" s="36" t="s">
        <v>47</v>
      </c>
      <c r="I36" s="36">
        <f>SUM(O12+O24)</f>
        <v>153505</v>
      </c>
    </row>
    <row r="37" spans="1:9" ht="68.25" customHeight="1" x14ac:dyDescent="0.25">
      <c r="A37" s="26" t="s">
        <v>118</v>
      </c>
      <c r="B37" s="26" t="s">
        <v>200</v>
      </c>
      <c r="C37" s="26" t="s">
        <v>190</v>
      </c>
      <c r="D37" s="48">
        <v>0</v>
      </c>
      <c r="E37" s="26" t="s">
        <v>199</v>
      </c>
      <c r="F37" s="26" t="s">
        <v>120</v>
      </c>
      <c r="G37" s="54" t="s">
        <v>47</v>
      </c>
      <c r="H37" s="36">
        <f>SUM(N20)</f>
        <v>15428</v>
      </c>
      <c r="I37" s="36">
        <f>SUM(O20)</f>
        <v>51428</v>
      </c>
    </row>
    <row r="38" spans="1:9" ht="68.25" customHeight="1" x14ac:dyDescent="0.25">
      <c r="A38" s="26" t="s">
        <v>118</v>
      </c>
      <c r="B38" s="26" t="s">
        <v>200</v>
      </c>
      <c r="C38" s="26" t="s">
        <v>190</v>
      </c>
      <c r="D38" s="48">
        <v>0</v>
      </c>
      <c r="E38" s="26" t="s">
        <v>160</v>
      </c>
      <c r="F38" s="26" t="s">
        <v>144</v>
      </c>
      <c r="G38" s="54" t="s">
        <v>47</v>
      </c>
      <c r="H38" s="36">
        <f>SUM(N23)</f>
        <v>15428</v>
      </c>
      <c r="I38" s="36">
        <f>SUM(O23)</f>
        <v>51428</v>
      </c>
    </row>
  </sheetData>
  <mergeCells count="67">
    <mergeCell ref="O3:O4"/>
    <mergeCell ref="A1:F1"/>
    <mergeCell ref="A3:A4"/>
    <mergeCell ref="B3:B4"/>
    <mergeCell ref="C3:E3"/>
    <mergeCell ref="F3:F4"/>
    <mergeCell ref="G3:H3"/>
    <mergeCell ref="H8:H10"/>
    <mergeCell ref="P3:P4"/>
    <mergeCell ref="Q3:Q4"/>
    <mergeCell ref="R3:R4"/>
    <mergeCell ref="A5:A12"/>
    <mergeCell ref="B5:B7"/>
    <mergeCell ref="C5:C7"/>
    <mergeCell ref="D5:D7"/>
    <mergeCell ref="E5:E7"/>
    <mergeCell ref="F5:F7"/>
    <mergeCell ref="B8:B12"/>
    <mergeCell ref="I3:I4"/>
    <mergeCell ref="J3:J4"/>
    <mergeCell ref="K3:K4"/>
    <mergeCell ref="L3:M3"/>
    <mergeCell ref="N3:N4"/>
    <mergeCell ref="C8:C12"/>
    <mergeCell ref="D8:D12"/>
    <mergeCell ref="E8:E12"/>
    <mergeCell ref="F8:F12"/>
    <mergeCell ref="G8:G10"/>
    <mergeCell ref="O8:O10"/>
    <mergeCell ref="P8:P10"/>
    <mergeCell ref="Q8:Q10"/>
    <mergeCell ref="R8:R10"/>
    <mergeCell ref="A13:A16"/>
    <mergeCell ref="B13:B16"/>
    <mergeCell ref="C13:C16"/>
    <mergeCell ref="D13:D16"/>
    <mergeCell ref="E13:E16"/>
    <mergeCell ref="F13:F16"/>
    <mergeCell ref="I8:I10"/>
    <mergeCell ref="J8:J10"/>
    <mergeCell ref="K8:K10"/>
    <mergeCell ref="L8:L10"/>
    <mergeCell ref="M8:M10"/>
    <mergeCell ref="N8:N10"/>
    <mergeCell ref="R14:R15"/>
    <mergeCell ref="G14:G15"/>
    <mergeCell ref="H14:H15"/>
    <mergeCell ref="I14:I15"/>
    <mergeCell ref="J14:J15"/>
    <mergeCell ref="K14:K15"/>
    <mergeCell ref="L14:L15"/>
    <mergeCell ref="M14:M15"/>
    <mergeCell ref="N14:N15"/>
    <mergeCell ref="O14:O15"/>
    <mergeCell ref="P14:P15"/>
    <mergeCell ref="Q14:Q15"/>
    <mergeCell ref="F21:F24"/>
    <mergeCell ref="A17:A24"/>
    <mergeCell ref="B17:B20"/>
    <mergeCell ref="C17:C20"/>
    <mergeCell ref="D17:D20"/>
    <mergeCell ref="E17:E20"/>
    <mergeCell ref="F17:F20"/>
    <mergeCell ref="B21:B24"/>
    <mergeCell ref="C21:C24"/>
    <mergeCell ref="D21:D24"/>
    <mergeCell ref="E21:E24"/>
  </mergeCells>
  <phoneticPr fontId="6" type="noConversion"/>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8"/>
  <sheetViews>
    <sheetView topLeftCell="D22" zoomScale="80" zoomScaleNormal="80" workbookViewId="0">
      <selection activeCell="P26" sqref="P26"/>
    </sheetView>
  </sheetViews>
  <sheetFormatPr defaultRowHeight="15" x14ac:dyDescent="0.25"/>
  <cols>
    <col min="1" max="1" width="29.85546875" style="31" customWidth="1"/>
    <col min="2" max="2" width="29" style="43" customWidth="1"/>
    <col min="3" max="3" width="20.85546875" style="31" customWidth="1"/>
    <col min="4" max="4" width="21.5703125" style="43" customWidth="1"/>
    <col min="5" max="5" width="22.85546875" style="45" customWidth="1"/>
    <col min="6" max="6" width="14.42578125" style="31" customWidth="1"/>
    <col min="7" max="7" width="10.42578125" style="31" customWidth="1"/>
    <col min="8" max="8" width="20.85546875" style="31" customWidth="1"/>
    <col min="9" max="9" width="15.85546875" style="31" customWidth="1"/>
    <col min="10" max="10" width="17.85546875" style="31" customWidth="1"/>
    <col min="11" max="11" width="24.42578125" style="31" customWidth="1"/>
    <col min="12" max="12" width="14.42578125" style="31" customWidth="1"/>
    <col min="13" max="13" width="14.85546875" style="31" customWidth="1"/>
    <col min="14" max="14" width="12.42578125" style="31" customWidth="1"/>
    <col min="15" max="15" width="12" style="31" bestFit="1" customWidth="1"/>
    <col min="16" max="16" width="12.5703125" style="32" customWidth="1"/>
    <col min="17" max="17" width="0.140625" style="21" customWidth="1"/>
    <col min="18" max="18" width="84.42578125" style="21" customWidth="1"/>
  </cols>
  <sheetData>
    <row r="1" spans="1:18" ht="33.950000000000003" customHeight="1" x14ac:dyDescent="0.25">
      <c r="A1" s="30" t="s">
        <v>19</v>
      </c>
      <c r="B1" s="30"/>
      <c r="C1" s="30"/>
      <c r="D1" s="30"/>
      <c r="E1" s="157"/>
    </row>
    <row r="2" spans="1:18" ht="15.75" thickBot="1" x14ac:dyDescent="0.3"/>
    <row r="3" spans="1:18" ht="15" customHeight="1" x14ac:dyDescent="0.25">
      <c r="A3" s="300" t="s">
        <v>0</v>
      </c>
      <c r="B3" s="302" t="s">
        <v>48</v>
      </c>
      <c r="C3" s="304" t="s">
        <v>2</v>
      </c>
      <c r="D3" s="297"/>
      <c r="E3" s="297"/>
      <c r="F3" s="304" t="s">
        <v>20</v>
      </c>
      <c r="G3" s="307" t="s">
        <v>3</v>
      </c>
      <c r="H3" s="307"/>
      <c r="I3" s="287" t="s">
        <v>21</v>
      </c>
      <c r="J3" s="295" t="s">
        <v>22</v>
      </c>
      <c r="K3" s="287" t="s">
        <v>4</v>
      </c>
      <c r="L3" s="297" t="s">
        <v>5</v>
      </c>
      <c r="M3" s="298"/>
      <c r="N3" s="287" t="s">
        <v>6</v>
      </c>
      <c r="O3" s="287" t="s">
        <v>7</v>
      </c>
      <c r="P3" s="287" t="s">
        <v>8</v>
      </c>
      <c r="Q3" s="289" t="s">
        <v>9</v>
      </c>
      <c r="R3" s="291" t="s">
        <v>61</v>
      </c>
    </row>
    <row r="4" spans="1:18" ht="54.75" customHeight="1" x14ac:dyDescent="0.25">
      <c r="A4" s="301"/>
      <c r="B4" s="303"/>
      <c r="C4" s="72" t="s">
        <v>10</v>
      </c>
      <c r="D4" s="44" t="s">
        <v>49</v>
      </c>
      <c r="E4" s="158" t="s">
        <v>46</v>
      </c>
      <c r="F4" s="305"/>
      <c r="G4" s="72" t="s">
        <v>12</v>
      </c>
      <c r="H4" s="72" t="s">
        <v>13</v>
      </c>
      <c r="I4" s="288"/>
      <c r="J4" s="296"/>
      <c r="K4" s="288"/>
      <c r="L4" s="50" t="s">
        <v>14</v>
      </c>
      <c r="M4" s="50" t="s">
        <v>15</v>
      </c>
      <c r="N4" s="288"/>
      <c r="O4" s="288"/>
      <c r="P4" s="288"/>
      <c r="Q4" s="290"/>
      <c r="R4" s="291"/>
    </row>
    <row r="5" spans="1:18" ht="106.5" customHeight="1" x14ac:dyDescent="0.25">
      <c r="A5" s="278" t="s">
        <v>221</v>
      </c>
      <c r="B5" s="247">
        <v>29050000</v>
      </c>
      <c r="C5" s="249" t="s">
        <v>196</v>
      </c>
      <c r="D5" s="247">
        <f>(B5-(B5*0.0411))*0.5/0.5</f>
        <v>27856045</v>
      </c>
      <c r="E5" s="247">
        <f>B5+D5</f>
        <v>56906045</v>
      </c>
      <c r="F5" s="311">
        <f>E5</f>
        <v>56906045</v>
      </c>
      <c r="G5" s="39" t="s">
        <v>25</v>
      </c>
      <c r="H5" s="68" t="s">
        <v>145</v>
      </c>
      <c r="I5" s="41" t="s">
        <v>119</v>
      </c>
      <c r="J5" s="39" t="s">
        <v>120</v>
      </c>
      <c r="K5" s="39" t="s">
        <v>146</v>
      </c>
      <c r="L5" s="62">
        <v>0</v>
      </c>
      <c r="M5" s="62" t="s">
        <v>47</v>
      </c>
      <c r="N5" s="121">
        <v>4620</v>
      </c>
      <c r="O5" s="42">
        <v>15400</v>
      </c>
      <c r="P5" s="24" t="s">
        <v>121</v>
      </c>
      <c r="Q5" s="98" t="s">
        <v>210</v>
      </c>
      <c r="R5" s="67" t="s">
        <v>209</v>
      </c>
    </row>
    <row r="6" spans="1:18" ht="77.25" customHeight="1" x14ac:dyDescent="0.25">
      <c r="A6" s="308"/>
      <c r="B6" s="308"/>
      <c r="C6" s="309"/>
      <c r="D6" s="310"/>
      <c r="E6" s="310"/>
      <c r="F6" s="311"/>
      <c r="G6" s="39" t="s">
        <v>23</v>
      </c>
      <c r="H6" s="68" t="s">
        <v>151</v>
      </c>
      <c r="I6" s="41" t="s">
        <v>119</v>
      </c>
      <c r="J6" s="39" t="s">
        <v>120</v>
      </c>
      <c r="K6" s="41" t="s">
        <v>150</v>
      </c>
      <c r="L6" s="121">
        <v>1020712</v>
      </c>
      <c r="M6" s="26">
        <v>2019</v>
      </c>
      <c r="N6" s="37" t="s">
        <v>37</v>
      </c>
      <c r="O6" s="37">
        <v>321860</v>
      </c>
      <c r="P6" s="24" t="s">
        <v>121</v>
      </c>
      <c r="Q6" s="98" t="s">
        <v>51</v>
      </c>
      <c r="R6" s="103" t="s">
        <v>72</v>
      </c>
    </row>
    <row r="7" spans="1:18" ht="25.5" customHeight="1" x14ac:dyDescent="0.25">
      <c r="A7" s="308"/>
      <c r="B7" s="247">
        <v>53950000</v>
      </c>
      <c r="C7" s="249" t="s">
        <v>196</v>
      </c>
      <c r="D7" s="247">
        <f>(B7-(B7*0.0411))*0.5/0.5</f>
        <v>51732655</v>
      </c>
      <c r="E7" s="247">
        <f>B7+D7</f>
        <v>105682655</v>
      </c>
      <c r="F7" s="313">
        <f>E7</f>
        <v>105682655</v>
      </c>
      <c r="G7" s="278" t="s">
        <v>25</v>
      </c>
      <c r="H7" s="249" t="s">
        <v>145</v>
      </c>
      <c r="I7" s="278" t="s">
        <v>160</v>
      </c>
      <c r="J7" s="278" t="s">
        <v>144</v>
      </c>
      <c r="K7" s="278" t="s">
        <v>146</v>
      </c>
      <c r="L7" s="312">
        <v>0</v>
      </c>
      <c r="M7" s="317" t="s">
        <v>47</v>
      </c>
      <c r="N7" s="312">
        <v>8580</v>
      </c>
      <c r="O7" s="312">
        <v>28600</v>
      </c>
      <c r="P7" s="314" t="s">
        <v>121</v>
      </c>
      <c r="Q7" s="315" t="s">
        <v>211</v>
      </c>
      <c r="R7" s="316" t="s">
        <v>212</v>
      </c>
    </row>
    <row r="8" spans="1:18" ht="89.25" customHeight="1" x14ac:dyDescent="0.25">
      <c r="A8" s="308"/>
      <c r="B8" s="308"/>
      <c r="C8" s="309"/>
      <c r="D8" s="310"/>
      <c r="E8" s="310"/>
      <c r="F8" s="313"/>
      <c r="G8" s="308"/>
      <c r="H8" s="309"/>
      <c r="I8" s="308"/>
      <c r="J8" s="308"/>
      <c r="K8" s="308"/>
      <c r="L8" s="312"/>
      <c r="M8" s="317"/>
      <c r="N8" s="312"/>
      <c r="O8" s="312"/>
      <c r="P8" s="314"/>
      <c r="Q8" s="315"/>
      <c r="R8" s="270"/>
    </row>
    <row r="9" spans="1:18" s="28" customFormat="1" ht="86.25" customHeight="1" thickBot="1" x14ac:dyDescent="0.3">
      <c r="A9" s="308"/>
      <c r="B9" s="308"/>
      <c r="C9" s="309"/>
      <c r="D9" s="310"/>
      <c r="E9" s="310"/>
      <c r="F9" s="313"/>
      <c r="G9" s="39" t="s">
        <v>23</v>
      </c>
      <c r="H9" s="68" t="s">
        <v>151</v>
      </c>
      <c r="I9" s="64" t="s">
        <v>160</v>
      </c>
      <c r="J9" s="39" t="s">
        <v>144</v>
      </c>
      <c r="K9" s="41" t="s">
        <v>150</v>
      </c>
      <c r="L9" s="121">
        <v>1895608</v>
      </c>
      <c r="M9" s="26">
        <v>2019</v>
      </c>
      <c r="N9" s="74" t="s">
        <v>37</v>
      </c>
      <c r="O9" s="37">
        <v>597740</v>
      </c>
      <c r="P9" s="23" t="s">
        <v>121</v>
      </c>
      <c r="Q9" s="94" t="s">
        <v>52</v>
      </c>
      <c r="R9" s="103" t="s">
        <v>62</v>
      </c>
    </row>
    <row r="10" spans="1:18" ht="83.25" customHeight="1" x14ac:dyDescent="0.25">
      <c r="A10" s="278" t="s">
        <v>195</v>
      </c>
      <c r="B10" s="247">
        <v>24800000</v>
      </c>
      <c r="C10" s="249" t="s">
        <v>197</v>
      </c>
      <c r="D10" s="247">
        <f>(B10*0.3)/0.7</f>
        <v>10628571.428571429</v>
      </c>
      <c r="E10" s="247">
        <f>B10+D10</f>
        <v>35428571.428571433</v>
      </c>
      <c r="F10" s="247">
        <f>E10</f>
        <v>35428571.428571433</v>
      </c>
      <c r="G10" s="39" t="s">
        <v>26</v>
      </c>
      <c r="H10" s="68" t="s">
        <v>147</v>
      </c>
      <c r="I10" s="71" t="s">
        <v>119</v>
      </c>
      <c r="J10" s="71" t="s">
        <v>120</v>
      </c>
      <c r="K10" s="33" t="s">
        <v>148</v>
      </c>
      <c r="L10" s="121">
        <v>0</v>
      </c>
      <c r="M10" s="62" t="s">
        <v>47</v>
      </c>
      <c r="N10" s="74">
        <v>10200</v>
      </c>
      <c r="O10" s="37">
        <v>102000</v>
      </c>
      <c r="P10" s="23" t="s">
        <v>121</v>
      </c>
      <c r="Q10" s="70" t="s">
        <v>213</v>
      </c>
      <c r="R10" s="67" t="s">
        <v>74</v>
      </c>
    </row>
    <row r="11" spans="1:18" ht="13.5" customHeight="1" x14ac:dyDescent="0.25">
      <c r="A11" s="278"/>
      <c r="B11" s="278"/>
      <c r="C11" s="249"/>
      <c r="D11" s="310"/>
      <c r="E11" s="308"/>
      <c r="F11" s="308"/>
      <c r="G11" s="278" t="s">
        <v>23</v>
      </c>
      <c r="H11" s="318" t="s">
        <v>151</v>
      </c>
      <c r="I11" s="278" t="s">
        <v>119</v>
      </c>
      <c r="J11" s="278" t="s">
        <v>120</v>
      </c>
      <c r="K11" s="278" t="s">
        <v>150</v>
      </c>
      <c r="L11" s="312">
        <v>22440</v>
      </c>
      <c r="M11" s="280">
        <v>2019</v>
      </c>
      <c r="N11" s="322" t="s">
        <v>37</v>
      </c>
      <c r="O11" s="322">
        <v>15708</v>
      </c>
      <c r="P11" s="323" t="s">
        <v>121</v>
      </c>
      <c r="Q11" s="309" t="s">
        <v>70</v>
      </c>
      <c r="R11" s="324" t="s">
        <v>73</v>
      </c>
    </row>
    <row r="12" spans="1:18" ht="84.75" customHeight="1" x14ac:dyDescent="0.25">
      <c r="A12" s="278"/>
      <c r="B12" s="278"/>
      <c r="C12" s="249"/>
      <c r="D12" s="310"/>
      <c r="E12" s="308"/>
      <c r="F12" s="308"/>
      <c r="G12" s="308"/>
      <c r="H12" s="319"/>
      <c r="I12" s="278"/>
      <c r="J12" s="308"/>
      <c r="K12" s="308"/>
      <c r="L12" s="312"/>
      <c r="M12" s="280"/>
      <c r="N12" s="322"/>
      <c r="O12" s="322"/>
      <c r="P12" s="308"/>
      <c r="Q12" s="309"/>
      <c r="R12" s="324"/>
    </row>
    <row r="13" spans="1:18" ht="48.75" customHeight="1" x14ac:dyDescent="0.25">
      <c r="A13" s="278"/>
      <c r="B13" s="278"/>
      <c r="C13" s="249"/>
      <c r="D13" s="310"/>
      <c r="E13" s="308"/>
      <c r="F13" s="308"/>
      <c r="G13" s="39" t="s">
        <v>36</v>
      </c>
      <c r="H13" s="68" t="s">
        <v>154</v>
      </c>
      <c r="I13" s="41" t="s">
        <v>119</v>
      </c>
      <c r="J13" s="39" t="s">
        <v>120</v>
      </c>
      <c r="K13" s="41" t="s">
        <v>131</v>
      </c>
      <c r="L13" s="121">
        <v>2244</v>
      </c>
      <c r="M13" s="26">
        <v>2019</v>
      </c>
      <c r="N13" s="74" t="s">
        <v>37</v>
      </c>
      <c r="O13" s="37">
        <v>1571</v>
      </c>
      <c r="P13" s="73" t="s">
        <v>121</v>
      </c>
      <c r="Q13" s="98" t="s">
        <v>53</v>
      </c>
      <c r="R13" s="104" t="s">
        <v>78</v>
      </c>
    </row>
    <row r="14" spans="1:18" ht="409.5" x14ac:dyDescent="0.25">
      <c r="A14" s="308"/>
      <c r="B14" s="247">
        <v>37200000</v>
      </c>
      <c r="C14" s="249" t="s">
        <v>197</v>
      </c>
      <c r="D14" s="247">
        <f>(B14*0.3)/0.7</f>
        <v>15942857.142857144</v>
      </c>
      <c r="E14" s="320">
        <f>B14+D14</f>
        <v>53142857.142857142</v>
      </c>
      <c r="F14" s="320">
        <f>E14</f>
        <v>53142857.142857142</v>
      </c>
      <c r="G14" s="39" t="s">
        <v>26</v>
      </c>
      <c r="H14" s="68" t="s">
        <v>147</v>
      </c>
      <c r="I14" s="64" t="s">
        <v>160</v>
      </c>
      <c r="J14" s="41" t="s">
        <v>144</v>
      </c>
      <c r="K14" s="39" t="s">
        <v>148</v>
      </c>
      <c r="L14" s="121">
        <v>0</v>
      </c>
      <c r="M14" s="62" t="s">
        <v>47</v>
      </c>
      <c r="N14" s="74">
        <v>15500</v>
      </c>
      <c r="O14" s="37">
        <v>155000</v>
      </c>
      <c r="P14" s="73" t="s">
        <v>121</v>
      </c>
      <c r="Q14" s="96" t="s">
        <v>54</v>
      </c>
      <c r="R14" s="67" t="s">
        <v>75</v>
      </c>
    </row>
    <row r="15" spans="1:18" ht="85.5" customHeight="1" x14ac:dyDescent="0.25">
      <c r="A15" s="308"/>
      <c r="B15" s="247"/>
      <c r="C15" s="249"/>
      <c r="D15" s="247"/>
      <c r="E15" s="320"/>
      <c r="F15" s="321"/>
      <c r="G15" s="39" t="s">
        <v>23</v>
      </c>
      <c r="H15" s="68" t="s">
        <v>151</v>
      </c>
      <c r="I15" s="64" t="s">
        <v>160</v>
      </c>
      <c r="J15" s="41" t="s">
        <v>144</v>
      </c>
      <c r="K15" s="41" t="s">
        <v>150</v>
      </c>
      <c r="L15" s="121">
        <v>34100</v>
      </c>
      <c r="M15" s="23">
        <v>2019</v>
      </c>
      <c r="N15" s="74" t="s">
        <v>37</v>
      </c>
      <c r="O15" s="37">
        <v>23870</v>
      </c>
      <c r="P15" s="73" t="s">
        <v>121</v>
      </c>
      <c r="Q15" s="98" t="s">
        <v>55</v>
      </c>
      <c r="R15" s="103" t="s">
        <v>76</v>
      </c>
    </row>
    <row r="16" spans="1:18" s="28" customFormat="1" ht="60" customHeight="1" thickBot="1" x14ac:dyDescent="0.3">
      <c r="A16" s="308"/>
      <c r="B16" s="247"/>
      <c r="C16" s="249"/>
      <c r="D16" s="247"/>
      <c r="E16" s="320"/>
      <c r="F16" s="321"/>
      <c r="G16" s="39" t="s">
        <v>41</v>
      </c>
      <c r="H16" s="68" t="s">
        <v>154</v>
      </c>
      <c r="I16" s="64" t="s">
        <v>160</v>
      </c>
      <c r="J16" s="41" t="s">
        <v>144</v>
      </c>
      <c r="K16" s="41" t="s">
        <v>131</v>
      </c>
      <c r="L16" s="121">
        <v>3410</v>
      </c>
      <c r="M16" s="23">
        <v>2019</v>
      </c>
      <c r="N16" s="37" t="s">
        <v>37</v>
      </c>
      <c r="O16" s="37">
        <v>2387</v>
      </c>
      <c r="P16" s="73" t="s">
        <v>121</v>
      </c>
      <c r="Q16" s="99" t="s">
        <v>77</v>
      </c>
      <c r="R16" s="103" t="s">
        <v>79</v>
      </c>
    </row>
    <row r="17" spans="1:18" ht="62.25" customHeight="1" x14ac:dyDescent="0.25">
      <c r="A17" s="256" t="s">
        <v>194</v>
      </c>
      <c r="B17" s="252">
        <v>3493987.8</v>
      </c>
      <c r="C17" s="277" t="s">
        <v>193</v>
      </c>
      <c r="D17" s="252">
        <f>(B17*0.3)/0.7</f>
        <v>1497423.3428571427</v>
      </c>
      <c r="E17" s="242">
        <f>D17+B17</f>
        <v>4991411.1428571427</v>
      </c>
      <c r="F17" s="325">
        <f>E17</f>
        <v>4991411.1428571427</v>
      </c>
      <c r="G17" s="33" t="s">
        <v>23</v>
      </c>
      <c r="H17" s="34" t="s">
        <v>151</v>
      </c>
      <c r="I17" s="71" t="s">
        <v>119</v>
      </c>
      <c r="J17" s="35" t="s">
        <v>120</v>
      </c>
      <c r="K17" s="41" t="s">
        <v>150</v>
      </c>
      <c r="L17" s="121">
        <v>7000</v>
      </c>
      <c r="M17" s="107">
        <v>2019</v>
      </c>
      <c r="N17" s="74" t="s">
        <v>37</v>
      </c>
      <c r="O17" s="74">
        <v>5600</v>
      </c>
      <c r="P17" s="73" t="s">
        <v>121</v>
      </c>
      <c r="Q17" s="97" t="s">
        <v>56</v>
      </c>
      <c r="R17" s="67" t="s">
        <v>81</v>
      </c>
    </row>
    <row r="18" spans="1:18" ht="129" customHeight="1" x14ac:dyDescent="0.25">
      <c r="A18" s="278"/>
      <c r="B18" s="247"/>
      <c r="C18" s="249"/>
      <c r="D18" s="247"/>
      <c r="E18" s="320"/>
      <c r="F18" s="321"/>
      <c r="G18" s="26" t="s">
        <v>118</v>
      </c>
      <c r="H18" s="118" t="s">
        <v>153</v>
      </c>
      <c r="I18" s="26" t="s">
        <v>119</v>
      </c>
      <c r="J18" s="119" t="s">
        <v>120</v>
      </c>
      <c r="K18" s="54" t="s">
        <v>152</v>
      </c>
      <c r="L18" s="121">
        <v>0</v>
      </c>
      <c r="M18" s="62" t="s">
        <v>47</v>
      </c>
      <c r="N18" s="37">
        <v>14</v>
      </c>
      <c r="O18" s="74">
        <v>70</v>
      </c>
      <c r="P18" s="73" t="s">
        <v>121</v>
      </c>
      <c r="Q18" s="100" t="s">
        <v>57</v>
      </c>
      <c r="R18" s="103" t="s">
        <v>82</v>
      </c>
    </row>
    <row r="19" spans="1:18" ht="60" customHeight="1" x14ac:dyDescent="0.25">
      <c r="A19" s="278"/>
      <c r="B19" s="247">
        <v>6478246.5</v>
      </c>
      <c r="C19" s="277" t="s">
        <v>193</v>
      </c>
      <c r="D19" s="247">
        <f>(B19*0.3)/0.7</f>
        <v>2776391.3571428573</v>
      </c>
      <c r="E19" s="320">
        <f>D19+B19</f>
        <v>9254637.8571428582</v>
      </c>
      <c r="F19" s="325">
        <f>E19</f>
        <v>9254637.8571428582</v>
      </c>
      <c r="G19" s="54" t="s">
        <v>23</v>
      </c>
      <c r="H19" s="34" t="s">
        <v>151</v>
      </c>
      <c r="I19" s="82" t="s">
        <v>160</v>
      </c>
      <c r="J19" s="119" t="s">
        <v>144</v>
      </c>
      <c r="K19" s="26" t="s">
        <v>150</v>
      </c>
      <c r="L19" s="48">
        <v>12900</v>
      </c>
      <c r="M19" s="26">
        <v>2019</v>
      </c>
      <c r="N19" s="36" t="s">
        <v>37</v>
      </c>
      <c r="O19" s="49">
        <v>10320</v>
      </c>
      <c r="P19" s="73" t="s">
        <v>121</v>
      </c>
      <c r="Q19" s="100" t="s">
        <v>50</v>
      </c>
      <c r="R19" s="67" t="s">
        <v>80</v>
      </c>
    </row>
    <row r="20" spans="1:18" ht="102.75" customHeight="1" x14ac:dyDescent="0.25">
      <c r="A20" s="278"/>
      <c r="B20" s="247"/>
      <c r="C20" s="249"/>
      <c r="D20" s="247"/>
      <c r="E20" s="320"/>
      <c r="F20" s="321"/>
      <c r="G20" s="26" t="s">
        <v>118</v>
      </c>
      <c r="H20" s="118" t="s">
        <v>153</v>
      </c>
      <c r="I20" s="82" t="s">
        <v>160</v>
      </c>
      <c r="J20" s="119" t="s">
        <v>144</v>
      </c>
      <c r="K20" s="54" t="s">
        <v>152</v>
      </c>
      <c r="L20" s="48">
        <v>0</v>
      </c>
      <c r="M20" s="54" t="s">
        <v>47</v>
      </c>
      <c r="N20" s="36">
        <v>25</v>
      </c>
      <c r="O20" s="49">
        <v>129</v>
      </c>
      <c r="P20" s="73" t="s">
        <v>121</v>
      </c>
      <c r="Q20" s="100" t="s">
        <v>71</v>
      </c>
      <c r="R20" s="103" t="s">
        <v>83</v>
      </c>
    </row>
    <row r="21" spans="1:18" ht="59.25" customHeight="1" x14ac:dyDescent="0.25">
      <c r="A21" s="278"/>
      <c r="B21" s="247">
        <v>5235423</v>
      </c>
      <c r="C21" s="249" t="s">
        <v>192</v>
      </c>
      <c r="D21" s="247">
        <f>B21</f>
        <v>5235423</v>
      </c>
      <c r="E21" s="320">
        <f>D21+B21</f>
        <v>10470846</v>
      </c>
      <c r="F21" s="325">
        <f>E21</f>
        <v>10470846</v>
      </c>
      <c r="G21" s="54" t="s">
        <v>23</v>
      </c>
      <c r="H21" s="34" t="s">
        <v>151</v>
      </c>
      <c r="I21" s="26" t="s">
        <v>119</v>
      </c>
      <c r="J21" s="119" t="s">
        <v>120</v>
      </c>
      <c r="K21" s="56" t="s">
        <v>150</v>
      </c>
      <c r="L21" s="160">
        <v>26000</v>
      </c>
      <c r="M21" s="26">
        <v>2019</v>
      </c>
      <c r="N21" s="36" t="s">
        <v>37</v>
      </c>
      <c r="O21" s="49">
        <v>20800</v>
      </c>
      <c r="P21" s="73" t="s">
        <v>121</v>
      </c>
      <c r="Q21" s="105" t="s">
        <v>58</v>
      </c>
      <c r="R21" s="67" t="s">
        <v>89</v>
      </c>
    </row>
    <row r="22" spans="1:18" ht="93.75" customHeight="1" x14ac:dyDescent="0.25">
      <c r="A22" s="278"/>
      <c r="B22" s="247"/>
      <c r="C22" s="249"/>
      <c r="D22" s="247"/>
      <c r="E22" s="320"/>
      <c r="F22" s="321"/>
      <c r="G22" s="26" t="s">
        <v>118</v>
      </c>
      <c r="H22" s="118" t="s">
        <v>153</v>
      </c>
      <c r="I22" s="26" t="s">
        <v>119</v>
      </c>
      <c r="J22" s="119" t="s">
        <v>120</v>
      </c>
      <c r="K22" s="54" t="s">
        <v>152</v>
      </c>
      <c r="L22" s="48">
        <v>0</v>
      </c>
      <c r="M22" s="54" t="s">
        <v>47</v>
      </c>
      <c r="N22" s="36">
        <v>5</v>
      </c>
      <c r="O22" s="49">
        <v>26</v>
      </c>
      <c r="P22" s="73" t="s">
        <v>121</v>
      </c>
      <c r="Q22" s="67" t="s">
        <v>59</v>
      </c>
      <c r="R22" s="67" t="s">
        <v>84</v>
      </c>
    </row>
    <row r="23" spans="1:18" ht="69.75" customHeight="1" x14ac:dyDescent="0.25">
      <c r="A23" s="278"/>
      <c r="B23" s="247">
        <v>9722928.4000000004</v>
      </c>
      <c r="C23" s="249" t="s">
        <v>192</v>
      </c>
      <c r="D23" s="247">
        <f>B23</f>
        <v>9722928.4000000004</v>
      </c>
      <c r="E23" s="320">
        <f>D23+B23</f>
        <v>19445856.800000001</v>
      </c>
      <c r="F23" s="325">
        <f>E23</f>
        <v>19445856.800000001</v>
      </c>
      <c r="G23" s="54" t="s">
        <v>23</v>
      </c>
      <c r="H23" s="68" t="s">
        <v>151</v>
      </c>
      <c r="I23" s="64" t="s">
        <v>160</v>
      </c>
      <c r="J23" s="119" t="s">
        <v>144</v>
      </c>
      <c r="K23" s="41" t="s">
        <v>150</v>
      </c>
      <c r="L23" s="48">
        <v>48000</v>
      </c>
      <c r="M23" s="26">
        <v>2019</v>
      </c>
      <c r="N23" s="36" t="s">
        <v>37</v>
      </c>
      <c r="O23" s="49">
        <v>38400</v>
      </c>
      <c r="P23" s="73" t="s">
        <v>121</v>
      </c>
      <c r="Q23" s="67" t="s">
        <v>69</v>
      </c>
      <c r="R23" s="67" t="s">
        <v>68</v>
      </c>
    </row>
    <row r="24" spans="1:18" ht="107.25" customHeight="1" x14ac:dyDescent="0.25">
      <c r="A24" s="255"/>
      <c r="B24" s="250"/>
      <c r="C24" s="249"/>
      <c r="D24" s="250"/>
      <c r="E24" s="240"/>
      <c r="F24" s="326"/>
      <c r="G24" s="26" t="s">
        <v>118</v>
      </c>
      <c r="H24" s="118" t="s">
        <v>153</v>
      </c>
      <c r="I24" s="64" t="s">
        <v>160</v>
      </c>
      <c r="J24" s="119" t="s">
        <v>144</v>
      </c>
      <c r="K24" s="54" t="s">
        <v>152</v>
      </c>
      <c r="L24" s="48">
        <v>0</v>
      </c>
      <c r="M24" s="54" t="s">
        <v>47</v>
      </c>
      <c r="N24" s="36">
        <v>9</v>
      </c>
      <c r="O24" s="49">
        <v>48</v>
      </c>
      <c r="P24" s="73" t="s">
        <v>121</v>
      </c>
      <c r="Q24" s="67" t="s">
        <v>60</v>
      </c>
      <c r="R24" s="94" t="s">
        <v>88</v>
      </c>
    </row>
    <row r="25" spans="1:18" ht="246" customHeight="1" x14ac:dyDescent="0.25">
      <c r="A25" s="278" t="s">
        <v>223</v>
      </c>
      <c r="B25" s="247">
        <v>13456616.1</v>
      </c>
      <c r="C25" s="249" t="s">
        <v>191</v>
      </c>
      <c r="D25" s="247">
        <f>B25</f>
        <v>13456616.1</v>
      </c>
      <c r="E25" s="247">
        <f>B25+D25</f>
        <v>26913232.199999999</v>
      </c>
      <c r="F25" s="247">
        <f>E25</f>
        <v>26913232.199999999</v>
      </c>
      <c r="G25" s="39" t="s">
        <v>23</v>
      </c>
      <c r="H25" s="69" t="s">
        <v>151</v>
      </c>
      <c r="I25" s="41" t="s">
        <v>119</v>
      </c>
      <c r="J25" s="41" t="s">
        <v>120</v>
      </c>
      <c r="K25" s="41" t="s">
        <v>150</v>
      </c>
      <c r="L25" s="121">
        <v>1591050</v>
      </c>
      <c r="M25" s="107">
        <v>2019</v>
      </c>
      <c r="N25" s="37" t="s">
        <v>37</v>
      </c>
      <c r="O25" s="74">
        <v>1572300</v>
      </c>
      <c r="P25" s="73" t="s">
        <v>121</v>
      </c>
      <c r="Q25" s="94" t="s">
        <v>67</v>
      </c>
      <c r="R25" s="67" t="s">
        <v>91</v>
      </c>
    </row>
    <row r="26" spans="1:18" ht="65.25" customHeight="1" x14ac:dyDescent="0.25">
      <c r="A26" s="278"/>
      <c r="B26" s="247"/>
      <c r="C26" s="249"/>
      <c r="D26" s="247"/>
      <c r="E26" s="247"/>
      <c r="F26" s="247"/>
      <c r="G26" s="39" t="s">
        <v>27</v>
      </c>
      <c r="H26" s="69" t="s">
        <v>149</v>
      </c>
      <c r="I26" s="41" t="s">
        <v>119</v>
      </c>
      <c r="J26" s="41" t="s">
        <v>120</v>
      </c>
      <c r="K26" s="33" t="s">
        <v>32</v>
      </c>
      <c r="L26" s="120">
        <v>0</v>
      </c>
      <c r="M26" s="62" t="s">
        <v>47</v>
      </c>
      <c r="N26" s="37">
        <v>9</v>
      </c>
      <c r="O26" s="74">
        <v>30</v>
      </c>
      <c r="P26" s="73" t="s">
        <v>121</v>
      </c>
      <c r="Q26" s="101" t="s">
        <v>66</v>
      </c>
      <c r="R26" s="102" t="s">
        <v>90</v>
      </c>
    </row>
    <row r="27" spans="1:18" ht="154.5" customHeight="1" x14ac:dyDescent="0.25">
      <c r="A27" s="278"/>
      <c r="B27" s="247"/>
      <c r="C27" s="249"/>
      <c r="D27" s="247"/>
      <c r="E27" s="247"/>
      <c r="F27" s="247"/>
      <c r="G27" s="26" t="s">
        <v>118</v>
      </c>
      <c r="H27" s="159" t="s">
        <v>200</v>
      </c>
      <c r="I27" s="152" t="s">
        <v>119</v>
      </c>
      <c r="J27" s="152" t="s">
        <v>120</v>
      </c>
      <c r="K27" s="153" t="s">
        <v>34</v>
      </c>
      <c r="L27" s="154">
        <v>0</v>
      </c>
      <c r="M27" s="76" t="s">
        <v>47</v>
      </c>
      <c r="N27" s="154">
        <v>21525</v>
      </c>
      <c r="O27" s="154">
        <v>71750</v>
      </c>
      <c r="P27" s="155" t="s">
        <v>121</v>
      </c>
      <c r="Q27" s="156" t="s">
        <v>45</v>
      </c>
      <c r="R27" s="67" t="s">
        <v>86</v>
      </c>
    </row>
    <row r="28" spans="1:18" ht="243" customHeight="1" x14ac:dyDescent="0.25">
      <c r="A28" s="278"/>
      <c r="B28" s="247">
        <v>13456617.1</v>
      </c>
      <c r="C28" s="249" t="s">
        <v>191</v>
      </c>
      <c r="D28" s="247">
        <f>B28</f>
        <v>13456617.1</v>
      </c>
      <c r="E28" s="247">
        <f>B28+D28</f>
        <v>26913234.199999999</v>
      </c>
      <c r="F28" s="320">
        <f>E28</f>
        <v>26913234.199999999</v>
      </c>
      <c r="G28" s="39" t="s">
        <v>23</v>
      </c>
      <c r="H28" s="69" t="s">
        <v>151</v>
      </c>
      <c r="I28" s="41" t="s">
        <v>160</v>
      </c>
      <c r="J28" s="23" t="s">
        <v>144</v>
      </c>
      <c r="K28" s="41" t="s">
        <v>150</v>
      </c>
      <c r="L28" s="121">
        <v>1591050</v>
      </c>
      <c r="M28" s="107">
        <v>2019</v>
      </c>
      <c r="N28" s="37" t="s">
        <v>37</v>
      </c>
      <c r="O28" s="74">
        <v>1572300</v>
      </c>
      <c r="P28" s="24" t="s">
        <v>121</v>
      </c>
      <c r="Q28" s="94" t="s">
        <v>87</v>
      </c>
      <c r="R28" s="67" t="s">
        <v>92</v>
      </c>
    </row>
    <row r="29" spans="1:18" ht="92.25" customHeight="1" x14ac:dyDescent="0.25">
      <c r="A29" s="278"/>
      <c r="B29" s="247"/>
      <c r="C29" s="249"/>
      <c r="D29" s="247"/>
      <c r="E29" s="247"/>
      <c r="F29" s="321"/>
      <c r="G29" s="54" t="s">
        <v>27</v>
      </c>
      <c r="H29" s="90" t="s">
        <v>149</v>
      </c>
      <c r="I29" s="26" t="s">
        <v>160</v>
      </c>
      <c r="J29" s="26" t="s">
        <v>144</v>
      </c>
      <c r="K29" s="26" t="s">
        <v>32</v>
      </c>
      <c r="L29" s="48">
        <v>0</v>
      </c>
      <c r="M29" s="54" t="s">
        <v>47</v>
      </c>
      <c r="N29" s="36">
        <v>9</v>
      </c>
      <c r="O29" s="49">
        <v>30</v>
      </c>
      <c r="P29" s="73" t="s">
        <v>121</v>
      </c>
      <c r="Q29" s="95" t="s">
        <v>65</v>
      </c>
      <c r="R29" s="103" t="s">
        <v>63</v>
      </c>
    </row>
    <row r="30" spans="1:18" ht="137.25" customHeight="1" x14ac:dyDescent="0.25">
      <c r="A30" s="278"/>
      <c r="B30" s="247"/>
      <c r="C30" s="249"/>
      <c r="D30" s="247"/>
      <c r="E30" s="247"/>
      <c r="F30" s="321"/>
      <c r="G30" s="26" t="s">
        <v>118</v>
      </c>
      <c r="H30" s="90" t="s">
        <v>200</v>
      </c>
      <c r="I30" s="26" t="s">
        <v>160</v>
      </c>
      <c r="J30" s="54" t="s">
        <v>144</v>
      </c>
      <c r="K30" s="26" t="s">
        <v>190</v>
      </c>
      <c r="L30" s="151">
        <v>0</v>
      </c>
      <c r="M30" s="26" t="s">
        <v>47</v>
      </c>
      <c r="N30" s="151">
        <v>21530</v>
      </c>
      <c r="O30" s="151">
        <v>71768</v>
      </c>
      <c r="P30" s="73" t="s">
        <v>121</v>
      </c>
      <c r="Q30" s="25" t="s">
        <v>64</v>
      </c>
      <c r="R30" s="67" t="s">
        <v>85</v>
      </c>
    </row>
    <row r="31" spans="1:18" ht="75" customHeight="1" x14ac:dyDescent="0.25">
      <c r="A31" s="45"/>
      <c r="C31" s="32"/>
    </row>
    <row r="32" spans="1:18" x14ac:dyDescent="0.25">
      <c r="A32" s="45"/>
      <c r="C32" s="32"/>
    </row>
    <row r="33" spans="1:17" x14ac:dyDescent="0.25">
      <c r="M33" s="38"/>
      <c r="Q33" s="29"/>
    </row>
    <row r="34" spans="1:17" ht="44.25" customHeight="1" x14ac:dyDescent="0.25">
      <c r="A34" s="72" t="s">
        <v>143</v>
      </c>
      <c r="B34" s="40" t="s">
        <v>142</v>
      </c>
      <c r="C34" s="72" t="s">
        <v>116</v>
      </c>
      <c r="D34" s="72" t="s">
        <v>140</v>
      </c>
      <c r="E34" s="72" t="s">
        <v>112</v>
      </c>
      <c r="F34" s="72" t="s">
        <v>115</v>
      </c>
      <c r="G34" s="72" t="s">
        <v>141</v>
      </c>
      <c r="H34" s="72" t="s">
        <v>124</v>
      </c>
      <c r="I34" s="72" t="s">
        <v>123</v>
      </c>
    </row>
    <row r="35" spans="1:17" ht="36" customHeight="1" x14ac:dyDescent="0.25">
      <c r="A35" s="41" t="s">
        <v>25</v>
      </c>
      <c r="B35" s="69" t="s">
        <v>145</v>
      </c>
      <c r="C35" s="39" t="s">
        <v>146</v>
      </c>
      <c r="D35" s="51">
        <v>0</v>
      </c>
      <c r="E35" s="26" t="s">
        <v>199</v>
      </c>
      <c r="F35" s="39" t="s">
        <v>120</v>
      </c>
      <c r="G35" s="39"/>
      <c r="H35" s="52">
        <f>SUM(N5)</f>
        <v>4620</v>
      </c>
      <c r="I35" s="52">
        <f>SUM(O5)</f>
        <v>15400</v>
      </c>
    </row>
    <row r="36" spans="1:17" ht="36.75" customHeight="1" x14ac:dyDescent="0.25">
      <c r="A36" s="41" t="s">
        <v>25</v>
      </c>
      <c r="B36" s="69" t="s">
        <v>145</v>
      </c>
      <c r="C36" s="39" t="s">
        <v>146</v>
      </c>
      <c r="D36" s="51">
        <v>0</v>
      </c>
      <c r="E36" s="41" t="s">
        <v>17</v>
      </c>
      <c r="F36" s="39" t="s">
        <v>144</v>
      </c>
      <c r="G36" s="39"/>
      <c r="H36" s="52">
        <f>N7</f>
        <v>8580</v>
      </c>
      <c r="I36" s="52">
        <f>O7</f>
        <v>28600</v>
      </c>
    </row>
    <row r="37" spans="1:17" ht="41.25" customHeight="1" x14ac:dyDescent="0.25">
      <c r="A37" s="41" t="s">
        <v>40</v>
      </c>
      <c r="B37" s="68" t="s">
        <v>147</v>
      </c>
      <c r="C37" s="39" t="s">
        <v>35</v>
      </c>
      <c r="D37" s="51">
        <v>0</v>
      </c>
      <c r="E37" s="26" t="s">
        <v>199</v>
      </c>
      <c r="F37" s="39" t="s">
        <v>120</v>
      </c>
      <c r="G37" s="39"/>
      <c r="H37" s="52">
        <f>SUM(N10)</f>
        <v>10200</v>
      </c>
      <c r="I37" s="52">
        <f>SUM(O10)</f>
        <v>102000</v>
      </c>
    </row>
    <row r="38" spans="1:17" ht="41.25" customHeight="1" x14ac:dyDescent="0.25">
      <c r="A38" s="41" t="s">
        <v>40</v>
      </c>
      <c r="B38" s="68" t="s">
        <v>147</v>
      </c>
      <c r="C38" s="39" t="s">
        <v>35</v>
      </c>
      <c r="D38" s="51">
        <v>0</v>
      </c>
      <c r="E38" s="82" t="s">
        <v>160</v>
      </c>
      <c r="F38" s="39" t="s">
        <v>144</v>
      </c>
      <c r="G38" s="39"/>
      <c r="H38" s="52">
        <f>SUM(N14)</f>
        <v>15500</v>
      </c>
      <c r="I38" s="52">
        <f>SUM(O14)</f>
        <v>155000</v>
      </c>
    </row>
    <row r="39" spans="1:17" ht="45.75" customHeight="1" x14ac:dyDescent="0.25">
      <c r="A39" s="41" t="s">
        <v>27</v>
      </c>
      <c r="B39" s="68" t="s">
        <v>149</v>
      </c>
      <c r="C39" s="41" t="s">
        <v>32</v>
      </c>
      <c r="D39" s="51">
        <v>0</v>
      </c>
      <c r="E39" s="26" t="s">
        <v>199</v>
      </c>
      <c r="F39" s="39" t="s">
        <v>120</v>
      </c>
      <c r="G39" s="39"/>
      <c r="H39" s="36">
        <f>SUM(N26)</f>
        <v>9</v>
      </c>
      <c r="I39" s="36">
        <f>SUM(O26)</f>
        <v>30</v>
      </c>
    </row>
    <row r="40" spans="1:17" ht="49.5" customHeight="1" x14ac:dyDescent="0.25">
      <c r="A40" s="41" t="s">
        <v>27</v>
      </c>
      <c r="B40" s="68" t="s">
        <v>149</v>
      </c>
      <c r="C40" s="41" t="s">
        <v>32</v>
      </c>
      <c r="D40" s="51">
        <v>0</v>
      </c>
      <c r="E40" s="82" t="s">
        <v>160</v>
      </c>
      <c r="F40" s="39" t="s">
        <v>144</v>
      </c>
      <c r="G40" s="39"/>
      <c r="H40" s="36">
        <f>SUM(N29)</f>
        <v>9</v>
      </c>
      <c r="I40" s="36">
        <f>SUM(O29)</f>
        <v>30</v>
      </c>
    </row>
    <row r="41" spans="1:17" ht="62.25" customHeight="1" x14ac:dyDescent="0.25">
      <c r="A41" s="41" t="s">
        <v>23</v>
      </c>
      <c r="B41" s="68" t="s">
        <v>151</v>
      </c>
      <c r="C41" s="41" t="s">
        <v>150</v>
      </c>
      <c r="D41" s="48">
        <f>SUM(L6+L11+L17+L21+L25)</f>
        <v>2667202</v>
      </c>
      <c r="E41" s="26" t="s">
        <v>199</v>
      </c>
      <c r="F41" s="39" t="s">
        <v>120</v>
      </c>
      <c r="G41" s="39">
        <v>2019</v>
      </c>
      <c r="H41" s="36" t="s">
        <v>47</v>
      </c>
      <c r="I41" s="49">
        <f>SUM(O6+O11+O17+O21+O25)</f>
        <v>1936268</v>
      </c>
    </row>
    <row r="42" spans="1:17" ht="81.75" customHeight="1" x14ac:dyDescent="0.25">
      <c r="A42" s="41" t="s">
        <v>23</v>
      </c>
      <c r="B42" s="68" t="s">
        <v>151</v>
      </c>
      <c r="C42" s="41" t="s">
        <v>150</v>
      </c>
      <c r="D42" s="48">
        <f>SUM(L9+L15+L19+L23+L28)</f>
        <v>3581658</v>
      </c>
      <c r="E42" s="82" t="s">
        <v>160</v>
      </c>
      <c r="F42" s="39" t="s">
        <v>144</v>
      </c>
      <c r="G42" s="39">
        <v>2019</v>
      </c>
      <c r="H42" s="36" t="s">
        <v>47</v>
      </c>
      <c r="I42" s="49">
        <f>SUM(O9+O15+O19+O23+O28)</f>
        <v>2242630</v>
      </c>
    </row>
    <row r="43" spans="1:17" ht="45.95" customHeight="1" x14ac:dyDescent="0.25">
      <c r="A43" s="41" t="s">
        <v>36</v>
      </c>
      <c r="B43" s="161" t="s">
        <v>154</v>
      </c>
      <c r="C43" s="47" t="s">
        <v>198</v>
      </c>
      <c r="D43" s="48">
        <f>SUM(L13)</f>
        <v>2244</v>
      </c>
      <c r="E43" s="26" t="s">
        <v>199</v>
      </c>
      <c r="F43" s="39" t="s">
        <v>120</v>
      </c>
      <c r="G43" s="39">
        <v>2019</v>
      </c>
      <c r="H43" s="36" t="s">
        <v>47</v>
      </c>
      <c r="I43" s="36">
        <f>SUM(O13)</f>
        <v>1571</v>
      </c>
      <c r="J43" s="166">
        <f>SUM(D43-I43)</f>
        <v>673</v>
      </c>
    </row>
    <row r="44" spans="1:17" ht="58.5" customHeight="1" x14ac:dyDescent="0.25">
      <c r="A44" s="41" t="s">
        <v>36</v>
      </c>
      <c r="B44" s="161" t="s">
        <v>154</v>
      </c>
      <c r="C44" s="47" t="s">
        <v>198</v>
      </c>
      <c r="D44" s="48">
        <f>SUM(L16)</f>
        <v>3410</v>
      </c>
      <c r="E44" s="82" t="s">
        <v>160</v>
      </c>
      <c r="F44" s="39" t="s">
        <v>144</v>
      </c>
      <c r="G44" s="39">
        <v>2019</v>
      </c>
      <c r="H44" s="36" t="s">
        <v>47</v>
      </c>
      <c r="I44" s="36">
        <f>SUM(O16)</f>
        <v>2387</v>
      </c>
      <c r="J44" s="166">
        <f>SUM(D44-I44)</f>
        <v>1023</v>
      </c>
    </row>
    <row r="45" spans="1:17" ht="56.25" customHeight="1" x14ac:dyDescent="0.25">
      <c r="A45" s="26" t="s">
        <v>118</v>
      </c>
      <c r="B45" s="162" t="s">
        <v>200</v>
      </c>
      <c r="C45" s="26" t="s">
        <v>190</v>
      </c>
      <c r="D45" s="48">
        <v>0</v>
      </c>
      <c r="E45" s="26" t="s">
        <v>199</v>
      </c>
      <c r="F45" s="26" t="s">
        <v>120</v>
      </c>
      <c r="G45" s="54"/>
      <c r="H45" s="36">
        <f>SUM(N27)</f>
        <v>21525</v>
      </c>
      <c r="I45" s="36">
        <f>SUM(O27)</f>
        <v>71750</v>
      </c>
    </row>
    <row r="46" spans="1:17" ht="57.75" customHeight="1" x14ac:dyDescent="0.25">
      <c r="A46" s="26" t="s">
        <v>118</v>
      </c>
      <c r="B46" s="159" t="s">
        <v>200</v>
      </c>
      <c r="C46" s="26" t="s">
        <v>190</v>
      </c>
      <c r="D46" s="48">
        <v>0</v>
      </c>
      <c r="E46" s="82" t="s">
        <v>160</v>
      </c>
      <c r="F46" s="26" t="s">
        <v>144</v>
      </c>
      <c r="G46" s="54"/>
      <c r="H46" s="36">
        <f>SUM(N30)</f>
        <v>21530</v>
      </c>
      <c r="I46" s="36">
        <f>SUM(O30)</f>
        <v>71768</v>
      </c>
    </row>
    <row r="47" spans="1:17" ht="50.25" customHeight="1" x14ac:dyDescent="0.25">
      <c r="A47" s="26" t="s">
        <v>118</v>
      </c>
      <c r="B47" s="118" t="s">
        <v>153</v>
      </c>
      <c r="C47" s="26" t="s">
        <v>189</v>
      </c>
      <c r="D47" s="48">
        <v>0</v>
      </c>
      <c r="E47" s="26" t="s">
        <v>199</v>
      </c>
      <c r="F47" s="26" t="s">
        <v>120</v>
      </c>
      <c r="G47" s="54"/>
      <c r="H47" s="55">
        <f>SUM(N18+N22)</f>
        <v>19</v>
      </c>
      <c r="I47" s="55">
        <f>SUM(O18+O22)</f>
        <v>96</v>
      </c>
    </row>
    <row r="48" spans="1:17" ht="36" customHeight="1" x14ac:dyDescent="0.25">
      <c r="A48" s="26" t="s">
        <v>118</v>
      </c>
      <c r="B48" s="118" t="s">
        <v>153</v>
      </c>
      <c r="C48" s="26" t="s">
        <v>189</v>
      </c>
      <c r="D48" s="48">
        <v>0</v>
      </c>
      <c r="E48" s="82" t="s">
        <v>160</v>
      </c>
      <c r="F48" s="26" t="s">
        <v>144</v>
      </c>
      <c r="G48" s="54"/>
      <c r="H48" s="55">
        <f>SUM(N20+N24)</f>
        <v>34</v>
      </c>
      <c r="I48" s="55">
        <f>SUM(O20+O24)</f>
        <v>177</v>
      </c>
    </row>
  </sheetData>
  <mergeCells count="92">
    <mergeCell ref="F28:F30"/>
    <mergeCell ref="F21:F22"/>
    <mergeCell ref="A25:A30"/>
    <mergeCell ref="B25:B27"/>
    <mergeCell ref="C25:C27"/>
    <mergeCell ref="D25:D27"/>
    <mergeCell ref="E25:E27"/>
    <mergeCell ref="B23:B24"/>
    <mergeCell ref="C23:C24"/>
    <mergeCell ref="D23:D24"/>
    <mergeCell ref="E23:E24"/>
    <mergeCell ref="F23:F24"/>
    <mergeCell ref="F25:F27"/>
    <mergeCell ref="B28:B30"/>
    <mergeCell ref="C28:C30"/>
    <mergeCell ref="D28:D30"/>
    <mergeCell ref="E28:E30"/>
    <mergeCell ref="A17:A24"/>
    <mergeCell ref="B17:B18"/>
    <mergeCell ref="C17:C18"/>
    <mergeCell ref="D17:D18"/>
    <mergeCell ref="E17:E18"/>
    <mergeCell ref="B21:B22"/>
    <mergeCell ref="C21:C22"/>
    <mergeCell ref="D21:D22"/>
    <mergeCell ref="E21:E22"/>
    <mergeCell ref="F17:F18"/>
    <mergeCell ref="B19:B20"/>
    <mergeCell ref="C19:C20"/>
    <mergeCell ref="D19:D20"/>
    <mergeCell ref="E19:E20"/>
    <mergeCell ref="F19:F20"/>
    <mergeCell ref="N11:N12"/>
    <mergeCell ref="O11:O12"/>
    <mergeCell ref="P11:P12"/>
    <mergeCell ref="Q11:Q12"/>
    <mergeCell ref="R11:R12"/>
    <mergeCell ref="B14:B16"/>
    <mergeCell ref="C14:C16"/>
    <mergeCell ref="D14:D16"/>
    <mergeCell ref="E14:E16"/>
    <mergeCell ref="F14:F16"/>
    <mergeCell ref="H11:H12"/>
    <mergeCell ref="I11:I12"/>
    <mergeCell ref="J11:J12"/>
    <mergeCell ref="K11:K12"/>
    <mergeCell ref="L11:L12"/>
    <mergeCell ref="M11:M12"/>
    <mergeCell ref="P7:P8"/>
    <mergeCell ref="Q7:Q8"/>
    <mergeCell ref="R7:R8"/>
    <mergeCell ref="A10:A16"/>
    <mergeCell ref="B10:B13"/>
    <mergeCell ref="C10:C13"/>
    <mergeCell ref="D10:D13"/>
    <mergeCell ref="E10:E13"/>
    <mergeCell ref="F10:F13"/>
    <mergeCell ref="G11:G12"/>
    <mergeCell ref="J7:J8"/>
    <mergeCell ref="K7:K8"/>
    <mergeCell ref="L7:L8"/>
    <mergeCell ref="M7:M8"/>
    <mergeCell ref="N7:N8"/>
    <mergeCell ref="O7:O8"/>
    <mergeCell ref="D7:D9"/>
    <mergeCell ref="E7:E9"/>
    <mergeCell ref="F7:F9"/>
    <mergeCell ref="G7:G8"/>
    <mergeCell ref="H7:H8"/>
    <mergeCell ref="I7:I8"/>
    <mergeCell ref="Q3:Q4"/>
    <mergeCell ref="R3:R4"/>
    <mergeCell ref="A5:A9"/>
    <mergeCell ref="B5:B6"/>
    <mergeCell ref="C5:C6"/>
    <mergeCell ref="D5:D6"/>
    <mergeCell ref="E5:E6"/>
    <mergeCell ref="F5:F6"/>
    <mergeCell ref="B7:B9"/>
    <mergeCell ref="C7:C9"/>
    <mergeCell ref="J3:J4"/>
    <mergeCell ref="K3:K4"/>
    <mergeCell ref="L3:M3"/>
    <mergeCell ref="N3:N4"/>
    <mergeCell ref="O3:O4"/>
    <mergeCell ref="P3:P4"/>
    <mergeCell ref="I3:I4"/>
    <mergeCell ref="A3:A4"/>
    <mergeCell ref="B3:B4"/>
    <mergeCell ref="C3:E3"/>
    <mergeCell ref="F3:F4"/>
    <mergeCell ref="G3:H3"/>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62"/>
  <sheetViews>
    <sheetView topLeftCell="A40" zoomScale="80" zoomScaleNormal="80" workbookViewId="0">
      <selection activeCell="O32" sqref="O32"/>
    </sheetView>
  </sheetViews>
  <sheetFormatPr defaultRowHeight="15" x14ac:dyDescent="0.25"/>
  <cols>
    <col min="1" max="1" width="17.85546875" customWidth="1"/>
    <col min="2" max="2" width="14.85546875" style="11" customWidth="1"/>
    <col min="3" max="3" width="13.5703125" customWidth="1"/>
    <col min="4" max="4" width="16.85546875" customWidth="1"/>
    <col min="5" max="5" width="16" customWidth="1"/>
    <col min="6" max="6" width="16.42578125" customWidth="1"/>
    <col min="7" max="7" width="8.85546875" customWidth="1"/>
    <col min="8" max="8" width="11.85546875" customWidth="1"/>
    <col min="9" max="9" width="9.5703125" customWidth="1"/>
    <col min="10" max="10" width="12.42578125" customWidth="1"/>
    <col min="11" max="11" width="15.5703125" bestFit="1" customWidth="1"/>
    <col min="12" max="12" width="10.42578125" customWidth="1"/>
    <col min="13" max="13" width="17.5703125" customWidth="1"/>
    <col min="14" max="14" width="10.42578125" style="16" customWidth="1"/>
    <col min="15" max="15" width="11.5703125" style="16" customWidth="1"/>
    <col min="16" max="16" width="12.140625" customWidth="1"/>
    <col min="17" max="17" width="71.5703125" style="21" hidden="1" customWidth="1"/>
    <col min="18" max="18" width="79.5703125" style="21" customWidth="1"/>
  </cols>
  <sheetData>
    <row r="1" spans="1:18" ht="18.75" x14ac:dyDescent="0.3">
      <c r="A1" s="327" t="s">
        <v>30</v>
      </c>
      <c r="B1" s="327"/>
      <c r="C1" s="327"/>
      <c r="D1" s="327"/>
      <c r="E1" s="327"/>
    </row>
    <row r="2" spans="1:18" ht="15.75" thickBot="1" x14ac:dyDescent="0.3"/>
    <row r="3" spans="1:18" ht="15" customHeight="1" x14ac:dyDescent="0.25">
      <c r="A3" s="328" t="s">
        <v>136</v>
      </c>
      <c r="B3" s="330" t="s">
        <v>137</v>
      </c>
      <c r="C3" s="332" t="s">
        <v>2</v>
      </c>
      <c r="D3" s="333"/>
      <c r="E3" s="333"/>
      <c r="F3" s="332" t="s">
        <v>18</v>
      </c>
      <c r="G3" s="335" t="s">
        <v>111</v>
      </c>
      <c r="H3" s="335"/>
      <c r="I3" s="349" t="s">
        <v>127</v>
      </c>
      <c r="J3" s="361" t="s">
        <v>115</v>
      </c>
      <c r="K3" s="349" t="s">
        <v>116</v>
      </c>
      <c r="L3" s="333" t="s">
        <v>5</v>
      </c>
      <c r="M3" s="363"/>
      <c r="N3" s="349" t="s">
        <v>124</v>
      </c>
      <c r="O3" s="349" t="s">
        <v>123</v>
      </c>
      <c r="P3" s="349" t="s">
        <v>122</v>
      </c>
      <c r="Q3" s="351" t="s">
        <v>9</v>
      </c>
      <c r="R3" s="353" t="s">
        <v>61</v>
      </c>
    </row>
    <row r="4" spans="1:18" ht="63.75" customHeight="1" thickBot="1" x14ac:dyDescent="0.3">
      <c r="A4" s="329"/>
      <c r="B4" s="331"/>
      <c r="C4" s="13" t="s">
        <v>10</v>
      </c>
      <c r="D4" s="14" t="s">
        <v>11</v>
      </c>
      <c r="E4" s="59" t="s">
        <v>43</v>
      </c>
      <c r="F4" s="334"/>
      <c r="G4" s="75" t="s">
        <v>113</v>
      </c>
      <c r="H4" s="12" t="s">
        <v>114</v>
      </c>
      <c r="I4" s="350"/>
      <c r="J4" s="362"/>
      <c r="K4" s="350"/>
      <c r="L4" s="12" t="s">
        <v>126</v>
      </c>
      <c r="M4" s="12" t="s">
        <v>125</v>
      </c>
      <c r="N4" s="350"/>
      <c r="O4" s="350"/>
      <c r="P4" s="350"/>
      <c r="Q4" s="352"/>
      <c r="R4" s="353"/>
    </row>
    <row r="5" spans="1:18" ht="197.25" customHeight="1" x14ac:dyDescent="0.25">
      <c r="A5" s="354" t="s">
        <v>159</v>
      </c>
      <c r="B5" s="356">
        <v>1045010.2</v>
      </c>
      <c r="C5" s="357" t="s">
        <v>132</v>
      </c>
      <c r="D5" s="356">
        <f>(B5-(B5*0.0411))*0.78/0.22</f>
        <v>3552759.1773109087</v>
      </c>
      <c r="E5" s="347">
        <f>B5+D5</f>
        <v>4597769.3773109084</v>
      </c>
      <c r="F5" s="347">
        <f>E5</f>
        <v>4597769.3773109084</v>
      </c>
      <c r="G5" s="26" t="s">
        <v>118</v>
      </c>
      <c r="H5" s="106" t="s">
        <v>128</v>
      </c>
      <c r="I5" s="63" t="s">
        <v>119</v>
      </c>
      <c r="J5" s="106" t="s">
        <v>120</v>
      </c>
      <c r="K5" s="65" t="s">
        <v>29</v>
      </c>
      <c r="L5" s="62">
        <v>0</v>
      </c>
      <c r="M5" s="62" t="s">
        <v>47</v>
      </c>
      <c r="N5" s="23">
        <v>1.26</v>
      </c>
      <c r="O5" s="23">
        <v>4.2</v>
      </c>
      <c r="P5" s="24" t="s">
        <v>121</v>
      </c>
      <c r="Q5" s="88" t="s">
        <v>201</v>
      </c>
      <c r="R5" s="67" t="s">
        <v>208</v>
      </c>
    </row>
    <row r="6" spans="1:18" ht="134.25" customHeight="1" x14ac:dyDescent="0.25">
      <c r="A6" s="336"/>
      <c r="B6" s="356"/>
      <c r="C6" s="358"/>
      <c r="D6" s="356"/>
      <c r="E6" s="347"/>
      <c r="F6" s="359"/>
      <c r="G6" s="62" t="s">
        <v>31</v>
      </c>
      <c r="H6" s="63" t="s">
        <v>155</v>
      </c>
      <c r="I6" s="63" t="s">
        <v>119</v>
      </c>
      <c r="J6" s="106" t="s">
        <v>120</v>
      </c>
      <c r="K6" s="61" t="s">
        <v>138</v>
      </c>
      <c r="L6" s="62">
        <v>0</v>
      </c>
      <c r="M6" s="62" t="s">
        <v>47</v>
      </c>
      <c r="N6" s="23">
        <v>0.48</v>
      </c>
      <c r="O6" s="23">
        <v>1.6</v>
      </c>
      <c r="P6" s="24" t="s">
        <v>121</v>
      </c>
      <c r="Q6" s="88" t="s">
        <v>202</v>
      </c>
      <c r="R6" s="67" t="s">
        <v>117</v>
      </c>
    </row>
    <row r="7" spans="1:18" ht="82.5" customHeight="1" x14ac:dyDescent="0.25">
      <c r="A7" s="336"/>
      <c r="B7" s="356"/>
      <c r="C7" s="358"/>
      <c r="D7" s="356"/>
      <c r="E7" s="347"/>
      <c r="F7" s="359"/>
      <c r="G7" s="23" t="s">
        <v>38</v>
      </c>
      <c r="H7" s="63" t="s">
        <v>154</v>
      </c>
      <c r="I7" s="63" t="s">
        <v>119</v>
      </c>
      <c r="J7" s="106" t="s">
        <v>120</v>
      </c>
      <c r="K7" s="23" t="s">
        <v>131</v>
      </c>
      <c r="L7" s="77">
        <v>860</v>
      </c>
      <c r="M7" s="26">
        <v>2019</v>
      </c>
      <c r="N7" s="23" t="s">
        <v>37</v>
      </c>
      <c r="O7" s="23">
        <v>0</v>
      </c>
      <c r="P7" s="24" t="s">
        <v>121</v>
      </c>
      <c r="Q7" s="67" t="s">
        <v>203</v>
      </c>
      <c r="R7" s="67" t="s">
        <v>204</v>
      </c>
    </row>
    <row r="8" spans="1:18" ht="265.5" customHeight="1" x14ac:dyDescent="0.25">
      <c r="A8" s="336"/>
      <c r="B8" s="360">
        <v>103456013.59999999</v>
      </c>
      <c r="C8" s="371" t="s">
        <v>133</v>
      </c>
      <c r="D8" s="339">
        <f>(B8-(B8*0.0411))*0.78/0.22</f>
        <v>351723171.47277814</v>
      </c>
      <c r="E8" s="343">
        <f>B8+D8</f>
        <v>455179185.07277811</v>
      </c>
      <c r="F8" s="343">
        <f>E8</f>
        <v>455179185.07277811</v>
      </c>
      <c r="G8" s="23" t="s">
        <v>118</v>
      </c>
      <c r="H8" s="106" t="s">
        <v>128</v>
      </c>
      <c r="I8" s="63" t="s">
        <v>119</v>
      </c>
      <c r="J8" s="106" t="s">
        <v>120</v>
      </c>
      <c r="K8" s="61" t="s">
        <v>29</v>
      </c>
      <c r="L8" s="62">
        <v>0</v>
      </c>
      <c r="M8" s="62" t="s">
        <v>47</v>
      </c>
      <c r="N8" s="62">
        <v>41.5</v>
      </c>
      <c r="O8" s="23">
        <v>138</v>
      </c>
      <c r="P8" s="24" t="s">
        <v>121</v>
      </c>
      <c r="Q8" s="67" t="s">
        <v>214</v>
      </c>
      <c r="R8" s="67" t="s">
        <v>215</v>
      </c>
    </row>
    <row r="9" spans="1:18" ht="181.5" customHeight="1" x14ac:dyDescent="0.25">
      <c r="A9" s="336"/>
      <c r="B9" s="356"/>
      <c r="C9" s="359"/>
      <c r="D9" s="339"/>
      <c r="E9" s="343"/>
      <c r="F9" s="341"/>
      <c r="G9" s="60" t="s">
        <v>31</v>
      </c>
      <c r="H9" s="63" t="s">
        <v>155</v>
      </c>
      <c r="I9" s="63" t="s">
        <v>119</v>
      </c>
      <c r="J9" s="64" t="s">
        <v>120</v>
      </c>
      <c r="K9" s="87" t="s">
        <v>138</v>
      </c>
      <c r="L9" s="60">
        <v>0</v>
      </c>
      <c r="M9" s="60" t="s">
        <v>47</v>
      </c>
      <c r="N9" s="23">
        <v>84</v>
      </c>
      <c r="O9" s="23">
        <v>279</v>
      </c>
      <c r="P9" s="24" t="s">
        <v>121</v>
      </c>
      <c r="Q9" s="67" t="s">
        <v>218</v>
      </c>
      <c r="R9" s="67" t="s">
        <v>216</v>
      </c>
    </row>
    <row r="10" spans="1:18" ht="73.5" customHeight="1" x14ac:dyDescent="0.25">
      <c r="A10" s="355"/>
      <c r="B10" s="338"/>
      <c r="C10" s="340"/>
      <c r="D10" s="339"/>
      <c r="E10" s="343"/>
      <c r="F10" s="341"/>
      <c r="G10" s="41" t="s">
        <v>38</v>
      </c>
      <c r="H10" s="64" t="s">
        <v>154</v>
      </c>
      <c r="I10" s="63" t="s">
        <v>119</v>
      </c>
      <c r="J10" s="64" t="s">
        <v>120</v>
      </c>
      <c r="K10" s="47" t="s">
        <v>131</v>
      </c>
      <c r="L10" s="77">
        <v>120120</v>
      </c>
      <c r="M10" s="26">
        <v>2020</v>
      </c>
      <c r="N10" s="23" t="s">
        <v>37</v>
      </c>
      <c r="O10" s="23">
        <v>0</v>
      </c>
      <c r="P10" s="24" t="s">
        <v>121</v>
      </c>
      <c r="Q10" s="67" t="s">
        <v>219</v>
      </c>
      <c r="R10" s="67" t="s">
        <v>220</v>
      </c>
    </row>
    <row r="11" spans="1:18" ht="57.95" customHeight="1" x14ac:dyDescent="0.25">
      <c r="A11" s="336" t="s">
        <v>158</v>
      </c>
      <c r="B11" s="338">
        <v>18564284.100000001</v>
      </c>
      <c r="C11" s="340" t="s">
        <v>134</v>
      </c>
      <c r="D11" s="338">
        <f>(B11-(B11*0.0411))*0.5/0.5</f>
        <v>17801292.023490001</v>
      </c>
      <c r="E11" s="342">
        <f>B11+D11</f>
        <v>36365576.123490006</v>
      </c>
      <c r="F11" s="344">
        <f>E11</f>
        <v>36365576.123490006</v>
      </c>
      <c r="G11" s="244" t="s">
        <v>31</v>
      </c>
      <c r="H11" s="364" t="s">
        <v>155</v>
      </c>
      <c r="I11" s="366" t="s">
        <v>119</v>
      </c>
      <c r="J11" s="364" t="s">
        <v>120</v>
      </c>
      <c r="K11" s="364" t="s">
        <v>130</v>
      </c>
      <c r="L11" s="369">
        <v>0</v>
      </c>
      <c r="M11" s="369" t="s">
        <v>47</v>
      </c>
      <c r="N11" s="369">
        <v>69</v>
      </c>
      <c r="O11" s="369">
        <v>230</v>
      </c>
      <c r="P11" s="372" t="s">
        <v>121</v>
      </c>
      <c r="Q11" s="375" t="s">
        <v>217</v>
      </c>
      <c r="R11" s="315" t="s">
        <v>205</v>
      </c>
    </row>
    <row r="12" spans="1:18" ht="21" customHeight="1" x14ac:dyDescent="0.25">
      <c r="A12" s="336"/>
      <c r="B12" s="339"/>
      <c r="C12" s="341"/>
      <c r="D12" s="339"/>
      <c r="E12" s="343"/>
      <c r="F12" s="345"/>
      <c r="G12" s="244"/>
      <c r="H12" s="365"/>
      <c r="I12" s="367"/>
      <c r="J12" s="365"/>
      <c r="K12" s="365"/>
      <c r="L12" s="369"/>
      <c r="M12" s="369"/>
      <c r="N12" s="369"/>
      <c r="O12" s="369"/>
      <c r="P12" s="373"/>
      <c r="Q12" s="375"/>
      <c r="R12" s="315"/>
    </row>
    <row r="13" spans="1:18" ht="57.75" customHeight="1" x14ac:dyDescent="0.25">
      <c r="A13" s="336"/>
      <c r="B13" s="339"/>
      <c r="C13" s="341"/>
      <c r="D13" s="339"/>
      <c r="E13" s="343"/>
      <c r="F13" s="345"/>
      <c r="G13" s="244"/>
      <c r="H13" s="365"/>
      <c r="I13" s="368"/>
      <c r="J13" s="365"/>
      <c r="K13" s="365"/>
      <c r="L13" s="370"/>
      <c r="M13" s="370"/>
      <c r="N13" s="370"/>
      <c r="O13" s="370"/>
      <c r="P13" s="374"/>
      <c r="Q13" s="376"/>
      <c r="R13" s="315"/>
    </row>
    <row r="14" spans="1:18" ht="133.5" customHeight="1" x14ac:dyDescent="0.25">
      <c r="A14" s="336"/>
      <c r="B14" s="339"/>
      <c r="C14" s="341"/>
      <c r="D14" s="339"/>
      <c r="E14" s="343"/>
      <c r="F14" s="345"/>
      <c r="G14" s="56" t="s">
        <v>38</v>
      </c>
      <c r="H14" s="81" t="s">
        <v>154</v>
      </c>
      <c r="I14" s="81" t="s">
        <v>119</v>
      </c>
      <c r="J14" s="81" t="s">
        <v>120</v>
      </c>
      <c r="K14" s="84" t="s">
        <v>131</v>
      </c>
      <c r="L14" s="77">
        <v>289241</v>
      </c>
      <c r="M14" s="107">
        <v>2019</v>
      </c>
      <c r="N14" s="23" t="s">
        <v>37</v>
      </c>
      <c r="O14" s="23">
        <v>16069</v>
      </c>
      <c r="P14" s="24" t="s">
        <v>121</v>
      </c>
      <c r="Q14" s="67" t="s">
        <v>98</v>
      </c>
      <c r="R14" s="67" t="s">
        <v>100</v>
      </c>
    </row>
    <row r="15" spans="1:18" ht="87" customHeight="1" x14ac:dyDescent="0.25">
      <c r="A15" s="336"/>
      <c r="B15" s="360">
        <v>18564284</v>
      </c>
      <c r="C15" s="371" t="s">
        <v>135</v>
      </c>
      <c r="D15" s="338">
        <f>(B15-(B15*0.0411))*0.5/0.5</f>
        <v>17801291.9276</v>
      </c>
      <c r="E15" s="346">
        <f>B15+D15</f>
        <v>36365575.927599996</v>
      </c>
      <c r="F15" s="344">
        <f>E15</f>
        <v>36365575.927599996</v>
      </c>
      <c r="G15" s="255" t="s">
        <v>38</v>
      </c>
      <c r="H15" s="380" t="s">
        <v>154</v>
      </c>
      <c r="I15" s="380" t="s">
        <v>119</v>
      </c>
      <c r="J15" s="366" t="s">
        <v>120</v>
      </c>
      <c r="K15" s="377" t="s">
        <v>131</v>
      </c>
      <c r="L15" s="377">
        <v>144620</v>
      </c>
      <c r="M15" s="383">
        <v>2019</v>
      </c>
      <c r="N15" s="377" t="s">
        <v>37</v>
      </c>
      <c r="O15" s="377">
        <v>20696</v>
      </c>
      <c r="P15" s="284" t="s">
        <v>121</v>
      </c>
      <c r="Q15" s="379" t="s">
        <v>99</v>
      </c>
      <c r="R15" s="268" t="s">
        <v>101</v>
      </c>
    </row>
    <row r="16" spans="1:18" ht="46.5" customHeight="1" x14ac:dyDescent="0.25">
      <c r="A16" s="336"/>
      <c r="B16" s="356"/>
      <c r="C16" s="359"/>
      <c r="D16" s="339"/>
      <c r="E16" s="347"/>
      <c r="F16" s="345"/>
      <c r="G16" s="256"/>
      <c r="H16" s="382"/>
      <c r="I16" s="382"/>
      <c r="J16" s="368"/>
      <c r="K16" s="370"/>
      <c r="L16" s="370"/>
      <c r="M16" s="384"/>
      <c r="N16" s="370"/>
      <c r="O16" s="370"/>
      <c r="P16" s="378"/>
      <c r="Q16" s="376"/>
      <c r="R16" s="270"/>
    </row>
    <row r="17" spans="1:18" ht="59.1" customHeight="1" x14ac:dyDescent="0.25">
      <c r="A17" s="336"/>
      <c r="B17" s="356"/>
      <c r="C17" s="359"/>
      <c r="D17" s="339"/>
      <c r="E17" s="347"/>
      <c r="F17" s="345"/>
      <c r="G17" s="255" t="s">
        <v>31</v>
      </c>
      <c r="H17" s="380" t="s">
        <v>155</v>
      </c>
      <c r="I17" s="380" t="s">
        <v>119</v>
      </c>
      <c r="J17" s="380" t="s">
        <v>120</v>
      </c>
      <c r="K17" s="380" t="s">
        <v>130</v>
      </c>
      <c r="L17" s="377">
        <v>0</v>
      </c>
      <c r="M17" s="377" t="s">
        <v>47</v>
      </c>
      <c r="N17" s="377">
        <v>16</v>
      </c>
      <c r="O17" s="377">
        <v>55</v>
      </c>
      <c r="P17" s="284" t="s">
        <v>121</v>
      </c>
      <c r="Q17" s="379" t="s">
        <v>206</v>
      </c>
      <c r="R17" s="268" t="s">
        <v>207</v>
      </c>
    </row>
    <row r="18" spans="1:18" ht="74.25" customHeight="1" thickBot="1" x14ac:dyDescent="0.3">
      <c r="A18" s="337"/>
      <c r="B18" s="403"/>
      <c r="C18" s="404"/>
      <c r="D18" s="339"/>
      <c r="E18" s="348"/>
      <c r="F18" s="345"/>
      <c r="G18" s="245"/>
      <c r="H18" s="381"/>
      <c r="I18" s="382"/>
      <c r="J18" s="365"/>
      <c r="K18" s="381"/>
      <c r="L18" s="401"/>
      <c r="M18" s="401"/>
      <c r="N18" s="401"/>
      <c r="O18" s="401"/>
      <c r="P18" s="381"/>
      <c r="Q18" s="402"/>
      <c r="R18" s="270"/>
    </row>
    <row r="19" spans="1:18" ht="66.75" customHeight="1" x14ac:dyDescent="0.25">
      <c r="A19" s="354" t="s">
        <v>157</v>
      </c>
      <c r="B19" s="387">
        <v>18750000</v>
      </c>
      <c r="C19" s="390" t="s">
        <v>133</v>
      </c>
      <c r="D19" s="393">
        <f>B19</f>
        <v>18750000</v>
      </c>
      <c r="E19" s="394">
        <f>B19+D19</f>
        <v>37500000</v>
      </c>
      <c r="F19" s="395">
        <f>E19</f>
        <v>37500000</v>
      </c>
      <c r="G19" s="115" t="s">
        <v>118</v>
      </c>
      <c r="H19" s="106" t="s">
        <v>128</v>
      </c>
      <c r="I19" s="113" t="s">
        <v>160</v>
      </c>
      <c r="J19" s="113" t="s">
        <v>16</v>
      </c>
      <c r="K19" s="114" t="s">
        <v>29</v>
      </c>
      <c r="L19" s="112">
        <v>0</v>
      </c>
      <c r="M19" s="112" t="s">
        <v>47</v>
      </c>
      <c r="N19" s="112">
        <v>392</v>
      </c>
      <c r="O19" s="124">
        <v>1961</v>
      </c>
      <c r="P19" s="89" t="s">
        <v>121</v>
      </c>
      <c r="Q19" s="398" t="s">
        <v>102</v>
      </c>
      <c r="R19" s="316" t="s">
        <v>103</v>
      </c>
    </row>
    <row r="20" spans="1:18" ht="57.75" customHeight="1" x14ac:dyDescent="0.25">
      <c r="A20" s="336"/>
      <c r="B20" s="388"/>
      <c r="C20" s="391"/>
      <c r="D20" s="356"/>
      <c r="E20" s="347"/>
      <c r="F20" s="396"/>
      <c r="G20" s="385" t="s">
        <v>31</v>
      </c>
      <c r="H20" s="366" t="s">
        <v>155</v>
      </c>
      <c r="I20" s="380" t="s">
        <v>160</v>
      </c>
      <c r="J20" s="380" t="s">
        <v>144</v>
      </c>
      <c r="K20" s="61" t="s">
        <v>138</v>
      </c>
      <c r="L20" s="385">
        <v>0</v>
      </c>
      <c r="M20" s="385" t="s">
        <v>47</v>
      </c>
      <c r="N20" s="76">
        <v>0.9</v>
      </c>
      <c r="O20" s="23">
        <v>4.7</v>
      </c>
      <c r="P20" s="284" t="s">
        <v>121</v>
      </c>
      <c r="Q20" s="269"/>
      <c r="R20" s="399"/>
    </row>
    <row r="21" spans="1:18" ht="95.25" customHeight="1" x14ac:dyDescent="0.25">
      <c r="A21" s="336"/>
      <c r="B21" s="388"/>
      <c r="C21" s="391"/>
      <c r="D21" s="356"/>
      <c r="E21" s="347"/>
      <c r="F21" s="396"/>
      <c r="G21" s="386"/>
      <c r="H21" s="368"/>
      <c r="I21" s="382"/>
      <c r="J21" s="382"/>
      <c r="K21" s="61" t="s">
        <v>130</v>
      </c>
      <c r="L21" s="386"/>
      <c r="M21" s="386"/>
      <c r="N21" s="76">
        <v>18</v>
      </c>
      <c r="O21" s="23">
        <v>91.8</v>
      </c>
      <c r="P21" s="378"/>
      <c r="Q21" s="270"/>
      <c r="R21" s="400"/>
    </row>
    <row r="22" spans="1:18" ht="90.75" customHeight="1" thickBot="1" x14ac:dyDescent="0.3">
      <c r="A22" s="336"/>
      <c r="B22" s="389"/>
      <c r="C22" s="392"/>
      <c r="D22" s="338"/>
      <c r="E22" s="342"/>
      <c r="F22" s="397"/>
      <c r="G22" s="62" t="s">
        <v>36</v>
      </c>
      <c r="H22" s="63" t="s">
        <v>154</v>
      </c>
      <c r="I22" s="82" t="s">
        <v>160</v>
      </c>
      <c r="J22" s="64" t="s">
        <v>144</v>
      </c>
      <c r="K22" s="23" t="s">
        <v>131</v>
      </c>
      <c r="L22" s="77">
        <v>7224</v>
      </c>
      <c r="M22" s="123">
        <v>2019</v>
      </c>
      <c r="N22" s="85" t="s">
        <v>37</v>
      </c>
      <c r="O22" s="23">
        <v>0</v>
      </c>
      <c r="P22" s="78" t="s">
        <v>121</v>
      </c>
      <c r="Q22" s="83" t="s">
        <v>95</v>
      </c>
      <c r="R22" s="92" t="s">
        <v>106</v>
      </c>
    </row>
    <row r="23" spans="1:18" ht="58.5" customHeight="1" x14ac:dyDescent="0.25">
      <c r="A23" s="336"/>
      <c r="B23" s="405">
        <v>11250000</v>
      </c>
      <c r="C23" s="406" t="s">
        <v>134</v>
      </c>
      <c r="D23" s="360">
        <f>B23</f>
        <v>11250000</v>
      </c>
      <c r="E23" s="346">
        <f>B23+D23</f>
        <v>22500000</v>
      </c>
      <c r="F23" s="407">
        <f>E23</f>
        <v>22500000</v>
      </c>
      <c r="G23" s="115" t="s">
        <v>118</v>
      </c>
      <c r="H23" s="108" t="s">
        <v>128</v>
      </c>
      <c r="I23" s="82" t="s">
        <v>119</v>
      </c>
      <c r="J23" s="106" t="s">
        <v>120</v>
      </c>
      <c r="K23" s="110" t="s">
        <v>29</v>
      </c>
      <c r="L23" s="86">
        <v>0</v>
      </c>
      <c r="M23" s="62" t="s">
        <v>47</v>
      </c>
      <c r="N23" s="62">
        <v>52</v>
      </c>
      <c r="O23" s="23">
        <v>260</v>
      </c>
      <c r="P23" s="91" t="s">
        <v>121</v>
      </c>
      <c r="Q23" s="268" t="s">
        <v>93</v>
      </c>
      <c r="R23" s="316" t="s">
        <v>107</v>
      </c>
    </row>
    <row r="24" spans="1:18" ht="66" customHeight="1" x14ac:dyDescent="0.25">
      <c r="A24" s="336"/>
      <c r="B24" s="388"/>
      <c r="C24" s="391"/>
      <c r="D24" s="356"/>
      <c r="E24" s="347"/>
      <c r="F24" s="396"/>
      <c r="G24" s="385" t="s">
        <v>31</v>
      </c>
      <c r="H24" s="366" t="s">
        <v>155</v>
      </c>
      <c r="I24" s="380" t="s">
        <v>119</v>
      </c>
      <c r="J24" s="380" t="s">
        <v>120</v>
      </c>
      <c r="K24" s="61" t="s">
        <v>138</v>
      </c>
      <c r="L24" s="385">
        <v>0</v>
      </c>
      <c r="M24" s="385" t="s">
        <v>47</v>
      </c>
      <c r="N24" s="23">
        <v>0.6</v>
      </c>
      <c r="O24" s="23">
        <v>3</v>
      </c>
      <c r="P24" s="372" t="s">
        <v>121</v>
      </c>
      <c r="Q24" s="269"/>
      <c r="R24" s="399"/>
    </row>
    <row r="25" spans="1:18" ht="90" customHeight="1" x14ac:dyDescent="0.25">
      <c r="A25" s="336"/>
      <c r="B25" s="388"/>
      <c r="C25" s="391"/>
      <c r="D25" s="356"/>
      <c r="E25" s="347"/>
      <c r="F25" s="396"/>
      <c r="G25" s="386"/>
      <c r="H25" s="368"/>
      <c r="I25" s="382"/>
      <c r="J25" s="382"/>
      <c r="K25" s="61" t="s">
        <v>130</v>
      </c>
      <c r="L25" s="386"/>
      <c r="M25" s="386"/>
      <c r="N25" s="77">
        <v>5</v>
      </c>
      <c r="O25" s="23">
        <v>26</v>
      </c>
      <c r="P25" s="374"/>
      <c r="Q25" s="270"/>
      <c r="R25" s="400"/>
    </row>
    <row r="26" spans="1:18" ht="86.25" customHeight="1" x14ac:dyDescent="0.25">
      <c r="A26" s="336"/>
      <c r="B26" s="389"/>
      <c r="C26" s="392"/>
      <c r="D26" s="338"/>
      <c r="E26" s="342"/>
      <c r="F26" s="397"/>
      <c r="G26" s="62" t="s">
        <v>36</v>
      </c>
      <c r="H26" s="63" t="s">
        <v>154</v>
      </c>
      <c r="I26" s="82" t="s">
        <v>119</v>
      </c>
      <c r="J26" s="81" t="s">
        <v>120</v>
      </c>
      <c r="K26" s="23" t="s">
        <v>131</v>
      </c>
      <c r="L26" s="77">
        <v>25680</v>
      </c>
      <c r="M26" s="107">
        <v>2019</v>
      </c>
      <c r="N26" s="86" t="s">
        <v>37</v>
      </c>
      <c r="O26" s="23">
        <v>7200</v>
      </c>
      <c r="P26" s="24" t="s">
        <v>121</v>
      </c>
      <c r="Q26" s="67" t="s">
        <v>96</v>
      </c>
      <c r="R26" s="92" t="s">
        <v>108</v>
      </c>
    </row>
    <row r="27" spans="1:18" ht="62.25" customHeight="1" x14ac:dyDescent="0.25">
      <c r="A27" s="336"/>
      <c r="B27" s="408">
        <v>26250000</v>
      </c>
      <c r="C27" s="406" t="s">
        <v>134</v>
      </c>
      <c r="D27" s="411">
        <f>B27</f>
        <v>26250000</v>
      </c>
      <c r="E27" s="284">
        <f>B27+D27</f>
        <v>52500000</v>
      </c>
      <c r="F27" s="407">
        <f>E27</f>
        <v>52500000</v>
      </c>
      <c r="G27" s="26" t="s">
        <v>118</v>
      </c>
      <c r="H27" s="108" t="s">
        <v>128</v>
      </c>
      <c r="I27" s="109" t="s">
        <v>160</v>
      </c>
      <c r="J27" s="106" t="s">
        <v>144</v>
      </c>
      <c r="K27" s="111" t="s">
        <v>29</v>
      </c>
      <c r="L27" s="86">
        <v>0</v>
      </c>
      <c r="M27" s="62" t="s">
        <v>47</v>
      </c>
      <c r="N27" s="62">
        <v>121</v>
      </c>
      <c r="O27" s="23">
        <v>607</v>
      </c>
      <c r="P27" s="24" t="s">
        <v>121</v>
      </c>
      <c r="Q27" s="268" t="s">
        <v>97</v>
      </c>
      <c r="R27" s="316" t="s">
        <v>129</v>
      </c>
    </row>
    <row r="28" spans="1:18" ht="63" customHeight="1" x14ac:dyDescent="0.25">
      <c r="A28" s="336"/>
      <c r="B28" s="409"/>
      <c r="C28" s="391"/>
      <c r="D28" s="412"/>
      <c r="E28" s="285"/>
      <c r="F28" s="396"/>
      <c r="G28" s="385" t="s">
        <v>31</v>
      </c>
      <c r="H28" s="366" t="s">
        <v>155</v>
      </c>
      <c r="I28" s="380" t="s">
        <v>160</v>
      </c>
      <c r="J28" s="380" t="s">
        <v>144</v>
      </c>
      <c r="K28" s="61" t="s">
        <v>138</v>
      </c>
      <c r="L28" s="62">
        <v>0</v>
      </c>
      <c r="M28" s="385" t="s">
        <v>47</v>
      </c>
      <c r="N28" s="23">
        <v>1.4</v>
      </c>
      <c r="O28" s="23">
        <v>7</v>
      </c>
      <c r="P28" s="372" t="s">
        <v>121</v>
      </c>
      <c r="Q28" s="269"/>
      <c r="R28" s="399"/>
    </row>
    <row r="29" spans="1:18" ht="93" customHeight="1" x14ac:dyDescent="0.25">
      <c r="A29" s="336"/>
      <c r="B29" s="409"/>
      <c r="C29" s="391"/>
      <c r="D29" s="412"/>
      <c r="E29" s="285"/>
      <c r="F29" s="396"/>
      <c r="G29" s="386"/>
      <c r="H29" s="368"/>
      <c r="I29" s="382"/>
      <c r="J29" s="382"/>
      <c r="K29" s="61" t="s">
        <v>130</v>
      </c>
      <c r="L29" s="62">
        <v>0</v>
      </c>
      <c r="M29" s="386"/>
      <c r="N29" s="77">
        <v>12</v>
      </c>
      <c r="O29" s="23">
        <v>61</v>
      </c>
      <c r="P29" s="374"/>
      <c r="Q29" s="270"/>
      <c r="R29" s="400"/>
    </row>
    <row r="30" spans="1:18" ht="93.75" customHeight="1" x14ac:dyDescent="0.25">
      <c r="A30" s="336"/>
      <c r="B30" s="410"/>
      <c r="C30" s="392"/>
      <c r="D30" s="413"/>
      <c r="E30" s="378"/>
      <c r="F30" s="397"/>
      <c r="G30" s="62" t="s">
        <v>36</v>
      </c>
      <c r="H30" s="63" t="s">
        <v>154</v>
      </c>
      <c r="I30" s="82" t="s">
        <v>160</v>
      </c>
      <c r="J30" s="64" t="s">
        <v>144</v>
      </c>
      <c r="K30" s="23" t="s">
        <v>131</v>
      </c>
      <c r="L30" s="77">
        <v>60120</v>
      </c>
      <c r="M30" s="107">
        <v>2019</v>
      </c>
      <c r="N30" s="62" t="s">
        <v>47</v>
      </c>
      <c r="O30" s="23">
        <v>16880</v>
      </c>
      <c r="P30" s="24" t="s">
        <v>121</v>
      </c>
      <c r="Q30" s="67" t="s">
        <v>109</v>
      </c>
      <c r="R30" s="92" t="s">
        <v>110</v>
      </c>
    </row>
    <row r="31" spans="1:18" ht="70.5" customHeight="1" x14ac:dyDescent="0.25">
      <c r="A31" s="336"/>
      <c r="B31" s="411">
        <v>18750000</v>
      </c>
      <c r="C31" s="406" t="s">
        <v>135</v>
      </c>
      <c r="D31" s="411">
        <f>B31</f>
        <v>18750000</v>
      </c>
      <c r="E31" s="284">
        <f>B31+D31</f>
        <v>37500000</v>
      </c>
      <c r="F31" s="420">
        <f>E31</f>
        <v>37500000</v>
      </c>
      <c r="G31" s="62" t="s">
        <v>31</v>
      </c>
      <c r="H31" s="63" t="s">
        <v>155</v>
      </c>
      <c r="I31" s="82" t="s">
        <v>119</v>
      </c>
      <c r="J31" s="64" t="s">
        <v>120</v>
      </c>
      <c r="K31" s="66" t="s">
        <v>130</v>
      </c>
      <c r="L31" s="62">
        <v>0</v>
      </c>
      <c r="M31" s="62" t="s">
        <v>47</v>
      </c>
      <c r="N31" s="23">
        <v>11</v>
      </c>
      <c r="O31" s="23">
        <v>37.5</v>
      </c>
      <c r="P31" s="24" t="s">
        <v>121</v>
      </c>
      <c r="Q31" s="67" t="s">
        <v>156</v>
      </c>
      <c r="R31" s="94" t="s">
        <v>105</v>
      </c>
    </row>
    <row r="32" spans="1:18" ht="68.25" customHeight="1" x14ac:dyDescent="0.25">
      <c r="A32" s="355"/>
      <c r="B32" s="413"/>
      <c r="C32" s="392"/>
      <c r="D32" s="413"/>
      <c r="E32" s="378"/>
      <c r="F32" s="421"/>
      <c r="G32" s="62" t="s">
        <v>36</v>
      </c>
      <c r="H32" s="63" t="s">
        <v>154</v>
      </c>
      <c r="I32" s="82" t="s">
        <v>119</v>
      </c>
      <c r="J32" s="82" t="s">
        <v>120</v>
      </c>
      <c r="K32" s="23" t="s">
        <v>131</v>
      </c>
      <c r="L32" s="77">
        <v>2250</v>
      </c>
      <c r="M32" s="107">
        <v>2019</v>
      </c>
      <c r="N32" s="62" t="s">
        <v>47</v>
      </c>
      <c r="O32" s="23">
        <v>900</v>
      </c>
      <c r="P32" s="24" t="s">
        <v>121</v>
      </c>
      <c r="Q32" s="67" t="s">
        <v>94</v>
      </c>
      <c r="R32" s="94" t="s">
        <v>104</v>
      </c>
    </row>
    <row r="33" spans="1:12" x14ac:dyDescent="0.25">
      <c r="C33" s="2"/>
      <c r="D33" s="3"/>
      <c r="E33" s="80"/>
      <c r="F33" s="16"/>
      <c r="G33" s="16"/>
      <c r="H33" s="4"/>
      <c r="I33" s="5"/>
      <c r="J33" s="5"/>
      <c r="K33" s="4"/>
      <c r="L33" s="10"/>
    </row>
    <row r="34" spans="1:12" ht="0.75" customHeight="1" x14ac:dyDescent="0.25">
      <c r="C34" s="2"/>
      <c r="D34" s="3"/>
      <c r="E34" s="80"/>
      <c r="F34" s="16"/>
      <c r="G34" s="16"/>
      <c r="H34" s="4"/>
      <c r="I34" s="5"/>
      <c r="J34" s="5"/>
      <c r="K34" s="4"/>
    </row>
    <row r="35" spans="1:12" x14ac:dyDescent="0.25">
      <c r="C35" s="2"/>
      <c r="D35" s="3"/>
      <c r="E35" s="80"/>
      <c r="F35" s="16"/>
      <c r="G35" s="16"/>
      <c r="H35" s="4"/>
      <c r="I35" s="5"/>
      <c r="J35" s="5"/>
      <c r="K35" s="4"/>
    </row>
    <row r="36" spans="1:12" x14ac:dyDescent="0.25">
      <c r="A36" s="1"/>
      <c r="B36" s="15"/>
      <c r="C36" s="2"/>
      <c r="D36" s="3"/>
      <c r="E36" s="80"/>
      <c r="F36" s="16"/>
      <c r="G36" s="16"/>
      <c r="H36" s="4"/>
      <c r="I36" s="5"/>
      <c r="J36" s="5"/>
      <c r="K36" s="4"/>
    </row>
    <row r="37" spans="1:12" ht="26.25" customHeight="1" x14ac:dyDescent="0.25">
      <c r="A37" s="72" t="s">
        <v>143</v>
      </c>
      <c r="B37" s="40" t="s">
        <v>142</v>
      </c>
      <c r="C37" s="72" t="s">
        <v>116</v>
      </c>
      <c r="D37" s="72" t="s">
        <v>140</v>
      </c>
      <c r="E37" s="72" t="s">
        <v>112</v>
      </c>
      <c r="F37" s="72" t="s">
        <v>115</v>
      </c>
      <c r="G37" s="72" t="s">
        <v>141</v>
      </c>
      <c r="H37" s="72" t="s">
        <v>124</v>
      </c>
      <c r="I37" s="72" t="s">
        <v>123</v>
      </c>
      <c r="J37" s="165" t="s">
        <v>222</v>
      </c>
      <c r="K37" s="4"/>
    </row>
    <row r="38" spans="1:12" ht="49.5" customHeight="1" x14ac:dyDescent="0.25">
      <c r="A38" s="56" t="s">
        <v>36</v>
      </c>
      <c r="B38" s="125" t="s">
        <v>154</v>
      </c>
      <c r="C38" s="23" t="s">
        <v>131</v>
      </c>
      <c r="D38" s="58">
        <f>SUM(L7+L10+L14+L15+L26+L32)</f>
        <v>582771</v>
      </c>
      <c r="E38" s="41" t="s">
        <v>119</v>
      </c>
      <c r="F38" s="56" t="s">
        <v>24</v>
      </c>
      <c r="G38" s="41">
        <v>2019</v>
      </c>
      <c r="H38" s="57" t="s">
        <v>47</v>
      </c>
      <c r="I38" s="57">
        <f>SUM(O7+O10+O14+O15+O26+O32)</f>
        <v>44865</v>
      </c>
      <c r="J38" s="164">
        <f>SUM(D38-I38)</f>
        <v>537906</v>
      </c>
      <c r="K38" s="4"/>
    </row>
    <row r="39" spans="1:12" ht="52.5" customHeight="1" x14ac:dyDescent="0.25">
      <c r="A39" s="56" t="s">
        <v>36</v>
      </c>
      <c r="B39" s="125" t="s">
        <v>154</v>
      </c>
      <c r="C39" s="23" t="s">
        <v>131</v>
      </c>
      <c r="D39" s="58">
        <f>SUM(L22+L30)</f>
        <v>67344</v>
      </c>
      <c r="E39" s="82" t="s">
        <v>160</v>
      </c>
      <c r="F39" s="56" t="s">
        <v>16</v>
      </c>
      <c r="G39" s="41">
        <v>2019</v>
      </c>
      <c r="H39" s="57" t="s">
        <v>47</v>
      </c>
      <c r="I39" s="57">
        <f>SUM(O22+O30)</f>
        <v>16880</v>
      </c>
      <c r="J39" s="164">
        <f>SUM(D39-I39)</f>
        <v>50464</v>
      </c>
      <c r="K39" s="4"/>
    </row>
    <row r="40" spans="1:12" ht="43.5" customHeight="1" x14ac:dyDescent="0.25">
      <c r="A40" s="326" t="s">
        <v>31</v>
      </c>
      <c r="B40" s="418" t="s">
        <v>155</v>
      </c>
      <c r="C40" s="61" t="s">
        <v>138</v>
      </c>
      <c r="D40" s="41">
        <v>0</v>
      </c>
      <c r="E40" s="41" t="s">
        <v>119</v>
      </c>
      <c r="F40" s="41" t="s">
        <v>24</v>
      </c>
      <c r="G40" s="39"/>
      <c r="H40" s="55">
        <f>SUM(N6+N9+N24)</f>
        <v>85.08</v>
      </c>
      <c r="I40" s="55">
        <f>SUM(O6+O9+O24)</f>
        <v>283.60000000000002</v>
      </c>
      <c r="J40" s="5"/>
      <c r="K40" s="4"/>
    </row>
    <row r="41" spans="1:12" ht="61.5" customHeight="1" x14ac:dyDescent="0.25">
      <c r="A41" s="414"/>
      <c r="B41" s="419"/>
      <c r="C41" s="66" t="s">
        <v>130</v>
      </c>
      <c r="D41" s="41">
        <v>0</v>
      </c>
      <c r="E41" s="41" t="s">
        <v>119</v>
      </c>
      <c r="F41" s="41" t="s">
        <v>24</v>
      </c>
      <c r="G41" s="39"/>
      <c r="H41" s="55">
        <f>SUM(N11+N17+N25+N31)</f>
        <v>101</v>
      </c>
      <c r="I41" s="55">
        <f>SUM(O11+O17+O25+O31)</f>
        <v>348.5</v>
      </c>
      <c r="J41" s="5"/>
      <c r="K41" s="4"/>
    </row>
    <row r="42" spans="1:12" ht="47.25" customHeight="1" x14ac:dyDescent="0.25">
      <c r="A42" s="326" t="s">
        <v>31</v>
      </c>
      <c r="B42" s="418" t="s">
        <v>155</v>
      </c>
      <c r="C42" s="61" t="s">
        <v>138</v>
      </c>
      <c r="D42" s="41">
        <v>0</v>
      </c>
      <c r="E42" s="82" t="s">
        <v>160</v>
      </c>
      <c r="F42" s="41" t="s">
        <v>16</v>
      </c>
      <c r="G42" s="39"/>
      <c r="H42" s="55">
        <f>SUM(N20+N28)</f>
        <v>2.2999999999999998</v>
      </c>
      <c r="I42" s="55">
        <f>SUM(O20+O28)</f>
        <v>11.7</v>
      </c>
      <c r="J42" s="6"/>
      <c r="K42" s="6"/>
    </row>
    <row r="43" spans="1:12" ht="74.25" customHeight="1" x14ac:dyDescent="0.25">
      <c r="A43" s="414"/>
      <c r="B43" s="419"/>
      <c r="C43" s="61" t="s">
        <v>130</v>
      </c>
      <c r="D43" s="41">
        <v>0</v>
      </c>
      <c r="E43" s="82" t="s">
        <v>160</v>
      </c>
      <c r="F43" s="41" t="s">
        <v>16</v>
      </c>
      <c r="G43" s="39"/>
      <c r="H43" s="55">
        <f>SUM(N21+N29)</f>
        <v>30</v>
      </c>
      <c r="I43" s="55">
        <f>SUM(O21+O29)</f>
        <v>152.80000000000001</v>
      </c>
      <c r="J43" s="6"/>
      <c r="K43" s="6"/>
    </row>
    <row r="44" spans="1:12" ht="35.25" customHeight="1" x14ac:dyDescent="0.25">
      <c r="A44" s="54" t="s">
        <v>118</v>
      </c>
      <c r="B44" s="116" t="s">
        <v>139</v>
      </c>
      <c r="C44" s="117" t="s">
        <v>29</v>
      </c>
      <c r="D44" s="26">
        <v>0</v>
      </c>
      <c r="E44" s="41" t="s">
        <v>119</v>
      </c>
      <c r="F44" s="117" t="s">
        <v>24</v>
      </c>
      <c r="G44" s="54"/>
      <c r="H44" s="36">
        <f>SUM(N5+N8+N23)</f>
        <v>94.759999999999991</v>
      </c>
      <c r="I44" s="36">
        <f>SUM(O5+O8+O23)</f>
        <v>402.2</v>
      </c>
      <c r="J44" s="6"/>
    </row>
    <row r="45" spans="1:12" ht="31.5" customHeight="1" x14ac:dyDescent="0.25">
      <c r="A45" s="54" t="s">
        <v>118</v>
      </c>
      <c r="B45" s="116" t="s">
        <v>139</v>
      </c>
      <c r="C45" s="117" t="s">
        <v>29</v>
      </c>
      <c r="D45" s="26">
        <v>0</v>
      </c>
      <c r="E45" s="82" t="s">
        <v>160</v>
      </c>
      <c r="F45" s="54" t="s">
        <v>16</v>
      </c>
      <c r="G45" s="54"/>
      <c r="H45" s="49">
        <f>SUM(N19+N27)</f>
        <v>513</v>
      </c>
      <c r="I45" s="49">
        <f>SUM(O19+O27)</f>
        <v>2568</v>
      </c>
      <c r="J45" s="6"/>
    </row>
    <row r="46" spans="1:12" x14ac:dyDescent="0.25">
      <c r="C46" s="415"/>
      <c r="D46" s="7"/>
      <c r="E46" s="8"/>
      <c r="F46" s="416"/>
      <c r="J46" s="6"/>
    </row>
    <row r="47" spans="1:12" x14ac:dyDescent="0.25">
      <c r="C47" s="415"/>
      <c r="D47" s="7"/>
      <c r="E47" s="9"/>
      <c r="F47" s="417"/>
      <c r="H47" s="6"/>
      <c r="I47" s="6"/>
      <c r="J47" s="6"/>
    </row>
    <row r="48" spans="1:12" x14ac:dyDescent="0.25">
      <c r="C48" s="415"/>
      <c r="D48" s="7"/>
      <c r="E48" s="9"/>
      <c r="F48" s="417"/>
      <c r="H48" s="6"/>
      <c r="I48" s="6"/>
    </row>
    <row r="49" spans="3:9" x14ac:dyDescent="0.25">
      <c r="C49" s="415"/>
      <c r="D49" s="7"/>
      <c r="E49" s="9"/>
      <c r="F49" s="417"/>
      <c r="H49" s="6"/>
      <c r="I49" s="6"/>
    </row>
    <row r="50" spans="3:9" x14ac:dyDescent="0.25">
      <c r="C50" s="415"/>
      <c r="D50" s="7"/>
      <c r="E50" s="9"/>
      <c r="F50" s="417"/>
      <c r="H50" s="6"/>
      <c r="I50" s="6"/>
    </row>
    <row r="51" spans="3:9" x14ac:dyDescent="0.25">
      <c r="C51" s="79"/>
      <c r="D51" s="7"/>
      <c r="E51" s="9"/>
      <c r="F51" s="16"/>
      <c r="H51" s="6"/>
      <c r="I51" s="6"/>
    </row>
    <row r="52" spans="3:9" x14ac:dyDescent="0.25">
      <c r="C52" s="79"/>
      <c r="D52" s="7"/>
      <c r="E52" s="9"/>
      <c r="F52" s="16"/>
      <c r="H52" s="6"/>
      <c r="I52" s="6"/>
    </row>
    <row r="53" spans="3:9" x14ac:dyDescent="0.25">
      <c r="C53" s="79"/>
      <c r="D53" s="7"/>
      <c r="E53" s="9"/>
      <c r="F53" s="16"/>
      <c r="H53" s="6"/>
      <c r="I53" s="6"/>
    </row>
    <row r="54" spans="3:9" x14ac:dyDescent="0.25">
      <c r="C54" s="3"/>
      <c r="D54" s="7"/>
      <c r="E54" s="9"/>
      <c r="F54" s="16"/>
      <c r="H54" s="6"/>
      <c r="I54" s="6"/>
    </row>
    <row r="57" spans="3:9" x14ac:dyDescent="0.25">
      <c r="C57" s="1"/>
      <c r="D57" s="1"/>
      <c r="E57" s="1"/>
      <c r="F57" s="1"/>
      <c r="G57" s="1"/>
      <c r="H57" s="1"/>
      <c r="I57" s="1"/>
    </row>
    <row r="60" spans="3:9" x14ac:dyDescent="0.25">
      <c r="C60" s="6"/>
    </row>
    <row r="62" spans="3:9" x14ac:dyDescent="0.25">
      <c r="C62" s="6"/>
    </row>
  </sheetData>
  <mergeCells count="126">
    <mergeCell ref="A42:A43"/>
    <mergeCell ref="C46:C50"/>
    <mergeCell ref="F46:F50"/>
    <mergeCell ref="B40:B41"/>
    <mergeCell ref="B42:B43"/>
    <mergeCell ref="B31:B32"/>
    <mergeCell ref="C31:C32"/>
    <mergeCell ref="D31:D32"/>
    <mergeCell ref="E31:E32"/>
    <mergeCell ref="F31:F32"/>
    <mergeCell ref="A40:A41"/>
    <mergeCell ref="R27:R29"/>
    <mergeCell ref="G28:G29"/>
    <mergeCell ref="H28:H29"/>
    <mergeCell ref="I28:I29"/>
    <mergeCell ref="J28:J29"/>
    <mergeCell ref="M28:M29"/>
    <mergeCell ref="P28:P29"/>
    <mergeCell ref="B27:B30"/>
    <mergeCell ref="C27:C30"/>
    <mergeCell ref="D27:D30"/>
    <mergeCell ref="E27:E30"/>
    <mergeCell ref="F27:F30"/>
    <mergeCell ref="Q27:Q29"/>
    <mergeCell ref="R23:R25"/>
    <mergeCell ref="G24:G25"/>
    <mergeCell ref="H24:H25"/>
    <mergeCell ref="I24:I25"/>
    <mergeCell ref="J24:J25"/>
    <mergeCell ref="L24:L25"/>
    <mergeCell ref="M24:M25"/>
    <mergeCell ref="P24:P25"/>
    <mergeCell ref="B23:B26"/>
    <mergeCell ref="C23:C26"/>
    <mergeCell ref="D23:D26"/>
    <mergeCell ref="E23:E26"/>
    <mergeCell ref="F23:F26"/>
    <mergeCell ref="Q23:Q25"/>
    <mergeCell ref="H20:H21"/>
    <mergeCell ref="I20:I21"/>
    <mergeCell ref="J20:J21"/>
    <mergeCell ref="L20:L21"/>
    <mergeCell ref="M20:M21"/>
    <mergeCell ref="P20:P21"/>
    <mergeCell ref="R17:R18"/>
    <mergeCell ref="A19:A32"/>
    <mergeCell ref="B19:B22"/>
    <mergeCell ref="C19:C22"/>
    <mergeCell ref="D19:D22"/>
    <mergeCell ref="E19:E22"/>
    <mergeCell ref="F19:F22"/>
    <mergeCell ref="Q19:Q21"/>
    <mergeCell ref="R19:R21"/>
    <mergeCell ref="G20:G21"/>
    <mergeCell ref="L17:L18"/>
    <mergeCell ref="M17:M18"/>
    <mergeCell ref="N17:N18"/>
    <mergeCell ref="O17:O18"/>
    <mergeCell ref="P17:P18"/>
    <mergeCell ref="Q17:Q18"/>
    <mergeCell ref="B15:B18"/>
    <mergeCell ref="C15:C18"/>
    <mergeCell ref="N15:N16"/>
    <mergeCell ref="O15:O16"/>
    <mergeCell ref="P15:P16"/>
    <mergeCell ref="Q15:Q16"/>
    <mergeCell ref="R15:R16"/>
    <mergeCell ref="G17:G18"/>
    <mergeCell ref="H17:H18"/>
    <mergeCell ref="I17:I18"/>
    <mergeCell ref="J17:J18"/>
    <mergeCell ref="K17:K18"/>
    <mergeCell ref="H15:H16"/>
    <mergeCell ref="I15:I16"/>
    <mergeCell ref="J15:J16"/>
    <mergeCell ref="K15:K16"/>
    <mergeCell ref="L15:L16"/>
    <mergeCell ref="M15:M16"/>
    <mergeCell ref="R11:R13"/>
    <mergeCell ref="G11:G13"/>
    <mergeCell ref="H11:H13"/>
    <mergeCell ref="I11:I13"/>
    <mergeCell ref="J11:J13"/>
    <mergeCell ref="K11:K13"/>
    <mergeCell ref="L11:L13"/>
    <mergeCell ref="C8:C10"/>
    <mergeCell ref="D8:D10"/>
    <mergeCell ref="E8:E10"/>
    <mergeCell ref="F8:F10"/>
    <mergeCell ref="M11:M13"/>
    <mergeCell ref="N11:N13"/>
    <mergeCell ref="O11:O13"/>
    <mergeCell ref="P11:P13"/>
    <mergeCell ref="Q11:Q13"/>
    <mergeCell ref="P3:P4"/>
    <mergeCell ref="Q3:Q4"/>
    <mergeCell ref="R3:R4"/>
    <mergeCell ref="A5:A10"/>
    <mergeCell ref="B5:B7"/>
    <mergeCell ref="C5:C7"/>
    <mergeCell ref="D5:D7"/>
    <mergeCell ref="E5:E7"/>
    <mergeCell ref="F5:F7"/>
    <mergeCell ref="B8:B10"/>
    <mergeCell ref="I3:I4"/>
    <mergeCell ref="J3:J4"/>
    <mergeCell ref="K3:K4"/>
    <mergeCell ref="L3:M3"/>
    <mergeCell ref="N3:N4"/>
    <mergeCell ref="O3:O4"/>
    <mergeCell ref="A1:E1"/>
    <mergeCell ref="A3:A4"/>
    <mergeCell ref="B3:B4"/>
    <mergeCell ref="C3:E3"/>
    <mergeCell ref="F3:F4"/>
    <mergeCell ref="G3:H3"/>
    <mergeCell ref="A11:A18"/>
    <mergeCell ref="B11:B14"/>
    <mergeCell ref="C11:C14"/>
    <mergeCell ref="D11:D14"/>
    <mergeCell ref="E11:E14"/>
    <mergeCell ref="F11:F14"/>
    <mergeCell ref="D15:D18"/>
    <mergeCell ref="E15:E18"/>
    <mergeCell ref="F15:F18"/>
    <mergeCell ref="G15:G16"/>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20"/>
  <sheetViews>
    <sheetView tabSelected="1" zoomScale="75" zoomScaleNormal="75" workbookViewId="0">
      <selection activeCell="P10" sqref="P10"/>
    </sheetView>
  </sheetViews>
  <sheetFormatPr defaultRowHeight="15" x14ac:dyDescent="0.25"/>
  <cols>
    <col min="1" max="1" width="21" customWidth="1"/>
    <col min="2" max="2" width="22.28515625" customWidth="1"/>
    <col min="3" max="3" width="21" customWidth="1"/>
    <col min="4" max="4" width="33.7109375" customWidth="1"/>
    <col min="5" max="5" width="17.5703125" customWidth="1"/>
    <col min="6" max="6" width="15.28515625" customWidth="1"/>
    <col min="7" max="7" width="15.140625" customWidth="1"/>
    <col min="8" max="8" width="15.85546875" customWidth="1"/>
    <col min="9" max="9" width="25.5703125" customWidth="1"/>
    <col min="10" max="10" width="18.28515625" customWidth="1"/>
    <col min="11" max="11" width="14.5703125" customWidth="1"/>
    <col min="12" max="12" width="15.7109375" style="211" customWidth="1"/>
    <col min="13" max="13" width="11" customWidth="1"/>
    <col min="14" max="14" width="10.42578125" customWidth="1"/>
    <col min="16" max="16" width="12.85546875" customWidth="1"/>
    <col min="17" max="17" width="13.7109375" customWidth="1"/>
    <col min="18" max="18" width="97.42578125" customWidth="1"/>
    <col min="19" max="19" width="21.85546875" customWidth="1"/>
  </cols>
  <sheetData>
    <row r="1" spans="1:19" x14ac:dyDescent="0.25">
      <c r="A1" s="231" t="s">
        <v>291</v>
      </c>
    </row>
    <row r="2" spans="1:19" s="31" customFormat="1" ht="13.5" customHeight="1" x14ac:dyDescent="0.2">
      <c r="A2" s="239" t="s">
        <v>298</v>
      </c>
      <c r="B2" s="30"/>
      <c r="C2" s="30"/>
      <c r="D2" s="30"/>
      <c r="E2" s="30"/>
      <c r="F2" s="30"/>
      <c r="G2" s="30"/>
      <c r="H2" s="30"/>
      <c r="I2" s="30"/>
      <c r="J2" s="30"/>
      <c r="K2" s="30"/>
      <c r="L2" s="45"/>
    </row>
    <row r="3" spans="1:19" s="31" customFormat="1" ht="13.5" thickBot="1" x14ac:dyDescent="0.25">
      <c r="A3" s="199" t="s">
        <v>251</v>
      </c>
      <c r="L3" s="45"/>
      <c r="S3" s="489"/>
    </row>
    <row r="4" spans="1:19" ht="25.5" customHeight="1" thickBot="1" x14ac:dyDescent="0.3">
      <c r="A4" s="440" t="s">
        <v>136</v>
      </c>
      <c r="B4" s="431" t="s">
        <v>48</v>
      </c>
      <c r="C4" s="431" t="s">
        <v>246</v>
      </c>
      <c r="D4" s="442" t="s">
        <v>2</v>
      </c>
      <c r="E4" s="443"/>
      <c r="F4" s="443"/>
      <c r="G4" s="442" t="s">
        <v>20</v>
      </c>
      <c r="H4" s="437" t="s">
        <v>111</v>
      </c>
      <c r="I4" s="437"/>
      <c r="J4" s="427" t="s">
        <v>181</v>
      </c>
      <c r="K4" s="437" t="s">
        <v>115</v>
      </c>
      <c r="L4" s="427" t="s">
        <v>182</v>
      </c>
      <c r="M4" s="427" t="s">
        <v>140</v>
      </c>
      <c r="N4" s="427"/>
      <c r="O4" s="427" t="s">
        <v>247</v>
      </c>
      <c r="P4" s="427" t="s">
        <v>123</v>
      </c>
      <c r="Q4" s="429" t="s">
        <v>122</v>
      </c>
      <c r="R4" s="481" t="s">
        <v>61</v>
      </c>
      <c r="S4" s="490" t="s">
        <v>299</v>
      </c>
    </row>
    <row r="5" spans="1:19" ht="41.25" customHeight="1" thickBot="1" x14ac:dyDescent="0.3">
      <c r="A5" s="441"/>
      <c r="B5" s="432"/>
      <c r="C5" s="432"/>
      <c r="D5" s="212" t="s">
        <v>10</v>
      </c>
      <c r="E5" s="213" t="s">
        <v>49</v>
      </c>
      <c r="F5" s="214" t="s">
        <v>250</v>
      </c>
      <c r="G5" s="441"/>
      <c r="H5" s="215" t="s">
        <v>248</v>
      </c>
      <c r="I5" s="215" t="s">
        <v>249</v>
      </c>
      <c r="J5" s="428"/>
      <c r="K5" s="438"/>
      <c r="L5" s="428"/>
      <c r="M5" s="216" t="s">
        <v>126</v>
      </c>
      <c r="N5" s="216" t="s">
        <v>125</v>
      </c>
      <c r="O5" s="428"/>
      <c r="P5" s="428"/>
      <c r="Q5" s="430"/>
      <c r="R5" s="482"/>
      <c r="S5" s="491"/>
    </row>
    <row r="6" spans="1:19" ht="195" customHeight="1" x14ac:dyDescent="0.25">
      <c r="A6" s="444" t="s">
        <v>262</v>
      </c>
      <c r="B6" s="433">
        <f>F6</f>
        <v>25263157.894736841</v>
      </c>
      <c r="C6" s="447">
        <v>24000000</v>
      </c>
      <c r="D6" s="449" t="s">
        <v>263</v>
      </c>
      <c r="E6" s="433">
        <f>C6*5/95</f>
        <v>1263157.894736842</v>
      </c>
      <c r="F6" s="433">
        <f>C6+E6</f>
        <v>25263157.894736841</v>
      </c>
      <c r="G6" s="436">
        <f>F6</f>
        <v>25263157.894736841</v>
      </c>
      <c r="H6" s="124" t="s">
        <v>292</v>
      </c>
      <c r="I6" s="124" t="s">
        <v>265</v>
      </c>
      <c r="J6" s="434" t="s">
        <v>119</v>
      </c>
      <c r="K6" s="435" t="s">
        <v>120</v>
      </c>
      <c r="L6" s="115" t="s">
        <v>295</v>
      </c>
      <c r="M6" s="179">
        <v>0</v>
      </c>
      <c r="N6" s="179">
        <v>2020</v>
      </c>
      <c r="O6" s="115" t="s">
        <v>47</v>
      </c>
      <c r="P6" s="217">
        <v>75174</v>
      </c>
      <c r="Q6" s="181" t="s">
        <v>296</v>
      </c>
      <c r="R6" s="483" t="s">
        <v>288</v>
      </c>
      <c r="S6" s="488" t="s">
        <v>300</v>
      </c>
    </row>
    <row r="7" spans="1:19" ht="255.75" customHeight="1" x14ac:dyDescent="0.25">
      <c r="A7" s="445"/>
      <c r="B7" s="312"/>
      <c r="C7" s="448"/>
      <c r="D7" s="308"/>
      <c r="E7" s="312"/>
      <c r="F7" s="312"/>
      <c r="G7" s="425"/>
      <c r="H7" s="23" t="s">
        <v>254</v>
      </c>
      <c r="I7" s="23" t="s">
        <v>255</v>
      </c>
      <c r="J7" s="280"/>
      <c r="K7" s="317"/>
      <c r="L7" s="26" t="s">
        <v>297</v>
      </c>
      <c r="M7" s="54">
        <v>0</v>
      </c>
      <c r="N7" s="54" t="s">
        <v>47</v>
      </c>
      <c r="O7" s="232">
        <v>0</v>
      </c>
      <c r="P7" s="151">
        <v>1315</v>
      </c>
      <c r="Q7" s="73" t="s">
        <v>296</v>
      </c>
      <c r="R7" s="484" t="s">
        <v>293</v>
      </c>
      <c r="S7" s="486"/>
    </row>
    <row r="8" spans="1:19" ht="210" customHeight="1" x14ac:dyDescent="0.25">
      <c r="A8" s="445"/>
      <c r="B8" s="312">
        <f>F8</f>
        <v>61578947.368421055</v>
      </c>
      <c r="C8" s="312">
        <v>58500000</v>
      </c>
      <c r="D8" s="450" t="s">
        <v>263</v>
      </c>
      <c r="E8" s="312">
        <f>C8*5/95</f>
        <v>3078947.3684210526</v>
      </c>
      <c r="F8" s="312">
        <f>C8+E8</f>
        <v>61578947.368421055</v>
      </c>
      <c r="G8" s="425">
        <f>F8</f>
        <v>61578947.368421055</v>
      </c>
      <c r="H8" s="23" t="s">
        <v>292</v>
      </c>
      <c r="I8" s="23" t="s">
        <v>265</v>
      </c>
      <c r="J8" s="280" t="s">
        <v>252</v>
      </c>
      <c r="K8" s="317" t="s">
        <v>144</v>
      </c>
      <c r="L8" s="26" t="s">
        <v>295</v>
      </c>
      <c r="M8" s="54">
        <v>0</v>
      </c>
      <c r="N8" s="54">
        <v>2020</v>
      </c>
      <c r="O8" s="54" t="s">
        <v>47</v>
      </c>
      <c r="P8" s="151">
        <v>183362</v>
      </c>
      <c r="Q8" s="73" t="s">
        <v>296</v>
      </c>
      <c r="R8" s="484" t="s">
        <v>289</v>
      </c>
      <c r="S8" s="487"/>
    </row>
    <row r="9" spans="1:19" ht="225" customHeight="1" thickBot="1" x14ac:dyDescent="0.3">
      <c r="A9" s="446"/>
      <c r="B9" s="422"/>
      <c r="C9" s="422"/>
      <c r="D9" s="451"/>
      <c r="E9" s="422"/>
      <c r="F9" s="422"/>
      <c r="G9" s="426"/>
      <c r="H9" s="27" t="s">
        <v>254</v>
      </c>
      <c r="I9" s="27" t="s">
        <v>255</v>
      </c>
      <c r="J9" s="423"/>
      <c r="K9" s="424"/>
      <c r="L9" s="235" t="s">
        <v>297</v>
      </c>
      <c r="M9" s="218">
        <v>0</v>
      </c>
      <c r="N9" s="218" t="s">
        <v>47</v>
      </c>
      <c r="O9" s="233">
        <v>0</v>
      </c>
      <c r="P9" s="219">
        <v>2950</v>
      </c>
      <c r="Q9" s="220" t="s">
        <v>296</v>
      </c>
      <c r="R9" s="485" t="s">
        <v>294</v>
      </c>
      <c r="S9" s="492"/>
    </row>
    <row r="10" spans="1:19" ht="16.5" customHeight="1" x14ac:dyDescent="0.25">
      <c r="A10" s="200"/>
      <c r="B10" s="200" t="s">
        <v>119</v>
      </c>
      <c r="C10" s="236">
        <f>C6</f>
        <v>24000000</v>
      </c>
      <c r="D10" s="237"/>
      <c r="E10" s="236">
        <f>E6</f>
        <v>1263157.894736842</v>
      </c>
      <c r="F10" s="236">
        <f>F6</f>
        <v>25263157.894736841</v>
      </c>
      <c r="G10" s="238">
        <f>G6</f>
        <v>25263157.894736841</v>
      </c>
      <c r="H10" s="201"/>
      <c r="I10" s="201"/>
      <c r="J10" s="202"/>
      <c r="K10" s="201"/>
      <c r="L10" s="201"/>
      <c r="M10" s="203"/>
      <c r="N10" s="203"/>
      <c r="O10" s="202">
        <f>SUM(O6:O9)</f>
        <v>0</v>
      </c>
      <c r="P10" s="207">
        <f>SUM(P6:P9)</f>
        <v>262801</v>
      </c>
      <c r="Q10" s="204"/>
    </row>
    <row r="11" spans="1:19" x14ac:dyDescent="0.25">
      <c r="B11" s="205" t="s">
        <v>253</v>
      </c>
      <c r="C11" s="209">
        <f>C8</f>
        <v>58500000</v>
      </c>
      <c r="D11" s="209"/>
      <c r="E11" s="209">
        <f>E8</f>
        <v>3078947.3684210526</v>
      </c>
      <c r="F11" s="209">
        <f>F8</f>
        <v>61578947.368421055</v>
      </c>
      <c r="G11" s="209">
        <f>G8</f>
        <v>61578947.368421055</v>
      </c>
      <c r="H11" s="21"/>
      <c r="I11" s="21"/>
      <c r="J11" s="21"/>
      <c r="K11" s="21"/>
      <c r="L11" s="210"/>
      <c r="M11" s="21"/>
      <c r="N11" s="21"/>
      <c r="O11" s="21"/>
      <c r="P11" s="206"/>
      <c r="Q11" s="185"/>
    </row>
    <row r="12" spans="1:19" x14ac:dyDescent="0.25">
      <c r="B12" s="205"/>
      <c r="C12" s="206"/>
      <c r="D12" s="206"/>
      <c r="E12" s="206"/>
      <c r="F12" s="206"/>
      <c r="G12" s="206"/>
      <c r="H12" s="21"/>
      <c r="I12" s="21"/>
      <c r="J12" s="21"/>
      <c r="K12" s="21"/>
      <c r="L12" s="210"/>
      <c r="M12" s="21"/>
      <c r="N12" s="21"/>
      <c r="O12" s="21"/>
      <c r="P12" s="21"/>
      <c r="Q12" s="185"/>
    </row>
    <row r="13" spans="1:19" ht="30" x14ac:dyDescent="0.25">
      <c r="A13" s="208" t="s">
        <v>257</v>
      </c>
      <c r="B13" s="208" t="s">
        <v>258</v>
      </c>
      <c r="C13" s="208" t="s">
        <v>259</v>
      </c>
      <c r="D13" s="208" t="s">
        <v>260</v>
      </c>
      <c r="E13" s="208" t="s">
        <v>181</v>
      </c>
      <c r="F13" s="208" t="s">
        <v>115</v>
      </c>
      <c r="G13" s="208" t="s">
        <v>261</v>
      </c>
      <c r="H13" s="208" t="s">
        <v>247</v>
      </c>
      <c r="I13" s="35" t="s">
        <v>123</v>
      </c>
      <c r="J13" s="21"/>
      <c r="K13" s="21"/>
      <c r="L13" s="210"/>
      <c r="M13" s="21"/>
      <c r="N13" s="21"/>
      <c r="O13" s="21"/>
      <c r="P13" s="21"/>
      <c r="Q13" s="21"/>
    </row>
    <row r="14" spans="1:19" ht="91.5" customHeight="1" x14ac:dyDescent="0.25">
      <c r="A14" s="23" t="str">
        <f>H7</f>
        <v xml:space="preserve"> RCO23</v>
      </c>
      <c r="B14" s="23" t="str">
        <f>I7</f>
        <v>Digital management systems for smart energy systems (pažangiųjų energetikos sistemų skaitmeninio valdymo sistemos)</v>
      </c>
      <c r="C14" s="47" t="str">
        <f>L7</f>
        <v>System components (sistemos sudedamosios dalys)</v>
      </c>
      <c r="D14" s="26">
        <v>0</v>
      </c>
      <c r="E14" s="26" t="s">
        <v>119</v>
      </c>
      <c r="F14" s="26" t="s">
        <v>120</v>
      </c>
      <c r="G14" s="26" t="s">
        <v>47</v>
      </c>
      <c r="H14" s="234">
        <f>O7</f>
        <v>0</v>
      </c>
      <c r="I14" s="151">
        <f>P7</f>
        <v>1315</v>
      </c>
      <c r="J14" s="21"/>
      <c r="K14" s="21"/>
      <c r="L14" s="210"/>
      <c r="M14" s="21"/>
      <c r="N14" s="21"/>
      <c r="O14" s="21"/>
      <c r="P14" s="21"/>
      <c r="Q14" s="21"/>
    </row>
    <row r="15" spans="1:19" ht="81.75" customHeight="1" x14ac:dyDescent="0.25">
      <c r="A15" s="23" t="str">
        <f>H9</f>
        <v xml:space="preserve"> RCO23</v>
      </c>
      <c r="B15" s="23" t="str">
        <f>I9</f>
        <v>Digital management systems for smart energy systems (pažangiųjų energetikos sistemų skaitmeninio valdymo sistemos)</v>
      </c>
      <c r="C15" s="47" t="str">
        <f>L9</f>
        <v>System components (sistemos sudedamosios dalys)</v>
      </c>
      <c r="D15" s="26">
        <v>0</v>
      </c>
      <c r="E15" s="26" t="s">
        <v>252</v>
      </c>
      <c r="F15" s="26" t="s">
        <v>144</v>
      </c>
      <c r="G15" s="26" t="s">
        <v>47</v>
      </c>
      <c r="H15" s="234">
        <f>O9</f>
        <v>0</v>
      </c>
      <c r="I15" s="151">
        <f>P9</f>
        <v>2950</v>
      </c>
      <c r="J15" s="21"/>
      <c r="K15" s="21"/>
      <c r="L15" s="210"/>
      <c r="M15" s="21"/>
      <c r="N15" s="21"/>
      <c r="O15" s="21"/>
      <c r="P15" s="21"/>
      <c r="Q15" s="21"/>
    </row>
    <row r="16" spans="1:19" ht="84.75" customHeight="1" x14ac:dyDescent="0.25">
      <c r="A16" s="23" t="str">
        <f>H6</f>
        <v>specific result</v>
      </c>
      <c r="B16" s="23" t="str">
        <f>I6</f>
        <v>Users benefiting  from higher quality electricity supply (Vartotojai, kuriems pagerėjo tiekiamos elektros energijos kokybė)</v>
      </c>
      <c r="C16" s="26" t="str">
        <f>L6</f>
        <v>end users/ year
(galutiniai vartotojai per metus)</v>
      </c>
      <c r="D16" s="26">
        <f>M6</f>
        <v>0</v>
      </c>
      <c r="E16" s="26" t="s">
        <v>119</v>
      </c>
      <c r="F16" s="26" t="s">
        <v>120</v>
      </c>
      <c r="G16" s="26">
        <v>2020</v>
      </c>
      <c r="H16" s="151" t="s">
        <v>47</v>
      </c>
      <c r="I16" s="151">
        <f>P6</f>
        <v>75174</v>
      </c>
      <c r="J16" s="21"/>
      <c r="K16" s="21"/>
      <c r="L16" s="439"/>
      <c r="M16" s="439"/>
      <c r="N16" s="439"/>
      <c r="O16" s="439"/>
      <c r="P16" s="439"/>
      <c r="Q16" s="21"/>
    </row>
    <row r="17" spans="1:17" ht="79.5" customHeight="1" x14ac:dyDescent="0.25">
      <c r="A17" s="23" t="str">
        <f>H8</f>
        <v>specific result</v>
      </c>
      <c r="B17" s="23" t="str">
        <f>I8</f>
        <v>Users benefiting  from higher quality electricity supply (Vartotojai, kuriems pagerėjo tiekiamos elektros energijos kokybė)</v>
      </c>
      <c r="C17" s="26" t="str">
        <f>L8</f>
        <v>end users/ year
(galutiniai vartotojai per metus)</v>
      </c>
      <c r="D17" s="26">
        <f>M8</f>
        <v>0</v>
      </c>
      <c r="E17" s="26" t="s">
        <v>252</v>
      </c>
      <c r="F17" s="26" t="s">
        <v>144</v>
      </c>
      <c r="G17" s="26">
        <v>2020</v>
      </c>
      <c r="H17" s="151" t="s">
        <v>47</v>
      </c>
      <c r="I17" s="151">
        <f>P8</f>
        <v>183362</v>
      </c>
      <c r="J17" s="21"/>
      <c r="K17" s="21"/>
      <c r="L17" s="210"/>
      <c r="M17" s="21"/>
      <c r="N17" s="21"/>
      <c r="O17" s="21"/>
      <c r="P17" s="21"/>
      <c r="Q17" s="21"/>
    </row>
    <row r="18" spans="1:17" x14ac:dyDescent="0.25">
      <c r="B18" s="6"/>
      <c r="C18" s="21"/>
      <c r="D18" s="21"/>
      <c r="E18" s="21"/>
      <c r="F18" s="21"/>
      <c r="G18" s="21"/>
      <c r="H18" s="21">
        <f>SUM(H14:H17)</f>
        <v>0</v>
      </c>
      <c r="I18" s="209">
        <f>SUM(I14:I17)</f>
        <v>262801</v>
      </c>
      <c r="J18" s="21" t="b">
        <f>I18=P10</f>
        <v>1</v>
      </c>
      <c r="K18" s="21"/>
      <c r="L18" s="210"/>
      <c r="M18" s="21"/>
      <c r="N18" s="21"/>
      <c r="O18" s="21"/>
      <c r="P18" s="21"/>
      <c r="Q18" s="21"/>
    </row>
    <row r="19" spans="1:17" x14ac:dyDescent="0.25">
      <c r="C19" s="21"/>
      <c r="D19" s="21"/>
      <c r="E19" s="21"/>
      <c r="F19" s="21"/>
      <c r="G19" s="21"/>
      <c r="H19" s="21"/>
      <c r="I19" s="21"/>
      <c r="J19" s="21"/>
      <c r="K19" s="21"/>
      <c r="L19" s="210"/>
      <c r="M19" s="21"/>
      <c r="N19" s="21"/>
      <c r="O19" s="21"/>
      <c r="P19" s="21"/>
      <c r="Q19" s="21"/>
    </row>
    <row r="20" spans="1:17" x14ac:dyDescent="0.25">
      <c r="C20" s="21"/>
      <c r="D20" s="21"/>
      <c r="E20" s="21"/>
      <c r="F20" s="21"/>
      <c r="G20" s="21"/>
      <c r="H20" s="21"/>
      <c r="I20" s="21"/>
      <c r="J20" s="21"/>
      <c r="K20" s="21"/>
      <c r="L20" s="210"/>
      <c r="M20" s="21"/>
      <c r="N20" s="21"/>
      <c r="O20" s="21"/>
      <c r="P20" s="21"/>
      <c r="Q20" s="21"/>
    </row>
  </sheetData>
  <mergeCells count="33">
    <mergeCell ref="S4:S5"/>
    <mergeCell ref="R4:R5"/>
    <mergeCell ref="L16:P16"/>
    <mergeCell ref="A4:A5"/>
    <mergeCell ref="C4:C5"/>
    <mergeCell ref="D4:F4"/>
    <mergeCell ref="G4:G5"/>
    <mergeCell ref="H4:I4"/>
    <mergeCell ref="A6:A9"/>
    <mergeCell ref="C6:C7"/>
    <mergeCell ref="D6:D7"/>
    <mergeCell ref="E6:E7"/>
    <mergeCell ref="F6:F7"/>
    <mergeCell ref="C8:C9"/>
    <mergeCell ref="D8:D9"/>
    <mergeCell ref="E8:E9"/>
    <mergeCell ref="F8:F9"/>
    <mergeCell ref="Q4:Q5"/>
    <mergeCell ref="J4:J5"/>
    <mergeCell ref="B4:B5"/>
    <mergeCell ref="B6:B7"/>
    <mergeCell ref="J6:J7"/>
    <mergeCell ref="K6:K7"/>
    <mergeCell ref="G6:G7"/>
    <mergeCell ref="K4:K5"/>
    <mergeCell ref="L4:L5"/>
    <mergeCell ref="M4:N4"/>
    <mergeCell ref="O4:O5"/>
    <mergeCell ref="B8:B9"/>
    <mergeCell ref="J8:J9"/>
    <mergeCell ref="K8:K9"/>
    <mergeCell ref="G8:G9"/>
    <mergeCell ref="P4:P5"/>
  </mergeCells>
  <phoneticPr fontId="6" type="noConversion"/>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9"/>
  <sheetViews>
    <sheetView topLeftCell="A16" zoomScale="80" zoomScaleNormal="80" workbookViewId="0">
      <selection activeCell="A5" sqref="A5:A8"/>
    </sheetView>
  </sheetViews>
  <sheetFormatPr defaultRowHeight="15" x14ac:dyDescent="0.25"/>
  <cols>
    <col min="1" max="1" width="18.42578125" style="17" customWidth="1"/>
    <col min="2" max="2" width="20.5703125" style="17" customWidth="1"/>
    <col min="3" max="3" width="43.42578125" style="17" customWidth="1"/>
    <col min="4" max="4" width="17.42578125" style="17" customWidth="1"/>
    <col min="5" max="5" width="20.5703125" style="17" customWidth="1"/>
    <col min="6" max="6" width="13.42578125" style="17" bestFit="1" customWidth="1"/>
    <col min="7" max="7" width="11.42578125" style="17" customWidth="1"/>
    <col min="8" max="8" width="15.5703125" style="17" customWidth="1"/>
    <col min="9" max="9" width="15.85546875" style="17" customWidth="1"/>
    <col min="10" max="10" width="9.140625" style="17"/>
    <col min="11" max="11" width="14.42578125" style="17" customWidth="1"/>
    <col min="12" max="12" width="9.140625" style="17"/>
    <col min="13" max="13" width="8.5703125" style="17" customWidth="1"/>
    <col min="14" max="14" width="11.85546875" style="17" customWidth="1"/>
    <col min="15" max="15" width="11.42578125" style="17" customWidth="1"/>
    <col min="16" max="16" width="17.85546875" style="17" customWidth="1"/>
    <col min="17" max="17" width="0.140625" style="17" customWidth="1"/>
    <col min="18" max="18" width="66.5703125" style="93" customWidth="1"/>
  </cols>
  <sheetData>
    <row r="1" spans="1:19" ht="21" x14ac:dyDescent="0.35">
      <c r="A1" s="20" t="s">
        <v>42</v>
      </c>
      <c r="B1" s="20"/>
      <c r="C1" s="20"/>
      <c r="D1" s="20"/>
      <c r="E1" s="20"/>
      <c r="F1" s="20"/>
      <c r="G1" s="20"/>
      <c r="H1" s="20"/>
      <c r="I1" s="20"/>
      <c r="J1" s="20"/>
      <c r="K1" s="20"/>
    </row>
    <row r="2" spans="1:19" ht="15.75" thickBot="1" x14ac:dyDescent="0.3"/>
    <row r="3" spans="1:19" ht="14.85" customHeight="1" thickBot="1" x14ac:dyDescent="0.3">
      <c r="A3" s="452" t="s">
        <v>0</v>
      </c>
      <c r="B3" s="351" t="s">
        <v>1</v>
      </c>
      <c r="C3" s="443" t="s">
        <v>2</v>
      </c>
      <c r="D3" s="454"/>
      <c r="E3" s="455"/>
      <c r="F3" s="456" t="s">
        <v>20</v>
      </c>
      <c r="G3" s="458" t="s">
        <v>111</v>
      </c>
      <c r="H3" s="459"/>
      <c r="I3" s="351" t="s">
        <v>181</v>
      </c>
      <c r="J3" s="470" t="s">
        <v>115</v>
      </c>
      <c r="K3" s="351" t="s">
        <v>182</v>
      </c>
      <c r="L3" s="443" t="s">
        <v>140</v>
      </c>
      <c r="M3" s="455"/>
      <c r="N3" s="351" t="s">
        <v>124</v>
      </c>
      <c r="O3" s="351" t="s">
        <v>123</v>
      </c>
      <c r="P3" s="351" t="s">
        <v>172</v>
      </c>
      <c r="Q3" s="289" t="s">
        <v>9</v>
      </c>
      <c r="R3" s="461" t="s">
        <v>61</v>
      </c>
    </row>
    <row r="4" spans="1:19" ht="75.95" customHeight="1" thickBot="1" x14ac:dyDescent="0.3">
      <c r="A4" s="453"/>
      <c r="B4" s="352"/>
      <c r="C4" s="133" t="s">
        <v>10</v>
      </c>
      <c r="D4" s="134" t="s">
        <v>183</v>
      </c>
      <c r="E4" s="135" t="s">
        <v>44</v>
      </c>
      <c r="F4" s="457"/>
      <c r="G4" s="136" t="s">
        <v>113</v>
      </c>
      <c r="H4" s="136" t="s">
        <v>114</v>
      </c>
      <c r="I4" s="352"/>
      <c r="J4" s="471"/>
      <c r="K4" s="352"/>
      <c r="L4" s="137" t="s">
        <v>126</v>
      </c>
      <c r="M4" s="137" t="s">
        <v>125</v>
      </c>
      <c r="N4" s="352"/>
      <c r="O4" s="352"/>
      <c r="P4" s="352"/>
      <c r="Q4" s="460"/>
      <c r="R4" s="462"/>
    </row>
    <row r="5" spans="1:19" ht="100.5" customHeight="1" x14ac:dyDescent="0.25">
      <c r="A5" s="463" t="s">
        <v>167</v>
      </c>
      <c r="B5" s="465">
        <v>8750000</v>
      </c>
      <c r="C5" s="466" t="s">
        <v>168</v>
      </c>
      <c r="D5" s="465">
        <f>B5</f>
        <v>8750000</v>
      </c>
      <c r="E5" s="467">
        <f>B5+D5</f>
        <v>17500000</v>
      </c>
      <c r="F5" s="468">
        <f>E5</f>
        <v>17500000</v>
      </c>
      <c r="G5" s="62" t="s">
        <v>28</v>
      </c>
      <c r="H5" s="23" t="s">
        <v>169</v>
      </c>
      <c r="I5" s="23" t="s">
        <v>119</v>
      </c>
      <c r="J5" s="23" t="s">
        <v>120</v>
      </c>
      <c r="K5" s="23" t="s">
        <v>162</v>
      </c>
      <c r="L5" s="62">
        <v>26250</v>
      </c>
      <c r="M5" s="62">
        <v>2021</v>
      </c>
      <c r="N5" s="112" t="s">
        <v>47</v>
      </c>
      <c r="O5" s="124">
        <v>26250</v>
      </c>
      <c r="P5" s="124" t="s">
        <v>121</v>
      </c>
      <c r="Q5" s="128" t="s">
        <v>173</v>
      </c>
      <c r="R5" s="98" t="s">
        <v>163</v>
      </c>
      <c r="S5" s="141"/>
    </row>
    <row r="6" spans="1:19" ht="168" customHeight="1" thickBot="1" x14ac:dyDescent="0.3">
      <c r="A6" s="464"/>
      <c r="B6" s="381"/>
      <c r="C6" s="266"/>
      <c r="D6" s="365"/>
      <c r="E6" s="412"/>
      <c r="F6" s="469"/>
      <c r="G6" s="27" t="s">
        <v>118</v>
      </c>
      <c r="H6" s="27" t="s">
        <v>170</v>
      </c>
      <c r="I6" s="27" t="s">
        <v>119</v>
      </c>
      <c r="J6" s="27" t="s">
        <v>120</v>
      </c>
      <c r="K6" s="27" t="s">
        <v>161</v>
      </c>
      <c r="L6" s="122">
        <v>0</v>
      </c>
      <c r="M6" s="122" t="s">
        <v>47</v>
      </c>
      <c r="N6" s="27">
        <v>78</v>
      </c>
      <c r="O6" s="27">
        <v>391</v>
      </c>
      <c r="P6" s="76" t="s">
        <v>121</v>
      </c>
      <c r="Q6" s="105" t="s">
        <v>174</v>
      </c>
      <c r="R6" s="150" t="s">
        <v>188</v>
      </c>
      <c r="S6" s="141"/>
    </row>
    <row r="7" spans="1:19" ht="89.25" customHeight="1" x14ac:dyDescent="0.25">
      <c r="A7" s="464"/>
      <c r="B7" s="412">
        <v>16250000</v>
      </c>
      <c r="C7" s="466" t="s">
        <v>168</v>
      </c>
      <c r="D7" s="465">
        <f>B7</f>
        <v>16250000</v>
      </c>
      <c r="E7" s="467">
        <f>B7+D7</f>
        <v>32500000</v>
      </c>
      <c r="F7" s="480">
        <f>E7</f>
        <v>32500000</v>
      </c>
      <c r="G7" s="86" t="s">
        <v>28</v>
      </c>
      <c r="H7" s="126" t="s">
        <v>169</v>
      </c>
      <c r="I7" s="77" t="s">
        <v>160</v>
      </c>
      <c r="J7" s="77" t="s">
        <v>144</v>
      </c>
      <c r="K7" s="77" t="s">
        <v>162</v>
      </c>
      <c r="L7" s="86">
        <v>50800</v>
      </c>
      <c r="M7" s="86">
        <v>2021</v>
      </c>
      <c r="N7" s="127" t="s">
        <v>47</v>
      </c>
      <c r="O7" s="77">
        <v>50800</v>
      </c>
      <c r="P7" s="145" t="s">
        <v>121</v>
      </c>
      <c r="Q7" s="129" t="s">
        <v>175</v>
      </c>
      <c r="R7" s="146" t="s">
        <v>164</v>
      </c>
      <c r="S7" s="141"/>
    </row>
    <row r="8" spans="1:19" ht="137.25" customHeight="1" thickBot="1" x14ac:dyDescent="0.3">
      <c r="A8" s="464"/>
      <c r="B8" s="412"/>
      <c r="C8" s="266"/>
      <c r="D8" s="365"/>
      <c r="E8" s="412"/>
      <c r="F8" s="469"/>
      <c r="G8" s="27" t="s">
        <v>118</v>
      </c>
      <c r="H8" s="27" t="s">
        <v>170</v>
      </c>
      <c r="I8" s="27" t="s">
        <v>160</v>
      </c>
      <c r="J8" s="27" t="s">
        <v>144</v>
      </c>
      <c r="K8" s="27" t="s">
        <v>161</v>
      </c>
      <c r="L8" s="122">
        <v>0</v>
      </c>
      <c r="M8" s="122" t="s">
        <v>47</v>
      </c>
      <c r="N8" s="27">
        <v>153</v>
      </c>
      <c r="O8" s="27">
        <v>767</v>
      </c>
      <c r="P8" s="27" t="s">
        <v>121</v>
      </c>
      <c r="Q8" s="105" t="s">
        <v>176</v>
      </c>
      <c r="R8" s="149" t="s">
        <v>187</v>
      </c>
      <c r="S8" s="141"/>
    </row>
    <row r="9" spans="1:19" ht="118.5" customHeight="1" x14ac:dyDescent="0.25">
      <c r="A9" s="463" t="s">
        <v>166</v>
      </c>
      <c r="B9" s="467">
        <v>8750000</v>
      </c>
      <c r="C9" s="473" t="s">
        <v>168</v>
      </c>
      <c r="D9" s="475">
        <f>B9</f>
        <v>8750000</v>
      </c>
      <c r="E9" s="477">
        <f>B9+D9</f>
        <v>17500000</v>
      </c>
      <c r="F9" s="480">
        <f>E9</f>
        <v>17500000</v>
      </c>
      <c r="G9" s="86" t="s">
        <v>28</v>
      </c>
      <c r="H9" s="77" t="s">
        <v>169</v>
      </c>
      <c r="I9" s="77" t="s">
        <v>119</v>
      </c>
      <c r="J9" s="77" t="s">
        <v>120</v>
      </c>
      <c r="K9" s="77" t="s">
        <v>162</v>
      </c>
      <c r="L9" s="86">
        <v>28600</v>
      </c>
      <c r="M9" s="86">
        <v>2021</v>
      </c>
      <c r="N9" s="86" t="s">
        <v>47</v>
      </c>
      <c r="O9" s="77">
        <v>28600</v>
      </c>
      <c r="P9" s="77" t="s">
        <v>121</v>
      </c>
      <c r="Q9" s="128" t="s">
        <v>177</v>
      </c>
      <c r="R9" s="144" t="s">
        <v>171</v>
      </c>
      <c r="S9" s="141"/>
    </row>
    <row r="10" spans="1:19" ht="165.75" customHeight="1" thickBot="1" x14ac:dyDescent="0.3">
      <c r="A10" s="464"/>
      <c r="B10" s="381"/>
      <c r="C10" s="474"/>
      <c r="D10" s="476"/>
      <c r="E10" s="478"/>
      <c r="F10" s="469"/>
      <c r="G10" s="76" t="s">
        <v>118</v>
      </c>
      <c r="H10" s="27" t="s">
        <v>170</v>
      </c>
      <c r="I10" s="27" t="s">
        <v>119</v>
      </c>
      <c r="J10" s="27" t="s">
        <v>120</v>
      </c>
      <c r="K10" s="76" t="s">
        <v>161</v>
      </c>
      <c r="L10" s="85">
        <v>0</v>
      </c>
      <c r="M10" s="85" t="s">
        <v>47</v>
      </c>
      <c r="N10" s="76">
        <v>100</v>
      </c>
      <c r="O10" s="76">
        <v>498</v>
      </c>
      <c r="P10" s="76" t="s">
        <v>121</v>
      </c>
      <c r="Q10" s="130" t="s">
        <v>178</v>
      </c>
      <c r="R10" s="143" t="s">
        <v>184</v>
      </c>
    </row>
    <row r="11" spans="1:19" ht="120.75" customHeight="1" x14ac:dyDescent="0.25">
      <c r="A11" s="464"/>
      <c r="B11" s="467">
        <v>16250000</v>
      </c>
      <c r="C11" s="473" t="s">
        <v>168</v>
      </c>
      <c r="D11" s="475">
        <f>B11</f>
        <v>16250000</v>
      </c>
      <c r="E11" s="477">
        <f>B11+D11</f>
        <v>32500000</v>
      </c>
      <c r="F11" s="468">
        <f>E11</f>
        <v>32500000</v>
      </c>
      <c r="G11" s="112" t="s">
        <v>39</v>
      </c>
      <c r="H11" s="77" t="s">
        <v>169</v>
      </c>
      <c r="I11" s="77" t="s">
        <v>160</v>
      </c>
      <c r="J11" s="77" t="s">
        <v>144</v>
      </c>
      <c r="K11" s="124" t="s">
        <v>162</v>
      </c>
      <c r="L11" s="112">
        <v>53104</v>
      </c>
      <c r="M11" s="112">
        <v>2021</v>
      </c>
      <c r="N11" s="112" t="s">
        <v>47</v>
      </c>
      <c r="O11" s="124">
        <v>53104</v>
      </c>
      <c r="P11" s="124" t="s">
        <v>121</v>
      </c>
      <c r="Q11" s="131" t="s">
        <v>179</v>
      </c>
      <c r="R11" s="142" t="s">
        <v>165</v>
      </c>
    </row>
    <row r="12" spans="1:19" ht="213.75" customHeight="1" thickBot="1" x14ac:dyDescent="0.3">
      <c r="A12" s="472"/>
      <c r="B12" s="479"/>
      <c r="C12" s="474"/>
      <c r="D12" s="476"/>
      <c r="E12" s="478"/>
      <c r="F12" s="469"/>
      <c r="G12" s="27" t="s">
        <v>118</v>
      </c>
      <c r="H12" s="27" t="s">
        <v>170</v>
      </c>
      <c r="I12" s="27" t="s">
        <v>160</v>
      </c>
      <c r="J12" s="27" t="s">
        <v>144</v>
      </c>
      <c r="K12" s="76" t="s">
        <v>161</v>
      </c>
      <c r="L12" s="122">
        <v>0</v>
      </c>
      <c r="M12" s="85" t="s">
        <v>47</v>
      </c>
      <c r="N12" s="76">
        <v>185</v>
      </c>
      <c r="O12" s="76">
        <v>925</v>
      </c>
      <c r="P12" s="76" t="s">
        <v>121</v>
      </c>
      <c r="Q12" s="132" t="s">
        <v>180</v>
      </c>
      <c r="R12" s="140" t="s">
        <v>185</v>
      </c>
      <c r="S12" s="141"/>
    </row>
    <row r="13" spans="1:19" ht="130.5" customHeight="1" x14ac:dyDescent="0.25">
      <c r="K13" s="19"/>
      <c r="M13" s="19"/>
      <c r="N13" s="19"/>
      <c r="O13" s="19"/>
      <c r="P13" s="19"/>
      <c r="Q13" s="22"/>
      <c r="R13" s="139"/>
    </row>
    <row r="14" spans="1:19" ht="42" customHeight="1" x14ac:dyDescent="0.25">
      <c r="A14" s="35" t="s">
        <v>143</v>
      </c>
      <c r="B14" s="46" t="s">
        <v>142</v>
      </c>
      <c r="C14" s="35" t="s">
        <v>116</v>
      </c>
      <c r="D14" s="35" t="s">
        <v>140</v>
      </c>
      <c r="E14" s="35" t="s">
        <v>112</v>
      </c>
      <c r="F14" s="35" t="s">
        <v>115</v>
      </c>
      <c r="G14" s="35" t="s">
        <v>141</v>
      </c>
      <c r="H14" s="35" t="s">
        <v>124</v>
      </c>
      <c r="I14" s="35" t="s">
        <v>123</v>
      </c>
    </row>
    <row r="15" spans="1:19" ht="42" customHeight="1" x14ac:dyDescent="0.25">
      <c r="A15" s="23" t="s">
        <v>118</v>
      </c>
      <c r="B15" s="23" t="s">
        <v>170</v>
      </c>
      <c r="C15" s="23" t="s">
        <v>161</v>
      </c>
      <c r="D15" s="18">
        <v>0</v>
      </c>
      <c r="E15" s="23" t="s">
        <v>119</v>
      </c>
      <c r="F15" s="138" t="s">
        <v>120</v>
      </c>
      <c r="G15" s="138" t="s">
        <v>47</v>
      </c>
      <c r="H15" s="148">
        <f>SUM(N6,N10)</f>
        <v>178</v>
      </c>
      <c r="I15" s="148">
        <f>SUM(O6,O10)</f>
        <v>889</v>
      </c>
    </row>
    <row r="16" spans="1:19" ht="54.75" customHeight="1" x14ac:dyDescent="0.25">
      <c r="A16" s="23" t="s">
        <v>118</v>
      </c>
      <c r="B16" s="23" t="s">
        <v>170</v>
      </c>
      <c r="C16" s="23" t="s">
        <v>161</v>
      </c>
      <c r="D16" s="18">
        <v>0</v>
      </c>
      <c r="E16" s="23" t="s">
        <v>160</v>
      </c>
      <c r="F16" s="138" t="s">
        <v>144</v>
      </c>
      <c r="G16" s="138" t="s">
        <v>47</v>
      </c>
      <c r="H16" s="148">
        <f>SUM(N8,N12)</f>
        <v>338</v>
      </c>
      <c r="I16" s="148">
        <f>SUM(O8,O12)</f>
        <v>1692</v>
      </c>
    </row>
    <row r="17" spans="1:9" ht="45.75" customHeight="1" x14ac:dyDescent="0.25">
      <c r="A17" s="18" t="s">
        <v>28</v>
      </c>
      <c r="B17" s="23" t="s">
        <v>169</v>
      </c>
      <c r="C17" s="23" t="s">
        <v>162</v>
      </c>
      <c r="D17" s="148">
        <f>SUM(L5,L9)</f>
        <v>54850</v>
      </c>
      <c r="E17" s="138" t="s">
        <v>186</v>
      </c>
      <c r="F17" s="138" t="s">
        <v>120</v>
      </c>
      <c r="G17" s="18">
        <v>2019</v>
      </c>
      <c r="H17" s="163" t="s">
        <v>47</v>
      </c>
      <c r="I17" s="148">
        <f>SUM(O5,O9)</f>
        <v>54850</v>
      </c>
    </row>
    <row r="18" spans="1:9" ht="55.5" customHeight="1" x14ac:dyDescent="0.25">
      <c r="A18" s="18" t="s">
        <v>28</v>
      </c>
      <c r="B18" s="23" t="s">
        <v>169</v>
      </c>
      <c r="C18" s="23" t="s">
        <v>162</v>
      </c>
      <c r="D18" s="148">
        <f>SUM(L7,L11)</f>
        <v>103904</v>
      </c>
      <c r="E18" s="23" t="s">
        <v>160</v>
      </c>
      <c r="F18" s="138" t="s">
        <v>144</v>
      </c>
      <c r="G18" s="18">
        <v>2019</v>
      </c>
      <c r="H18" s="163" t="s">
        <v>47</v>
      </c>
      <c r="I18" s="148">
        <f>SUM(O7,O11)</f>
        <v>103904</v>
      </c>
    </row>
    <row r="19" spans="1:9" x14ac:dyDescent="0.25">
      <c r="A19" s="147"/>
      <c r="B19" s="22"/>
    </row>
  </sheetData>
  <mergeCells count="36">
    <mergeCell ref="F11:F12"/>
    <mergeCell ref="D7:D8"/>
    <mergeCell ref="E7:E8"/>
    <mergeCell ref="F7:F8"/>
    <mergeCell ref="F9:F10"/>
    <mergeCell ref="A9:A12"/>
    <mergeCell ref="B9:B10"/>
    <mergeCell ref="C9:C10"/>
    <mergeCell ref="D9:D10"/>
    <mergeCell ref="E9:E10"/>
    <mergeCell ref="B11:B12"/>
    <mergeCell ref="C11:C12"/>
    <mergeCell ref="D11:D12"/>
    <mergeCell ref="E11:E12"/>
    <mergeCell ref="Q3:Q4"/>
    <mergeCell ref="R3:R4"/>
    <mergeCell ref="A5:A8"/>
    <mergeCell ref="B5:B6"/>
    <mergeCell ref="C5:C6"/>
    <mergeCell ref="D5:D6"/>
    <mergeCell ref="E5:E6"/>
    <mergeCell ref="F5:F6"/>
    <mergeCell ref="B7:B8"/>
    <mergeCell ref="C7:C8"/>
    <mergeCell ref="J3:J4"/>
    <mergeCell ref="K3:K4"/>
    <mergeCell ref="L3:M3"/>
    <mergeCell ref="N3:N4"/>
    <mergeCell ref="O3:O4"/>
    <mergeCell ref="P3:P4"/>
    <mergeCell ref="I3:I4"/>
    <mergeCell ref="A3:A4"/>
    <mergeCell ref="B3:B4"/>
    <mergeCell ref="C3:E3"/>
    <mergeCell ref="F3:F4"/>
    <mergeCell ref="G3:H3"/>
  </mergeCells>
  <phoneticPr fontId="6"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C21"/>
  <sheetViews>
    <sheetView zoomScale="75" zoomScaleNormal="75" workbookViewId="0">
      <selection activeCell="C6" sqref="C6:C13"/>
    </sheetView>
  </sheetViews>
  <sheetFormatPr defaultRowHeight="15" x14ac:dyDescent="0.25"/>
  <cols>
    <col min="1" max="1" width="8.7109375" customWidth="1"/>
    <col min="2" max="2" width="21.7109375" customWidth="1"/>
    <col min="3" max="3" width="77.140625" customWidth="1"/>
  </cols>
  <sheetData>
    <row r="3" spans="1:3" ht="15.75" x14ac:dyDescent="0.25">
      <c r="A3" s="221" t="s">
        <v>266</v>
      </c>
      <c r="B3" s="222" t="s">
        <v>267</v>
      </c>
      <c r="C3" s="223" t="s">
        <v>268</v>
      </c>
    </row>
    <row r="4" spans="1:3" ht="15.75" x14ac:dyDescent="0.25">
      <c r="A4" s="221">
        <v>1</v>
      </c>
      <c r="B4" s="222" t="s">
        <v>257</v>
      </c>
      <c r="C4" s="223" t="s">
        <v>269</v>
      </c>
    </row>
    <row r="5" spans="1:3" ht="15.75" x14ac:dyDescent="0.25">
      <c r="A5" s="221">
        <f>A4+1</f>
        <v>2</v>
      </c>
      <c r="B5" s="222" t="s">
        <v>258</v>
      </c>
      <c r="C5" s="223" t="s">
        <v>264</v>
      </c>
    </row>
    <row r="6" spans="1:3" ht="15.75" x14ac:dyDescent="0.25">
      <c r="A6" s="221">
        <f t="shared" ref="A6:A21" si="0">A5+1</f>
        <v>3</v>
      </c>
      <c r="B6" s="222" t="s">
        <v>116</v>
      </c>
      <c r="C6" s="226" t="s">
        <v>256</v>
      </c>
    </row>
    <row r="7" spans="1:3" ht="15.75" x14ac:dyDescent="0.25">
      <c r="A7" s="221">
        <f t="shared" si="0"/>
        <v>4</v>
      </c>
      <c r="B7" s="222" t="s">
        <v>270</v>
      </c>
      <c r="C7" s="227" t="s">
        <v>271</v>
      </c>
    </row>
    <row r="8" spans="1:3" ht="15.75" x14ac:dyDescent="0.25">
      <c r="A8" s="221">
        <f t="shared" si="0"/>
        <v>5</v>
      </c>
      <c r="B8" s="222" t="s">
        <v>140</v>
      </c>
      <c r="C8" s="228">
        <v>0</v>
      </c>
    </row>
    <row r="9" spans="1:3" ht="15.75" x14ac:dyDescent="0.25">
      <c r="A9" s="221">
        <f t="shared" si="0"/>
        <v>6</v>
      </c>
      <c r="B9" s="222" t="s">
        <v>124</v>
      </c>
      <c r="C9" s="227" t="s">
        <v>272</v>
      </c>
    </row>
    <row r="10" spans="1:3" ht="15.75" x14ac:dyDescent="0.25">
      <c r="A10" s="221">
        <f t="shared" si="0"/>
        <v>7</v>
      </c>
      <c r="B10" s="222" t="s">
        <v>123</v>
      </c>
      <c r="C10" s="227" t="s">
        <v>273</v>
      </c>
    </row>
    <row r="11" spans="1:3" ht="15.75" x14ac:dyDescent="0.25">
      <c r="A11" s="221">
        <f t="shared" si="0"/>
        <v>8</v>
      </c>
      <c r="B11" s="222" t="s">
        <v>274</v>
      </c>
      <c r="C11" s="229" t="s">
        <v>275</v>
      </c>
    </row>
    <row r="12" spans="1:3" ht="15.75" x14ac:dyDescent="0.25">
      <c r="A12" s="221">
        <f t="shared" si="0"/>
        <v>9</v>
      </c>
      <c r="B12" s="222" t="s">
        <v>276</v>
      </c>
      <c r="C12" s="230" t="s">
        <v>277</v>
      </c>
    </row>
    <row r="13" spans="1:3" ht="94.5" x14ac:dyDescent="0.25">
      <c r="A13" s="221">
        <f t="shared" si="0"/>
        <v>10</v>
      </c>
      <c r="B13" s="222" t="s">
        <v>278</v>
      </c>
      <c r="C13" s="230" t="s">
        <v>290</v>
      </c>
    </row>
    <row r="14" spans="1:3" ht="15.75" x14ac:dyDescent="0.25">
      <c r="A14" s="221">
        <f t="shared" si="0"/>
        <v>11</v>
      </c>
      <c r="B14" s="222" t="s">
        <v>279</v>
      </c>
      <c r="C14" s="223" t="s">
        <v>121</v>
      </c>
    </row>
    <row r="15" spans="1:3" ht="31.5" x14ac:dyDescent="0.25">
      <c r="A15" s="221">
        <f t="shared" si="0"/>
        <v>12</v>
      </c>
      <c r="B15" s="222" t="s">
        <v>280</v>
      </c>
      <c r="C15" s="224" t="s">
        <v>281</v>
      </c>
    </row>
    <row r="16" spans="1:3" ht="15.75" x14ac:dyDescent="0.25">
      <c r="A16" s="221">
        <f t="shared" si="0"/>
        <v>13</v>
      </c>
      <c r="B16" s="222" t="s">
        <v>282</v>
      </c>
      <c r="C16" s="223"/>
    </row>
    <row r="17" spans="1:3" ht="15.75" x14ac:dyDescent="0.25">
      <c r="A17" s="221">
        <f t="shared" si="0"/>
        <v>14</v>
      </c>
      <c r="B17" s="222" t="s">
        <v>283</v>
      </c>
      <c r="C17" s="223"/>
    </row>
    <row r="18" spans="1:3" ht="15.75" x14ac:dyDescent="0.25">
      <c r="A18" s="221">
        <f t="shared" si="0"/>
        <v>15</v>
      </c>
      <c r="B18" s="222" t="s">
        <v>284</v>
      </c>
      <c r="C18" s="225"/>
    </row>
    <row r="19" spans="1:3" ht="31.5" x14ac:dyDescent="0.25">
      <c r="A19" s="221">
        <f t="shared" si="0"/>
        <v>16</v>
      </c>
      <c r="B19" s="222" t="s">
        <v>285</v>
      </c>
      <c r="C19" s="223"/>
    </row>
    <row r="20" spans="1:3" ht="15.75" x14ac:dyDescent="0.25">
      <c r="A20" s="221">
        <f>A19+1</f>
        <v>17</v>
      </c>
      <c r="B20" s="222" t="s">
        <v>286</v>
      </c>
      <c r="C20" s="223"/>
    </row>
    <row r="21" spans="1:3" ht="15.75" x14ac:dyDescent="0.25">
      <c r="A21" s="221">
        <f t="shared" si="0"/>
        <v>18</v>
      </c>
      <c r="B21" s="222" t="s">
        <v>287</v>
      </c>
      <c r="C21" s="2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CEEC09998B21144E8648D4F5A3350EFB" ma:contentTypeVersion="14" ma:contentTypeDescription="Kurkite naują dokumentą." ma:contentTypeScope="" ma:versionID="b648d44df276142aac49f77d4b739630">
  <xsd:schema xmlns:xsd="http://www.w3.org/2001/XMLSchema" xmlns:xs="http://www.w3.org/2001/XMLSchema" xmlns:p="http://schemas.microsoft.com/office/2006/metadata/properties" xmlns:ns3="7e1cde7d-1d3d-42a6-b142-3e8b75033348" xmlns:ns4="d2426d7b-0fc7-434c-bfb8-842f1e3498f8" targetNamespace="http://schemas.microsoft.com/office/2006/metadata/properties" ma:root="true" ma:fieldsID="67fa67e73eb449c2ad27a6c3488f0e5d" ns3:_="" ns4:_="">
    <xsd:import namespace="7e1cde7d-1d3d-42a6-b142-3e8b75033348"/>
    <xsd:import namespace="d2426d7b-0fc7-434c-bfb8-842f1e3498f8"/>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AutoTags" minOccurs="0"/>
                <xsd:element ref="ns4:MediaServiceDateTaken" minOccurs="0"/>
                <xsd:element ref="ns4:MediaServiceOCR"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1cde7d-1d3d-42a6-b142-3e8b75033348"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description="" ma:internalName="SharedWithDetails" ma:readOnly="true">
      <xsd:simpleType>
        <xsd:restriction base="dms:Note">
          <xsd:maxLength value="255"/>
        </xsd:restriction>
      </xsd:simpleType>
    </xsd:element>
    <xsd:element name="SharingHintHash" ma:index="10" nillable="true" ma:displayName="Bendrinimo užuominos maiša" ma:description="" ma:hidden="true" ma:internalName="SharingHintHash" ma:readOnly="true">
      <xsd:simpleType>
        <xsd:restriction base="dms:Text"/>
      </xsd:simpleType>
    </xsd:element>
    <xsd:element name="LastSharedByUser" ma:index="11" nillable="true" ma:displayName="Paskutinį kartą bendrinta pagal vartotoją" ma:description="" ma:internalName="LastSharedByUser" ma:readOnly="true">
      <xsd:simpleType>
        <xsd:restriction base="dms:Note">
          <xsd:maxLength value="255"/>
        </xsd:restriction>
      </xsd:simpleType>
    </xsd:element>
    <xsd:element name="LastSharedByTime" ma:index="12" nillable="true" ma:displayName="Paskutinį kartą bendrinta pagal laiką"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2426d7b-0fc7-434c-bfb8-842f1e3498f8"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50B916-2488-43D2-8BF8-930DBC63F1D7}">
  <ds:schemaRefs>
    <ds:schemaRef ds:uri="http://schemas.microsoft.com/office/2006/metadata/properties"/>
    <ds:schemaRef ds:uri="http://purl.org/dc/terms/"/>
    <ds:schemaRef ds:uri="http://schemas.microsoft.com/office/2006/documentManagement/types"/>
    <ds:schemaRef ds:uri="d2426d7b-0fc7-434c-bfb8-842f1e3498f8"/>
    <ds:schemaRef ds:uri="http://schemas.openxmlformats.org/package/2006/metadata/core-properties"/>
    <ds:schemaRef ds:uri="http://purl.org/dc/elements/1.1/"/>
    <ds:schemaRef ds:uri="http://schemas.microsoft.com/office/infopath/2007/PartnerControls"/>
    <ds:schemaRef ds:uri="7e1cde7d-1d3d-42a6-b142-3e8b75033348"/>
    <ds:schemaRef ds:uri="http://www.w3.org/XML/1998/namespace"/>
    <ds:schemaRef ds:uri="http://purl.org/dc/dcmitype/"/>
  </ds:schemaRefs>
</ds:datastoreItem>
</file>

<file path=customXml/itemProps2.xml><?xml version="1.0" encoding="utf-8"?>
<ds:datastoreItem xmlns:ds="http://schemas.openxmlformats.org/officeDocument/2006/customXml" ds:itemID="{7BF14CE1-BFCD-4474-8232-9AC7973BA9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1cde7d-1d3d-42a6-b142-3e8b75033348"/>
    <ds:schemaRef ds:uri="d2426d7b-0fc7-434c-bfb8-842f1e3498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1328FB-344B-49E6-80F0-5AD1B8E393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6</vt:i4>
      </vt:variant>
    </vt:vector>
  </HeadingPairs>
  <TitlesOfParts>
    <vt:vector size="6" baseType="lpstr">
      <vt:lpstr>2PO 2.1 (e)</vt:lpstr>
      <vt:lpstr>2PO 2.1 (eng)</vt:lpstr>
      <vt:lpstr>2PO 2.2 (eng)</vt:lpstr>
      <vt:lpstr>2PO 2.3</vt:lpstr>
      <vt:lpstr>2PO 2.3 (eng)</vt:lpstr>
      <vt:lpstr>F 2.3.1 Specific result</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
  <dcterms:created xsi:type="dcterms:W3CDTF">2006-09-16T00:00:00Z</dcterms:created>
  <dcterms:modified xsi:type="dcterms:W3CDTF">2025-12-11T13:47:09Z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0x010100CEEC09998B21144E8648D4F5A3350EFB</vt:lpwstr>
  </property>
</Properties>
</file>